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99" firstSheet="10"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商业" sheetId="33"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8"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H97" i="77"/>
  <c r="G97"/>
  <c r="I67" i="78"/>
  <c r="I68"/>
  <c r="I69"/>
  <c r="I70"/>
  <c r="I71"/>
  <c r="I72"/>
  <c r="I73"/>
  <c r="I74"/>
  <c r="I75"/>
  <c r="I76"/>
  <c r="I77"/>
  <c r="I78"/>
  <c r="I79"/>
  <c r="I80"/>
  <c r="I81"/>
  <c r="I82"/>
  <c r="I83"/>
  <c r="I84"/>
  <c r="I85"/>
  <c r="I86"/>
  <c r="I87"/>
  <c r="I88"/>
  <c r="I89"/>
  <c r="I90"/>
  <c r="I91"/>
  <c r="I66"/>
  <c r="G67"/>
  <c r="G68"/>
  <c r="G69"/>
  <c r="G70"/>
  <c r="G71"/>
  <c r="G72"/>
  <c r="G73"/>
  <c r="G74"/>
  <c r="G75"/>
  <c r="G76"/>
  <c r="G77"/>
  <c r="G78"/>
  <c r="G79"/>
  <c r="G80"/>
  <c r="G81"/>
  <c r="G82"/>
  <c r="G83"/>
  <c r="G84"/>
  <c r="G85"/>
  <c r="G86"/>
  <c r="G87"/>
  <c r="G88"/>
  <c r="G89"/>
  <c r="G90"/>
  <c r="G91"/>
  <c r="G66"/>
  <c r="E67"/>
  <c r="E68"/>
  <c r="E69"/>
  <c r="E70"/>
  <c r="E71"/>
  <c r="E72"/>
  <c r="E73"/>
  <c r="E74"/>
  <c r="E75"/>
  <c r="E76"/>
  <c r="E77"/>
  <c r="E78"/>
  <c r="E79"/>
  <c r="E80"/>
  <c r="E81"/>
  <c r="E82"/>
  <c r="E83"/>
  <c r="E84"/>
  <c r="E85"/>
  <c r="E86"/>
  <c r="E87"/>
  <c r="E88"/>
  <c r="E89"/>
  <c r="E90"/>
  <c r="E91"/>
  <c r="E66"/>
  <c r="C40" i="33"/>
  <c r="H75" i="77" l="1"/>
  <c r="G75"/>
  <c r="H74"/>
  <c r="G74"/>
  <c r="H73"/>
  <c r="G73"/>
  <c r="H72"/>
  <c r="G72"/>
  <c r="H70"/>
  <c r="G70"/>
  <c r="H69"/>
  <c r="G69"/>
  <c r="H68"/>
  <c r="H76" s="1"/>
  <c r="G68"/>
  <c r="G76" s="1"/>
  <c r="F19" i="6"/>
  <c r="B25" i="31" l="1"/>
  <c r="B26"/>
  <c r="B27"/>
  <c r="B28"/>
  <c r="B29"/>
  <c r="B30"/>
  <c r="B31"/>
  <c r="B32"/>
  <c r="B33"/>
  <c r="B34"/>
  <c r="B35"/>
  <c r="B39"/>
  <c r="B24"/>
  <c r="A25"/>
  <c r="A26"/>
  <c r="A27"/>
  <c r="A28"/>
  <c r="A29"/>
  <c r="A30"/>
  <c r="A31"/>
  <c r="A32"/>
  <c r="A33"/>
  <c r="A34"/>
  <c r="A35"/>
  <c r="A36"/>
  <c r="A37"/>
  <c r="A38"/>
  <c r="A39"/>
  <c r="A40"/>
  <c r="A41"/>
  <c r="A42"/>
  <c r="A43"/>
  <c r="A24"/>
  <c r="F48" i="77"/>
  <c r="F47"/>
  <c r="F46"/>
  <c r="F45"/>
  <c r="E48"/>
  <c r="B43" i="31" s="1"/>
  <c r="E47" i="77"/>
  <c r="B42" i="31" s="1"/>
  <c r="E46" i="77"/>
  <c r="B41" i="31" s="1"/>
  <c r="E45" i="77"/>
  <c r="B40" i="31" s="1"/>
  <c r="F43" i="77"/>
  <c r="F42"/>
  <c r="F41"/>
  <c r="F49" s="1"/>
  <c r="A3" i="3" s="1"/>
  <c r="E43" i="77"/>
  <c r="B38" i="31" s="1"/>
  <c r="E42" i="77"/>
  <c r="B37" i="31" s="1"/>
  <c r="E41" i="77"/>
  <c r="B36" i="31" s="1"/>
  <c r="E49" i="77" l="1"/>
  <c r="I13" i="3" s="1"/>
  <c r="I47" i="33"/>
  <c r="H92" i="78" s="1"/>
  <c r="G47" i="33"/>
  <c r="F92" i="78" s="1"/>
  <c r="E47" i="33"/>
  <c r="D92" i="78" s="1"/>
  <c r="E23" i="77" l="1"/>
  <c r="E22"/>
  <c r="E21"/>
  <c r="E20"/>
  <c r="C118" i="33"/>
  <c r="N7" i="1"/>
  <c r="N6"/>
  <c r="E19" i="77"/>
  <c r="E18"/>
  <c r="E17"/>
  <c r="E16"/>
  <c r="E15"/>
  <c r="G15" s="1"/>
  <c r="F25"/>
  <c r="G17"/>
  <c r="G14"/>
  <c r="G13"/>
  <c r="G12"/>
  <c r="G11"/>
  <c r="G10"/>
  <c r="G9"/>
  <c r="G8"/>
  <c r="G7"/>
  <c r="G6"/>
  <c r="G5"/>
  <c r="G4"/>
  <c r="G3"/>
  <c r="F118" i="33"/>
  <c r="E118"/>
  <c r="D118"/>
  <c r="G23" i="77" l="1"/>
  <c r="E25"/>
  <c r="G25"/>
  <c r="C69" i="78"/>
  <c r="C70"/>
  <c r="C68"/>
  <c r="C60"/>
  <c r="C91" s="1"/>
  <c r="C50"/>
  <c r="C81" s="1"/>
  <c r="C51"/>
  <c r="C82" s="1"/>
  <c r="C52"/>
  <c r="C83" s="1"/>
  <c r="C53"/>
  <c r="C84" s="1"/>
  <c r="C54"/>
  <c r="C85" s="1"/>
  <c r="C55"/>
  <c r="C86" s="1"/>
  <c r="C56"/>
  <c r="C87" s="1"/>
  <c r="C57"/>
  <c r="C88" s="1"/>
  <c r="C58"/>
  <c r="C89" s="1"/>
  <c r="C59"/>
  <c r="C90" s="1"/>
  <c r="C49"/>
  <c r="C80" s="1"/>
  <c r="C48"/>
  <c r="C79" s="1"/>
  <c r="C41"/>
  <c r="C72" s="1"/>
  <c r="C42"/>
  <c r="C73" s="1"/>
  <c r="C43"/>
  <c r="C74" s="1"/>
  <c r="C44"/>
  <c r="C75" s="1"/>
  <c r="C45"/>
  <c r="C76" s="1"/>
  <c r="C46"/>
  <c r="C77" s="1"/>
  <c r="C47"/>
  <c r="C78" s="1"/>
  <c r="C40"/>
  <c r="C71" s="1"/>
  <c r="C36" i="33" l="1"/>
  <c r="F20" i="6"/>
  <c r="B15" i="74" s="1"/>
  <c r="Y6" i="1" l="1"/>
  <c r="D3" i="4"/>
  <c r="AH5" i="71" l="1"/>
  <c r="AG5"/>
  <c r="AE5"/>
  <c r="AF5" s="1"/>
  <c r="AD5"/>
  <c r="Q5"/>
  <c r="P5"/>
  <c r="O5"/>
  <c r="N5"/>
  <c r="L3" l="1"/>
  <c r="K3"/>
  <c r="I3"/>
  <c r="J3" l="1"/>
  <c r="AD6" l="1"/>
  <c r="AG6"/>
  <c r="AH6"/>
  <c r="AE6"/>
  <c r="AF6" s="1"/>
  <c r="N6"/>
  <c r="Q6"/>
  <c r="P6"/>
  <c r="O6"/>
  <c r="Q7" l="1"/>
  <c r="P7"/>
  <c r="O7"/>
  <c r="N7"/>
  <c r="A2" i="53" l="1"/>
  <c r="K59" i="67" l="1"/>
  <c r="P61" s="1"/>
  <c r="K59" i="15"/>
  <c r="P74" s="1"/>
  <c r="P61" l="1"/>
  <c r="P74" i="67"/>
  <c r="D116" i="39"/>
  <c r="E116"/>
  <c r="F116"/>
  <c r="G116"/>
  <c r="H116"/>
  <c r="I116"/>
  <c r="J116"/>
  <c r="K116"/>
  <c r="L116"/>
  <c r="M116"/>
  <c r="C116"/>
  <c r="A21" i="62" l="1"/>
  <c r="A20"/>
  <c r="A22" i="51"/>
  <c r="A21"/>
  <c r="A20"/>
  <c r="A14" i="62" l="1"/>
  <c r="A13"/>
  <c r="A19" l="1"/>
  <c r="A12"/>
  <c r="A120" i="9"/>
  <c r="H2" i="52"/>
  <c r="A1"/>
  <c r="A3" i="53"/>
  <c r="Q8" i="71" l="1"/>
  <c r="P8"/>
  <c r="O8"/>
  <c r="N8"/>
  <c r="D5" i="43" l="1"/>
  <c r="A15" i="51" l="1"/>
  <c r="B11" i="76"/>
  <c r="B12"/>
  <c r="E8"/>
  <c r="E9"/>
  <c r="E11"/>
  <c r="E7"/>
  <c r="B8"/>
  <c r="B9"/>
  <c r="E13"/>
  <c r="B7"/>
  <c r="E12"/>
  <c r="B13"/>
  <c r="E10"/>
  <c r="B10"/>
  <c r="C76" i="9" l="1"/>
  <c r="I107" i="40" l="1"/>
  <c r="K6" i="4" l="1"/>
  <c r="B22" i="31" l="1"/>
  <c r="N56" i="9" l="1"/>
  <c r="M56"/>
  <c r="K56"/>
  <c r="E16" i="74" l="1"/>
  <c r="F16"/>
  <c r="E17"/>
  <c r="F17"/>
  <c r="E18"/>
  <c r="F18"/>
  <c r="E19"/>
  <c r="F19"/>
  <c r="E20"/>
  <c r="F20"/>
  <c r="E21"/>
  <c r="F21"/>
  <c r="E22"/>
  <c r="F22"/>
  <c r="E23"/>
  <c r="F23"/>
  <c r="B3" l="1"/>
  <c r="C91" i="9" l="1"/>
  <c r="B8" i="72" l="1"/>
  <c r="M19" i="43" l="1"/>
  <c r="O9" i="71" l="1"/>
  <c r="P9"/>
  <c r="Q9"/>
  <c r="N9"/>
  <c r="AE3" l="1"/>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1" i="73" l="1"/>
  <c r="L1" s="1"/>
  <c r="F7"/>
  <c r="J1" l="1"/>
  <c r="B74" i="72"/>
  <c r="D5" i="73"/>
  <c r="F6"/>
  <c r="F5"/>
  <c r="F4"/>
  <c r="F3"/>
  <c r="I1" l="1"/>
  <c r="B39" i="1" s="1"/>
  <c r="D4" i="73"/>
  <c r="D3"/>
  <c r="D7"/>
  <c r="D6"/>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71" i="71"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P50" s="1"/>
  <c r="C50"/>
  <c r="B50"/>
  <c r="S50" s="1"/>
  <c r="F49"/>
  <c r="F48" s="1"/>
  <c r="Q48" s="1"/>
  <c r="B49"/>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Q39"/>
  <c r="F40" s="1"/>
  <c r="F41" s="1"/>
  <c r="F42" s="1"/>
  <c r="V42" s="1"/>
  <c r="P39"/>
  <c r="E40" s="1"/>
  <c r="O39"/>
  <c r="C40" s="1"/>
  <c r="N39"/>
  <c r="B40" s="1"/>
  <c r="B41" s="1"/>
  <c r="B42" s="1"/>
  <c r="S42" s="1"/>
  <c r="D39"/>
  <c r="Q38"/>
  <c r="P38"/>
  <c r="O38"/>
  <c r="N38"/>
  <c r="Q37"/>
  <c r="P37"/>
  <c r="O37"/>
  <c r="N37"/>
  <c r="Q36"/>
  <c r="P36"/>
  <c r="O36"/>
  <c r="N36"/>
  <c r="Q35"/>
  <c r="F36" s="1"/>
  <c r="F37" s="1"/>
  <c r="F38" s="1"/>
  <c r="V38" s="1"/>
  <c r="P35"/>
  <c r="E36" s="1"/>
  <c r="O35"/>
  <c r="C36" s="1"/>
  <c r="N35"/>
  <c r="B36"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Q20"/>
  <c r="AB20" s="1"/>
  <c r="P20"/>
  <c r="O20"/>
  <c r="Y20" s="1"/>
  <c r="Z20" s="1"/>
  <c r="N20"/>
  <c r="Q19"/>
  <c r="F20" s="1"/>
  <c r="F21" s="1"/>
  <c r="F22" s="1"/>
  <c r="V22" s="1"/>
  <c r="P19"/>
  <c r="O19"/>
  <c r="N19"/>
  <c r="D19"/>
  <c r="Q18"/>
  <c r="P18"/>
  <c r="O18"/>
  <c r="N18"/>
  <c r="Q17"/>
  <c r="P17"/>
  <c r="O17"/>
  <c r="N17"/>
  <c r="Q16"/>
  <c r="P16"/>
  <c r="O16"/>
  <c r="N16"/>
  <c r="Q15"/>
  <c r="F16" s="1"/>
  <c r="F17" s="1"/>
  <c r="F18" s="1"/>
  <c r="V18" s="1"/>
  <c r="P15"/>
  <c r="O15"/>
  <c r="N15"/>
  <c r="D15"/>
  <c r="Q14"/>
  <c r="P14"/>
  <c r="O14"/>
  <c r="N14"/>
  <c r="Q13"/>
  <c r="P13"/>
  <c r="O13"/>
  <c r="N13"/>
  <c r="Q12"/>
  <c r="P12"/>
  <c r="O12"/>
  <c r="N12"/>
  <c r="Q11"/>
  <c r="F12" s="1"/>
  <c r="F13" s="1"/>
  <c r="F14" s="1"/>
  <c r="V14" s="1"/>
  <c r="P11"/>
  <c r="O11"/>
  <c r="N11"/>
  <c r="D11"/>
  <c r="O10"/>
  <c r="N10"/>
  <c r="X6" s="1"/>
  <c r="X21" l="1"/>
  <c r="X5"/>
  <c r="Y5"/>
  <c r="Z5" s="1"/>
  <c r="Y6"/>
  <c r="Z6" s="1"/>
  <c r="Y12"/>
  <c r="Z12" s="1"/>
  <c r="AB12"/>
  <c r="Y13"/>
  <c r="Z13" s="1"/>
  <c r="AB13"/>
  <c r="Y14"/>
  <c r="Z14" s="1"/>
  <c r="AB14"/>
  <c r="Y16"/>
  <c r="Z16" s="1"/>
  <c r="AB16"/>
  <c r="Y17"/>
  <c r="Z17" s="1"/>
  <c r="AB17"/>
  <c r="Y18"/>
  <c r="Z18" s="1"/>
  <c r="AB18"/>
  <c r="B37"/>
  <c r="B38" s="1"/>
  <c r="S38" s="1"/>
  <c r="B12"/>
  <c r="B13" s="1"/>
  <c r="B14" s="1"/>
  <c r="S14" s="1"/>
  <c r="X11"/>
  <c r="E12"/>
  <c r="E13" s="1"/>
  <c r="E14" s="1"/>
  <c r="U14" s="1"/>
  <c r="AA11"/>
  <c r="B16"/>
  <c r="B17" s="1"/>
  <c r="B18" s="1"/>
  <c r="S18" s="1"/>
  <c r="X15"/>
  <c r="B20"/>
  <c r="B21" s="1"/>
  <c r="B22" s="1"/>
  <c r="S22" s="1"/>
  <c r="X19"/>
  <c r="E20"/>
  <c r="E21" s="1"/>
  <c r="E22" s="1"/>
  <c r="U22" s="1"/>
  <c r="AA19"/>
  <c r="N50"/>
  <c r="E16"/>
  <c r="E17" s="1"/>
  <c r="E18" s="1"/>
  <c r="U18" s="1"/>
  <c r="AA15"/>
  <c r="C12"/>
  <c r="D12" s="1"/>
  <c r="Y11"/>
  <c r="Z11" s="1"/>
  <c r="AB11"/>
  <c r="X12"/>
  <c r="AA12"/>
  <c r="X13"/>
  <c r="AA13"/>
  <c r="X14"/>
  <c r="AA14"/>
  <c r="C16"/>
  <c r="C17" s="1"/>
  <c r="Y15"/>
  <c r="Z15" s="1"/>
  <c r="AB15"/>
  <c r="X16"/>
  <c r="AA16"/>
  <c r="X17"/>
  <c r="AA17"/>
  <c r="X18"/>
  <c r="AA18"/>
  <c r="C20"/>
  <c r="C21" s="1"/>
  <c r="Y19"/>
  <c r="Z19" s="1"/>
  <c r="AB19"/>
  <c r="X20"/>
  <c r="AA20"/>
  <c r="F33"/>
  <c r="F34" s="1"/>
  <c r="V34" s="1"/>
  <c r="C10"/>
  <c r="Y3"/>
  <c r="Z3" s="1"/>
  <c r="Y7"/>
  <c r="Z7" s="1"/>
  <c r="Y8"/>
  <c r="Z8" s="1"/>
  <c r="Y9"/>
  <c r="Z9" s="1"/>
  <c r="Y10"/>
  <c r="Z10" s="1"/>
  <c r="B10"/>
  <c r="B9" s="1"/>
  <c r="B8" s="1"/>
  <c r="B7" s="1"/>
  <c r="B6" s="1"/>
  <c r="X7"/>
  <c r="X8"/>
  <c r="X9"/>
  <c r="X3"/>
  <c r="X10"/>
  <c r="C13"/>
  <c r="D16"/>
  <c r="D20"/>
  <c r="C25"/>
  <c r="D24"/>
  <c r="C29"/>
  <c r="D29" s="1"/>
  <c r="D28"/>
  <c r="C33"/>
  <c r="D32"/>
  <c r="P10"/>
  <c r="E37"/>
  <c r="E38" s="1"/>
  <c r="U38" s="1"/>
  <c r="E41"/>
  <c r="E42" s="1"/>
  <c r="U42" s="1"/>
  <c r="E45"/>
  <c r="E46" s="1"/>
  <c r="U46" s="1"/>
  <c r="Q47"/>
  <c r="U50"/>
  <c r="E49"/>
  <c r="Q10"/>
  <c r="C37"/>
  <c r="D36"/>
  <c r="C41"/>
  <c r="D40"/>
  <c r="C45"/>
  <c r="D44"/>
  <c r="N49"/>
  <c r="B48"/>
  <c r="Q49"/>
  <c r="T50"/>
  <c r="O50"/>
  <c r="D50"/>
  <c r="C49"/>
  <c r="Q50"/>
  <c r="C53"/>
  <c r="E53"/>
  <c r="E52" s="1"/>
  <c r="D54"/>
  <c r="C57"/>
  <c r="E57"/>
  <c r="E56" s="1"/>
  <c r="D58"/>
  <c r="C61"/>
  <c r="E61"/>
  <c r="E60" s="1"/>
  <c r="D62"/>
  <c r="C65"/>
  <c r="C69"/>
  <c r="AB6" l="1"/>
  <c r="AB5"/>
  <c r="S6"/>
  <c r="B5"/>
  <c r="AA6"/>
  <c r="AA5"/>
  <c r="T10"/>
  <c r="C9"/>
  <c r="S10"/>
  <c r="F10"/>
  <c r="F9" s="1"/>
  <c r="F8" s="1"/>
  <c r="F7" s="1"/>
  <c r="F6" s="1"/>
  <c r="F5" s="1"/>
  <c r="AB3"/>
  <c r="AB7"/>
  <c r="AB8"/>
  <c r="AB9"/>
  <c r="AB10"/>
  <c r="E10"/>
  <c r="E9" s="1"/>
  <c r="E8" s="1"/>
  <c r="E7" s="1"/>
  <c r="E6" s="1"/>
  <c r="AA3"/>
  <c r="AA7"/>
  <c r="AA8"/>
  <c r="AA9"/>
  <c r="AA10"/>
  <c r="D10"/>
  <c r="U10" s="1"/>
  <c r="C48"/>
  <c r="O49"/>
  <c r="D49"/>
  <c r="C46"/>
  <c r="D45"/>
  <c r="D65"/>
  <c r="C64"/>
  <c r="D64" s="1"/>
  <c r="D57"/>
  <c r="C56"/>
  <c r="D56" s="1"/>
  <c r="N47"/>
  <c r="N48"/>
  <c r="D69"/>
  <c r="C68"/>
  <c r="D68" s="1"/>
  <c r="D61"/>
  <c r="C60"/>
  <c r="D60" s="1"/>
  <c r="D53"/>
  <c r="C52"/>
  <c r="D52" s="1"/>
  <c r="C42"/>
  <c r="D41"/>
  <c r="C38"/>
  <c r="D37"/>
  <c r="P49"/>
  <c r="E48"/>
  <c r="C34"/>
  <c r="D33"/>
  <c r="C26"/>
  <c r="D25"/>
  <c r="C22"/>
  <c r="D21"/>
  <c r="C18"/>
  <c r="D17"/>
  <c r="C14"/>
  <c r="D13"/>
  <c r="E5" l="1"/>
  <c r="V6"/>
  <c r="C8"/>
  <c r="D9"/>
  <c r="V10"/>
  <c r="P47"/>
  <c r="P48"/>
  <c r="O48"/>
  <c r="D48"/>
  <c r="O47"/>
  <c r="T14"/>
  <c r="D14"/>
  <c r="T18"/>
  <c r="D18"/>
  <c r="T22"/>
  <c r="D22"/>
  <c r="T26"/>
  <c r="D26"/>
  <c r="T34"/>
  <c r="D34"/>
  <c r="T38"/>
  <c r="D38"/>
  <c r="T42"/>
  <c r="D42"/>
  <c r="T46"/>
  <c r="D46"/>
  <c r="D8" l="1"/>
  <c r="C7"/>
  <c r="O27" i="6"/>
  <c r="N27"/>
  <c r="P20"/>
  <c r="P21"/>
  <c r="P22"/>
  <c r="P23"/>
  <c r="P24"/>
  <c r="P25"/>
  <c r="P26"/>
  <c r="P19"/>
  <c r="AP8" i="1"/>
  <c r="AP9"/>
  <c r="AP10"/>
  <c r="AP11"/>
  <c r="AP12"/>
  <c r="AP13"/>
  <c r="L21" i="6"/>
  <c r="L22"/>
  <c r="L23"/>
  <c r="L24"/>
  <c r="L25"/>
  <c r="L26"/>
  <c r="D7" i="71" l="1"/>
  <c r="C6"/>
  <c r="P27" i="6"/>
  <c r="A7" i="70"/>
  <c r="A8"/>
  <c r="E8" s="1"/>
  <c r="A9"/>
  <c r="E9" s="1"/>
  <c r="A10"/>
  <c r="E10" s="1"/>
  <c r="A11"/>
  <c r="E11" s="1"/>
  <c r="A12"/>
  <c r="E12" s="1"/>
  <c r="A13"/>
  <c r="E13" s="1"/>
  <c r="A6"/>
  <c r="T6" i="71" l="1"/>
  <c r="C5"/>
  <c r="D5" s="1"/>
  <c r="D6"/>
  <c r="U6" s="1"/>
  <c r="Q25" i="40"/>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Q21" i="33"/>
  <c r="Z21" s="1"/>
  <c r="D83"/>
  <c r="E83" s="1"/>
  <c r="C21"/>
  <c r="C21" i="21"/>
  <c r="Q21"/>
  <c r="Z21" s="1"/>
  <c r="H19"/>
  <c r="D83"/>
  <c r="F21" s="1"/>
  <c r="AA21" s="1"/>
  <c r="D81"/>
  <c r="G20" i="20"/>
  <c r="B86" i="43" s="1"/>
  <c r="C22" i="20"/>
  <c r="AO9" i="1"/>
  <c r="AO12"/>
  <c r="AO13"/>
  <c r="AO10"/>
  <c r="AO11"/>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B37" i="48" s="1"/>
  <c r="B2" i="72" s="1"/>
  <c r="C31" i="66"/>
  <c r="C27"/>
  <c r="C32" s="1"/>
  <c r="I23"/>
  <c r="D20"/>
  <c r="I19"/>
  <c r="I18"/>
  <c r="I17"/>
  <c r="E15"/>
  <c r="I14"/>
  <c r="I13"/>
  <c r="I12"/>
  <c r="I15"/>
  <c r="I9"/>
  <c r="I8"/>
  <c r="I7"/>
  <c r="I6"/>
  <c r="I5"/>
  <c r="I4"/>
  <c r="I3"/>
  <c r="I10"/>
  <c r="I21" s="1"/>
  <c r="M11" i="15"/>
  <c r="D1" i="43"/>
  <c r="F113"/>
  <c r="N99"/>
  <c r="N108" s="1"/>
  <c r="D99"/>
  <c r="D108" s="1"/>
  <c r="E99"/>
  <c r="F99"/>
  <c r="F108" s="1"/>
  <c r="G99"/>
  <c r="G108" s="1"/>
  <c r="H99"/>
  <c r="H108" s="1"/>
  <c r="I99"/>
  <c r="J99"/>
  <c r="J108" s="1"/>
  <c r="K99"/>
  <c r="K108" s="1"/>
  <c r="L99"/>
  <c r="L108" s="1"/>
  <c r="M99"/>
  <c r="C99"/>
  <c r="C108" s="1"/>
  <c r="N100"/>
  <c r="D100"/>
  <c r="L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BA63"/>
  <c r="AX63"/>
  <c r="AW63"/>
  <c r="AV63"/>
  <c r="AC63"/>
  <c r="H63"/>
  <c r="G63"/>
  <c r="BT62"/>
  <c r="BS62"/>
  <c r="BR62"/>
  <c r="BQ62"/>
  <c r="BP62"/>
  <c r="BO62"/>
  <c r="BN62"/>
  <c r="BM62"/>
  <c r="BL62" s="1"/>
  <c r="BK62"/>
  <c r="BJ62"/>
  <c r="BI62"/>
  <c r="BH62"/>
  <c r="BG62"/>
  <c r="BF62"/>
  <c r="BE62"/>
  <c r="BD62"/>
  <c r="BC62"/>
  <c r="BB62"/>
  <c r="BA62" s="1"/>
  <c r="AZ62" s="1"/>
  <c r="AX62"/>
  <c r="AW62"/>
  <c r="AV62"/>
  <c r="AC62"/>
  <c r="H62"/>
  <c r="BT61"/>
  <c r="BS61"/>
  <c r="BR61"/>
  <c r="BQ61"/>
  <c r="BP61"/>
  <c r="BO61"/>
  <c r="BN61"/>
  <c r="BM61"/>
  <c r="BK61"/>
  <c r="BJ61"/>
  <c r="BI61"/>
  <c r="BH61"/>
  <c r="BG61"/>
  <c r="BF61"/>
  <c r="BE61"/>
  <c r="BD61"/>
  <c r="BC61"/>
  <c r="BB61"/>
  <c r="AX61"/>
  <c r="AW61"/>
  <c r="AV61"/>
  <c r="AC61"/>
  <c r="H61"/>
  <c r="G61" s="1"/>
  <c r="BT60"/>
  <c r="BS60"/>
  <c r="BR60"/>
  <c r="BQ60"/>
  <c r="BP60"/>
  <c r="BO60"/>
  <c r="BN60"/>
  <c r="BM60"/>
  <c r="BL60" s="1"/>
  <c r="BK60"/>
  <c r="BJ60"/>
  <c r="BI60"/>
  <c r="BH60"/>
  <c r="BG60"/>
  <c r="BF60"/>
  <c r="BE60"/>
  <c r="BD60"/>
  <c r="BC60"/>
  <c r="BB60"/>
  <c r="AX60"/>
  <c r="AW60"/>
  <c r="AV60"/>
  <c r="AC60"/>
  <c r="H60"/>
  <c r="BT59"/>
  <c r="BS59"/>
  <c r="BR59"/>
  <c r="BQ59"/>
  <c r="BP59"/>
  <c r="BO59"/>
  <c r="BN59"/>
  <c r="BM59"/>
  <c r="BK59"/>
  <c r="BJ59"/>
  <c r="BI59"/>
  <c r="BH59"/>
  <c r="BG59"/>
  <c r="BF59"/>
  <c r="BE59"/>
  <c r="BD59"/>
  <c r="BC59"/>
  <c r="BB59"/>
  <c r="BA59"/>
  <c r="AX59"/>
  <c r="AW59"/>
  <c r="AV59"/>
  <c r="AC59"/>
  <c r="H59"/>
  <c r="G59"/>
  <c r="BT58"/>
  <c r="BS58"/>
  <c r="BR58"/>
  <c r="BQ58"/>
  <c r="BP58"/>
  <c r="BO58"/>
  <c r="BN58"/>
  <c r="BM58"/>
  <c r="BL58" s="1"/>
  <c r="BK58"/>
  <c r="BJ58"/>
  <c r="BI58"/>
  <c r="BH58"/>
  <c r="BG58"/>
  <c r="BF58"/>
  <c r="BE58"/>
  <c r="BD58"/>
  <c r="BC58"/>
  <c r="BB58"/>
  <c r="BA58" s="1"/>
  <c r="AX58"/>
  <c r="AW58"/>
  <c r="AV58"/>
  <c r="AC58"/>
  <c r="H58"/>
  <c r="BT57"/>
  <c r="BS57"/>
  <c r="BR57"/>
  <c r="BQ57"/>
  <c r="BP57"/>
  <c r="BO57"/>
  <c r="BN57"/>
  <c r="BM57"/>
  <c r="BK57"/>
  <c r="BJ57"/>
  <c r="BI57"/>
  <c r="BH57"/>
  <c r="BG57"/>
  <c r="BF57"/>
  <c r="BE57"/>
  <c r="BD57"/>
  <c r="BC57"/>
  <c r="BB57"/>
  <c r="BA57"/>
  <c r="AX57"/>
  <c r="AW57"/>
  <c r="AV57"/>
  <c r="AC57"/>
  <c r="H57"/>
  <c r="BT56"/>
  <c r="BS56"/>
  <c r="BR56"/>
  <c r="BQ56"/>
  <c r="BP56"/>
  <c r="BO56"/>
  <c r="BN56"/>
  <c r="BM56"/>
  <c r="BL56"/>
  <c r="BK56"/>
  <c r="BJ56"/>
  <c r="BI56"/>
  <c r="BH56"/>
  <c r="BG56"/>
  <c r="BF56"/>
  <c r="BE56"/>
  <c r="BD56"/>
  <c r="BC56"/>
  <c r="BB56"/>
  <c r="BA56" s="1"/>
  <c r="AZ56" s="1"/>
  <c r="AX56"/>
  <c r="AW56"/>
  <c r="AV56"/>
  <c r="AC56"/>
  <c r="H56"/>
  <c r="G56"/>
  <c r="BT55"/>
  <c r="BS55"/>
  <c r="BR55"/>
  <c r="BQ55"/>
  <c r="BP55"/>
  <c r="BO55"/>
  <c r="BN55"/>
  <c r="BM55"/>
  <c r="BL55" s="1"/>
  <c r="BK55"/>
  <c r="BJ55"/>
  <c r="BI55"/>
  <c r="BH55"/>
  <c r="BG55"/>
  <c r="BF55"/>
  <c r="BE55"/>
  <c r="BD55"/>
  <c r="BC55"/>
  <c r="BB55"/>
  <c r="BA55" s="1"/>
  <c r="AX55"/>
  <c r="AW55"/>
  <c r="AV55"/>
  <c r="AC55"/>
  <c r="H55"/>
  <c r="BT54"/>
  <c r="BS54"/>
  <c r="BR54"/>
  <c r="BQ54"/>
  <c r="BP54"/>
  <c r="BO54"/>
  <c r="BN54"/>
  <c r="BM54"/>
  <c r="BK54"/>
  <c r="BJ54"/>
  <c r="BI54"/>
  <c r="BH54"/>
  <c r="BG54"/>
  <c r="BF54"/>
  <c r="BE54"/>
  <c r="BD54"/>
  <c r="BC54"/>
  <c r="BB54"/>
  <c r="BA54"/>
  <c r="AX54"/>
  <c r="AW54"/>
  <c r="AV54"/>
  <c r="AC54"/>
  <c r="H54"/>
  <c r="BT53"/>
  <c r="BS53"/>
  <c r="BR53"/>
  <c r="BQ53"/>
  <c r="BP53"/>
  <c r="BO53"/>
  <c r="BN53"/>
  <c r="BM53"/>
  <c r="BL53"/>
  <c r="BK53"/>
  <c r="BJ53"/>
  <c r="BI53"/>
  <c r="BH53"/>
  <c r="BG53"/>
  <c r="BF53"/>
  <c r="BE53"/>
  <c r="BD53"/>
  <c r="BC53"/>
  <c r="BB53"/>
  <c r="BA53" s="1"/>
  <c r="AX53"/>
  <c r="AW53"/>
  <c r="AV53"/>
  <c r="AC53"/>
  <c r="H53"/>
  <c r="BT52"/>
  <c r="BS52"/>
  <c r="BR52"/>
  <c r="BQ52"/>
  <c r="BP52"/>
  <c r="BO52"/>
  <c r="BN52"/>
  <c r="BM52"/>
  <c r="BL52"/>
  <c r="BK52"/>
  <c r="BJ52"/>
  <c r="BI52"/>
  <c r="BH52"/>
  <c r="BG52"/>
  <c r="BF52"/>
  <c r="BE52"/>
  <c r="BD52"/>
  <c r="BC52"/>
  <c r="BB52"/>
  <c r="BA52" s="1"/>
  <c r="AZ52" s="1"/>
  <c r="AX52"/>
  <c r="AW52"/>
  <c r="AV52"/>
  <c r="AC52"/>
  <c r="H52"/>
  <c r="G52"/>
  <c r="BT51"/>
  <c r="BS51"/>
  <c r="BR51"/>
  <c r="BQ51"/>
  <c r="BP51"/>
  <c r="BO51"/>
  <c r="BN51"/>
  <c r="BM51"/>
  <c r="BL51" s="1"/>
  <c r="BK51"/>
  <c r="BJ51"/>
  <c r="BI51"/>
  <c r="BH51"/>
  <c r="BG51"/>
  <c r="BF51"/>
  <c r="BE51"/>
  <c r="BD51"/>
  <c r="BC51"/>
  <c r="BB51"/>
  <c r="BA51" s="1"/>
  <c r="AX51"/>
  <c r="AW51"/>
  <c r="AV51"/>
  <c r="AC51"/>
  <c r="H51"/>
  <c r="BT50"/>
  <c r="BS50"/>
  <c r="BR50"/>
  <c r="BQ50"/>
  <c r="BP50"/>
  <c r="BO50"/>
  <c r="BN50"/>
  <c r="BM50"/>
  <c r="BK50"/>
  <c r="BJ50"/>
  <c r="BI50"/>
  <c r="BH50"/>
  <c r="BG50"/>
  <c r="BF50"/>
  <c r="BE50"/>
  <c r="BD50"/>
  <c r="BC50"/>
  <c r="BB50"/>
  <c r="BA50"/>
  <c r="AX50"/>
  <c r="AW50"/>
  <c r="AV50"/>
  <c r="AC50"/>
  <c r="H50"/>
  <c r="G50"/>
  <c r="BT49"/>
  <c r="BS49"/>
  <c r="BR49"/>
  <c r="BQ49"/>
  <c r="BP49"/>
  <c r="BO49"/>
  <c r="BN49"/>
  <c r="BM49"/>
  <c r="BL49" s="1"/>
  <c r="BK49"/>
  <c r="BJ49"/>
  <c r="BI49"/>
  <c r="BH49"/>
  <c r="BG49"/>
  <c r="BF49"/>
  <c r="BE49"/>
  <c r="BD49"/>
  <c r="BC49"/>
  <c r="BB49"/>
  <c r="BA49" s="1"/>
  <c r="AZ49" s="1"/>
  <c r="AX49"/>
  <c r="AW49"/>
  <c r="AV49"/>
  <c r="AC49"/>
  <c r="H49"/>
  <c r="BT48"/>
  <c r="BS48"/>
  <c r="BR48"/>
  <c r="BQ48"/>
  <c r="BP48"/>
  <c r="BO48"/>
  <c r="BN48"/>
  <c r="BM48"/>
  <c r="BK48"/>
  <c r="BJ48"/>
  <c r="BI48"/>
  <c r="BH48"/>
  <c r="BG48"/>
  <c r="BF48"/>
  <c r="BE48"/>
  <c r="BD48"/>
  <c r="BC48"/>
  <c r="BB48"/>
  <c r="AX48"/>
  <c r="AW48"/>
  <c r="AV48"/>
  <c r="AC48"/>
  <c r="H48"/>
  <c r="G48" s="1"/>
  <c r="BT47"/>
  <c r="BS47"/>
  <c r="BR47"/>
  <c r="BQ47"/>
  <c r="BP47"/>
  <c r="BO47"/>
  <c r="BN47"/>
  <c r="BM47"/>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AX46"/>
  <c r="AW46"/>
  <c r="AV46"/>
  <c r="AC46"/>
  <c r="H46"/>
  <c r="G46" s="1"/>
  <c r="BT45"/>
  <c r="BS45"/>
  <c r="BR45"/>
  <c r="BQ45"/>
  <c r="BP45"/>
  <c r="BO45"/>
  <c r="BN45"/>
  <c r="BM45"/>
  <c r="BL45" s="1"/>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AX42"/>
  <c r="AW42"/>
  <c r="AV42"/>
  <c r="AC42"/>
  <c r="H42"/>
  <c r="G42" s="1"/>
  <c r="BT41"/>
  <c r="BS41"/>
  <c r="BR41"/>
  <c r="BQ41"/>
  <c r="BP41"/>
  <c r="BO41"/>
  <c r="BN41"/>
  <c r="BM41"/>
  <c r="BK41"/>
  <c r="BJ41"/>
  <c r="BI41"/>
  <c r="BH41"/>
  <c r="BG41"/>
  <c r="BF41"/>
  <c r="BE41"/>
  <c r="BD41"/>
  <c r="BC41"/>
  <c r="BB41"/>
  <c r="BA41" s="1"/>
  <c r="AX41"/>
  <c r="AW41"/>
  <c r="AV41"/>
  <c r="AC41"/>
  <c r="H41"/>
  <c r="BT40"/>
  <c r="BS40"/>
  <c r="BR40"/>
  <c r="BQ40"/>
  <c r="BP40"/>
  <c r="BO40"/>
  <c r="BN40"/>
  <c r="BM40"/>
  <c r="BL40" s="1"/>
  <c r="BK40"/>
  <c r="BJ40"/>
  <c r="BI40"/>
  <c r="BH40"/>
  <c r="BG40"/>
  <c r="BF40"/>
  <c r="BE40"/>
  <c r="BD40"/>
  <c r="BC40"/>
  <c r="BB40"/>
  <c r="AX40"/>
  <c r="AW40"/>
  <c r="AV40"/>
  <c r="AC40"/>
  <c r="H40"/>
  <c r="G40" s="1"/>
  <c r="BT39"/>
  <c r="BS39"/>
  <c r="BR39"/>
  <c r="BQ39"/>
  <c r="BP39"/>
  <c r="BO39"/>
  <c r="BN39"/>
  <c r="BM39"/>
  <c r="BK39"/>
  <c r="BJ39"/>
  <c r="BI39"/>
  <c r="BH39"/>
  <c r="BG39"/>
  <c r="BF39"/>
  <c r="BE39"/>
  <c r="BD39"/>
  <c r="BC39"/>
  <c r="BB39"/>
  <c r="AX39"/>
  <c r="AW39"/>
  <c r="AV39"/>
  <c r="AC39"/>
  <c r="H39"/>
  <c r="G39" s="1"/>
  <c r="BT38"/>
  <c r="BS38"/>
  <c r="BR38"/>
  <c r="BQ38"/>
  <c r="BP38"/>
  <c r="BO38"/>
  <c r="BN38"/>
  <c r="BM38"/>
  <c r="BK38"/>
  <c r="BJ38"/>
  <c r="BI38"/>
  <c r="BH38"/>
  <c r="BG38"/>
  <c r="BF38"/>
  <c r="BE38"/>
  <c r="BD38"/>
  <c r="BC38"/>
  <c r="BB38"/>
  <c r="BA38" s="1"/>
  <c r="AX38"/>
  <c r="AW38"/>
  <c r="AV38"/>
  <c r="AC38"/>
  <c r="H38"/>
  <c r="BT37"/>
  <c r="BS37"/>
  <c r="BR37"/>
  <c r="BQ37"/>
  <c r="BP37"/>
  <c r="BO37"/>
  <c r="BN37"/>
  <c r="BM37"/>
  <c r="BL37" s="1"/>
  <c r="BK37"/>
  <c r="BJ37"/>
  <c r="BI37"/>
  <c r="BH37"/>
  <c r="BG37"/>
  <c r="BF37"/>
  <c r="BE37"/>
  <c r="BD37"/>
  <c r="BC37"/>
  <c r="BB37"/>
  <c r="AX37"/>
  <c r="AW37"/>
  <c r="AV37"/>
  <c r="AC37"/>
  <c r="H37"/>
  <c r="BT36"/>
  <c r="BS36"/>
  <c r="BR36"/>
  <c r="BQ36"/>
  <c r="BP36"/>
  <c r="BO36"/>
  <c r="BN36"/>
  <c r="BM36"/>
  <c r="BL36" s="1"/>
  <c r="BK36"/>
  <c r="BJ36"/>
  <c r="BI36"/>
  <c r="BH36"/>
  <c r="BG36"/>
  <c r="BF36"/>
  <c r="BE36"/>
  <c r="BD36"/>
  <c r="BC36"/>
  <c r="BB36"/>
  <c r="AX36"/>
  <c r="AW36"/>
  <c r="AV36"/>
  <c r="AC36"/>
  <c r="H36"/>
  <c r="G36" s="1"/>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BA33" s="1"/>
  <c r="AX33"/>
  <c r="AW33"/>
  <c r="AV33"/>
  <c r="AC33"/>
  <c r="H33"/>
  <c r="G33" s="1"/>
  <c r="BT32"/>
  <c r="BS32"/>
  <c r="BR32"/>
  <c r="BQ32"/>
  <c r="BP32"/>
  <c r="BO32"/>
  <c r="BN32"/>
  <c r="BM32"/>
  <c r="BK32"/>
  <c r="BJ32"/>
  <c r="BI32"/>
  <c r="BH32"/>
  <c r="BG32"/>
  <c r="BF32"/>
  <c r="BE32"/>
  <c r="BD32"/>
  <c r="BC32"/>
  <c r="BB32"/>
  <c r="AX32"/>
  <c r="AW32"/>
  <c r="AV32"/>
  <c r="AC32"/>
  <c r="H32"/>
  <c r="G32" s="1"/>
  <c r="BT31"/>
  <c r="BS31"/>
  <c r="BR31"/>
  <c r="BQ31"/>
  <c r="BP31"/>
  <c r="BO31"/>
  <c r="BN31"/>
  <c r="BM31"/>
  <c r="BK31"/>
  <c r="BJ31"/>
  <c r="BI31"/>
  <c r="BH31"/>
  <c r="BG31"/>
  <c r="BF31"/>
  <c r="BE31"/>
  <c r="BD31"/>
  <c r="BC31"/>
  <c r="BB31"/>
  <c r="BA31" s="1"/>
  <c r="AX31"/>
  <c r="AW31"/>
  <c r="AV31"/>
  <c r="AC31"/>
  <c r="H31"/>
  <c r="G31" s="1"/>
  <c r="BT30"/>
  <c r="BS30"/>
  <c r="BR30"/>
  <c r="BQ30"/>
  <c r="BP30"/>
  <c r="BO30"/>
  <c r="BN30"/>
  <c r="BM30"/>
  <c r="BK30"/>
  <c r="BJ30"/>
  <c r="BI30"/>
  <c r="BH30"/>
  <c r="BG30"/>
  <c r="BF30"/>
  <c r="BE30"/>
  <c r="BD30"/>
  <c r="BC30"/>
  <c r="BB30"/>
  <c r="AX30"/>
  <c r="AW30"/>
  <c r="AV30"/>
  <c r="AC30"/>
  <c r="H30"/>
  <c r="G30" s="1"/>
  <c r="BT29"/>
  <c r="BS29"/>
  <c r="BR29"/>
  <c r="BQ29"/>
  <c r="BP29"/>
  <c r="BO29"/>
  <c r="BN29"/>
  <c r="BM29"/>
  <c r="BL29" s="1"/>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G28" s="1"/>
  <c r="BT27"/>
  <c r="BS27"/>
  <c r="BR27"/>
  <c r="BQ27"/>
  <c r="BP27"/>
  <c r="BO27"/>
  <c r="BN27"/>
  <c r="BM27"/>
  <c r="BL27" s="1"/>
  <c r="BK27"/>
  <c r="BJ27"/>
  <c r="BI27"/>
  <c r="BH27"/>
  <c r="BG27"/>
  <c r="BF27"/>
  <c r="BE27"/>
  <c r="BD27"/>
  <c r="BC27"/>
  <c r="BB27"/>
  <c r="AX27"/>
  <c r="AW27"/>
  <c r="AV27"/>
  <c r="AC27"/>
  <c r="H27"/>
  <c r="BT26"/>
  <c r="BS26"/>
  <c r="BR26"/>
  <c r="BQ26"/>
  <c r="BP26"/>
  <c r="BO26"/>
  <c r="BN26"/>
  <c r="BM26"/>
  <c r="BK26"/>
  <c r="BJ26"/>
  <c r="BI26"/>
  <c r="BH26"/>
  <c r="BG26"/>
  <c r="BF26"/>
  <c r="BE26"/>
  <c r="BD26"/>
  <c r="BC26"/>
  <c r="BB26"/>
  <c r="BA26"/>
  <c r="AX26"/>
  <c r="AW26"/>
  <c r="AV26"/>
  <c r="AC26"/>
  <c r="H26"/>
  <c r="BT25"/>
  <c r="BS25"/>
  <c r="BR25"/>
  <c r="BQ25"/>
  <c r="BP25"/>
  <c r="BO25"/>
  <c r="BN25"/>
  <c r="BM25"/>
  <c r="BL25"/>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s="1"/>
  <c r="AX24"/>
  <c r="AW24"/>
  <c r="AV24"/>
  <c r="AC24"/>
  <c r="H24"/>
  <c r="BT23"/>
  <c r="BS23"/>
  <c r="BR23"/>
  <c r="BQ23"/>
  <c r="BP23"/>
  <c r="BO23"/>
  <c r="BN23"/>
  <c r="BM23"/>
  <c r="BK23"/>
  <c r="BJ23"/>
  <c r="BI23"/>
  <c r="BH23"/>
  <c r="BG23"/>
  <c r="BF23"/>
  <c r="BE23"/>
  <c r="BD23"/>
  <c r="BC23"/>
  <c r="BB23"/>
  <c r="BA23"/>
  <c r="AX23"/>
  <c r="AW23"/>
  <c r="AV23"/>
  <c r="AC23"/>
  <c r="H23"/>
  <c r="BT22"/>
  <c r="BS22"/>
  <c r="BR22"/>
  <c r="BQ22"/>
  <c r="BP22"/>
  <c r="BO22"/>
  <c r="BN22"/>
  <c r="BM22"/>
  <c r="BL22"/>
  <c r="BK22"/>
  <c r="BJ22"/>
  <c r="BI22"/>
  <c r="BH22"/>
  <c r="BG22"/>
  <c r="BF22"/>
  <c r="BE22"/>
  <c r="BD22"/>
  <c r="BC22"/>
  <c r="BB22"/>
  <c r="BA22" s="1"/>
  <c r="AZ22" s="1"/>
  <c r="AX22"/>
  <c r="AW22"/>
  <c r="AV22"/>
  <c r="AC22"/>
  <c r="H22"/>
  <c r="G22"/>
  <c r="BT21"/>
  <c r="BS21"/>
  <c r="BR21"/>
  <c r="BQ21"/>
  <c r="BP21"/>
  <c r="BO21"/>
  <c r="BN21"/>
  <c r="BM21"/>
  <c r="BL21" s="1"/>
  <c r="BK21"/>
  <c r="BJ21"/>
  <c r="BI21"/>
  <c r="BH21"/>
  <c r="BG21"/>
  <c r="BF21"/>
  <c r="BE21"/>
  <c r="BD21"/>
  <c r="BC21"/>
  <c r="BB21"/>
  <c r="BA21" s="1"/>
  <c r="AX21"/>
  <c r="AW21"/>
  <c r="AV21"/>
  <c r="AC21"/>
  <c r="H21"/>
  <c r="BT20"/>
  <c r="BS20"/>
  <c r="BR20"/>
  <c r="BQ20"/>
  <c r="BP20"/>
  <c r="BO20"/>
  <c r="BN20"/>
  <c r="BM20"/>
  <c r="BK20"/>
  <c r="BJ20"/>
  <c r="BI20"/>
  <c r="BH20"/>
  <c r="BG20"/>
  <c r="BF20"/>
  <c r="BE20"/>
  <c r="BD20"/>
  <c r="BC20"/>
  <c r="BB20"/>
  <c r="BA20"/>
  <c r="AX20"/>
  <c r="AW20"/>
  <c r="AV20"/>
  <c r="AC20"/>
  <c r="H20"/>
  <c r="G20"/>
  <c r="BT19"/>
  <c r="BS19"/>
  <c r="BR19"/>
  <c r="BQ19"/>
  <c r="BP19"/>
  <c r="BO19"/>
  <c r="BN19"/>
  <c r="BM19"/>
  <c r="BL19" s="1"/>
  <c r="BK19"/>
  <c r="BJ19"/>
  <c r="BI19"/>
  <c r="BH19"/>
  <c r="BG19"/>
  <c r="BF19"/>
  <c r="BE19"/>
  <c r="BD19"/>
  <c r="BC19"/>
  <c r="BB19"/>
  <c r="BA19" s="1"/>
  <c r="AX19"/>
  <c r="AW19"/>
  <c r="AV19"/>
  <c r="AC19"/>
  <c r="H19"/>
  <c r="BT18"/>
  <c r="BS18"/>
  <c r="BR18"/>
  <c r="BQ18"/>
  <c r="BP18"/>
  <c r="BO18"/>
  <c r="BN18"/>
  <c r="BM18"/>
  <c r="BK18"/>
  <c r="BJ18"/>
  <c r="BI18"/>
  <c r="BH18"/>
  <c r="BG18"/>
  <c r="BF18"/>
  <c r="BE18"/>
  <c r="BD18"/>
  <c r="BC18"/>
  <c r="BB18"/>
  <c r="AX18"/>
  <c r="AW18"/>
  <c r="AV18"/>
  <c r="AC18"/>
  <c r="H18"/>
  <c r="G1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L206" s="1"/>
  <c r="BK206"/>
  <c r="BJ206"/>
  <c r="BI206"/>
  <c r="BH206"/>
  <c r="BG206"/>
  <c r="BF206"/>
  <c r="BE206"/>
  <c r="BD206"/>
  <c r="BC206"/>
  <c r="BB206"/>
  <c r="AX206"/>
  <c r="AW206"/>
  <c r="AV206"/>
  <c r="AC206"/>
  <c r="H206"/>
  <c r="BT205"/>
  <c r="BS205"/>
  <c r="BR205"/>
  <c r="BQ205"/>
  <c r="BP205"/>
  <c r="BO205"/>
  <c r="BN205"/>
  <c r="BM205"/>
  <c r="BL205" s="1"/>
  <c r="BK205"/>
  <c r="BJ205"/>
  <c r="BI205"/>
  <c r="BH205"/>
  <c r="BG205"/>
  <c r="BF205"/>
  <c r="BE205"/>
  <c r="BD205"/>
  <c r="BC205"/>
  <c r="BB205"/>
  <c r="AX205"/>
  <c r="AW205"/>
  <c r="AV205"/>
  <c r="AC205"/>
  <c r="H205"/>
  <c r="G205" s="1"/>
  <c r="BT204"/>
  <c r="BS204"/>
  <c r="BR204"/>
  <c r="BQ204"/>
  <c r="BP204"/>
  <c r="BO204"/>
  <c r="BN204"/>
  <c r="BM204"/>
  <c r="BK204"/>
  <c r="BJ204"/>
  <c r="BI204"/>
  <c r="BH204"/>
  <c r="BG204"/>
  <c r="BF204"/>
  <c r="BE204"/>
  <c r="BD204"/>
  <c r="BC204"/>
  <c r="BB204"/>
  <c r="AX204"/>
  <c r="AW204"/>
  <c r="AV204"/>
  <c r="AC204"/>
  <c r="H204"/>
  <c r="BT203"/>
  <c r="BS203"/>
  <c r="BR203"/>
  <c r="BQ203"/>
  <c r="BP203"/>
  <c r="BO203"/>
  <c r="BN203"/>
  <c r="BM203"/>
  <c r="BL203" s="1"/>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BA194" s="1"/>
  <c r="AX194"/>
  <c r="AW194"/>
  <c r="AV194"/>
  <c r="AC194"/>
  <c r="H194"/>
  <c r="G194" s="1"/>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C192"/>
  <c r="BB192"/>
  <c r="BA192" s="1"/>
  <c r="AX192"/>
  <c r="AW192"/>
  <c r="AV192"/>
  <c r="AC192"/>
  <c r="H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c r="AX189"/>
  <c r="AW189"/>
  <c r="AV189"/>
  <c r="AC189"/>
  <c r="H189"/>
  <c r="BT188"/>
  <c r="BS188"/>
  <c r="BR188"/>
  <c r="BQ188"/>
  <c r="BP188"/>
  <c r="BO188"/>
  <c r="BN188"/>
  <c r="BM188"/>
  <c r="BK188"/>
  <c r="BJ188"/>
  <c r="BI188"/>
  <c r="BH188"/>
  <c r="BG188"/>
  <c r="BF188"/>
  <c r="BE188"/>
  <c r="BD188"/>
  <c r="BC188"/>
  <c r="BB188"/>
  <c r="AX188"/>
  <c r="AW188"/>
  <c r="AV188"/>
  <c r="AC188"/>
  <c r="H188"/>
  <c r="G188" s="1"/>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K186"/>
  <c r="BJ186"/>
  <c r="BI186"/>
  <c r="BH186"/>
  <c r="BG186"/>
  <c r="BF186"/>
  <c r="BE186"/>
  <c r="BD186"/>
  <c r="BC186"/>
  <c r="BB186"/>
  <c r="BA186"/>
  <c r="AX186"/>
  <c r="AW186"/>
  <c r="AV186"/>
  <c r="AC186"/>
  <c r="H186"/>
  <c r="G186"/>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G183" s="1"/>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K181"/>
  <c r="BJ181"/>
  <c r="BI181"/>
  <c r="BH181"/>
  <c r="BG181"/>
  <c r="BF181"/>
  <c r="BE181"/>
  <c r="BD181"/>
  <c r="BC181"/>
  <c r="BB181"/>
  <c r="BA181" s="1"/>
  <c r="AX181"/>
  <c r="AW181"/>
  <c r="AV181"/>
  <c r="AC181"/>
  <c r="H18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H179"/>
  <c r="G179" s="1"/>
  <c r="BT178"/>
  <c r="BS178"/>
  <c r="BR178"/>
  <c r="BQ178"/>
  <c r="BP178"/>
  <c r="BO178"/>
  <c r="BN178"/>
  <c r="BM178"/>
  <c r="BK178"/>
  <c r="BJ178"/>
  <c r="BI178"/>
  <c r="BH178"/>
  <c r="BG178"/>
  <c r="BF178"/>
  <c r="BE178"/>
  <c r="BD178"/>
  <c r="BC178"/>
  <c r="BB178"/>
  <c r="BA178" s="1"/>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BA176" s="1"/>
  <c r="AX176"/>
  <c r="AW176"/>
  <c r="AV176"/>
  <c r="AC176"/>
  <c r="H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c r="AX173"/>
  <c r="AW173"/>
  <c r="AV173"/>
  <c r="AC173"/>
  <c r="H173"/>
  <c r="BT172"/>
  <c r="BS172"/>
  <c r="BR172"/>
  <c r="BQ172"/>
  <c r="BP172"/>
  <c r="BO172"/>
  <c r="BN172"/>
  <c r="BM172"/>
  <c r="BK172"/>
  <c r="BJ172"/>
  <c r="BI172"/>
  <c r="BH172"/>
  <c r="BG172"/>
  <c r="BF172"/>
  <c r="BE172"/>
  <c r="BD172"/>
  <c r="BC172"/>
  <c r="BB172"/>
  <c r="AX172"/>
  <c r="AW172"/>
  <c r="AV172"/>
  <c r="AC172"/>
  <c r="H172"/>
  <c r="G172" s="1"/>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c r="AX170"/>
  <c r="AW170"/>
  <c r="AV170"/>
  <c r="AC170"/>
  <c r="H170"/>
  <c r="G170"/>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L167" s="1"/>
  <c r="BK167"/>
  <c r="BJ167"/>
  <c r="BI167"/>
  <c r="BH167"/>
  <c r="BG167"/>
  <c r="BF167"/>
  <c r="BE167"/>
  <c r="BD167"/>
  <c r="BC167"/>
  <c r="BB167"/>
  <c r="AX167"/>
  <c r="AW167"/>
  <c r="AV167"/>
  <c r="AC167"/>
  <c r="H167"/>
  <c r="G167" s="1"/>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BA165" s="1"/>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c r="AX157"/>
  <c r="AW157"/>
  <c r="AV157"/>
  <c r="AC157"/>
  <c r="H157"/>
  <c r="BT156"/>
  <c r="BS156"/>
  <c r="BR156"/>
  <c r="BQ156"/>
  <c r="BP156"/>
  <c r="BO156"/>
  <c r="BN156"/>
  <c r="BM156"/>
  <c r="BK156"/>
  <c r="BJ156"/>
  <c r="BI156"/>
  <c r="BH156"/>
  <c r="BG156"/>
  <c r="BF156"/>
  <c r="BE156"/>
  <c r="BD156"/>
  <c r="BC156"/>
  <c r="BB156"/>
  <c r="AX156"/>
  <c r="AW156"/>
  <c r="AV156"/>
  <c r="AC156"/>
  <c r="H156"/>
  <c r="G156" s="1"/>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c r="AX154"/>
  <c r="AW154"/>
  <c r="AV154"/>
  <c r="AC154"/>
  <c r="H154"/>
  <c r="G154"/>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L151" s="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K149"/>
  <c r="BJ149"/>
  <c r="BI149"/>
  <c r="BH149"/>
  <c r="BG149"/>
  <c r="BF149"/>
  <c r="BE149"/>
  <c r="BD149"/>
  <c r="BC149"/>
  <c r="BB149"/>
  <c r="BA149" s="1"/>
  <c r="AX149"/>
  <c r="AW149"/>
  <c r="AV149"/>
  <c r="AC149"/>
  <c r="H149"/>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L146" s="1"/>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G135" s="1"/>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s="1"/>
  <c r="BK131"/>
  <c r="BJ131"/>
  <c r="BI131"/>
  <c r="BH131"/>
  <c r="BG131"/>
  <c r="BF131"/>
  <c r="BE131"/>
  <c r="BD131"/>
  <c r="BC131"/>
  <c r="BB131"/>
  <c r="AX131"/>
  <c r="AW131"/>
  <c r="AV131"/>
  <c r="AC131"/>
  <c r="H131"/>
  <c r="BT130"/>
  <c r="BS130"/>
  <c r="BR130"/>
  <c r="BQ130"/>
  <c r="BP130"/>
  <c r="BO130"/>
  <c r="BN130"/>
  <c r="BM130"/>
  <c r="BL130"/>
  <c r="BK130"/>
  <c r="BJ130"/>
  <c r="BI130"/>
  <c r="BH130"/>
  <c r="BG130"/>
  <c r="BF130"/>
  <c r="BE130"/>
  <c r="BD130"/>
  <c r="BC130"/>
  <c r="BB130"/>
  <c r="BA130" s="1"/>
  <c r="AX130"/>
  <c r="AW130"/>
  <c r="AV130"/>
  <c r="AC130"/>
  <c r="H130"/>
  <c r="BT129"/>
  <c r="BS129"/>
  <c r="BR129"/>
  <c r="BQ129"/>
  <c r="BP129"/>
  <c r="BO129"/>
  <c r="BN129"/>
  <c r="BM129"/>
  <c r="BL129"/>
  <c r="BK129"/>
  <c r="BJ129"/>
  <c r="BI129"/>
  <c r="BH129"/>
  <c r="BG129"/>
  <c r="BF129"/>
  <c r="BE129"/>
  <c r="BD129"/>
  <c r="BC129"/>
  <c r="BB129"/>
  <c r="BA129" s="1"/>
  <c r="AZ129" s="1"/>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s="1"/>
  <c r="BK127"/>
  <c r="BJ127"/>
  <c r="BI127"/>
  <c r="BH127"/>
  <c r="BG127"/>
  <c r="BF127"/>
  <c r="BE127"/>
  <c r="BD127"/>
  <c r="BC127"/>
  <c r="BB127"/>
  <c r="AX127"/>
  <c r="AW127"/>
  <c r="AV127"/>
  <c r="AC127"/>
  <c r="H127"/>
  <c r="BT126"/>
  <c r="BS126"/>
  <c r="BR126"/>
  <c r="BQ126"/>
  <c r="BP126"/>
  <c r="BO126"/>
  <c r="BN126"/>
  <c r="BM126"/>
  <c r="BL126"/>
  <c r="BK126"/>
  <c r="BJ126"/>
  <c r="BI126"/>
  <c r="BH126"/>
  <c r="BG126"/>
  <c r="BF126"/>
  <c r="BE126"/>
  <c r="BD126"/>
  <c r="BC126"/>
  <c r="BB126"/>
  <c r="BA126" s="1"/>
  <c r="AZ126" s="1"/>
  <c r="AX126"/>
  <c r="AW126"/>
  <c r="AV126"/>
  <c r="AC126"/>
  <c r="H126"/>
  <c r="G126"/>
  <c r="BT125"/>
  <c r="BS125"/>
  <c r="BR125"/>
  <c r="BQ125"/>
  <c r="BP125"/>
  <c r="BO125"/>
  <c r="BN125"/>
  <c r="BM125"/>
  <c r="BL125" s="1"/>
  <c r="BK125"/>
  <c r="BJ125"/>
  <c r="BI125"/>
  <c r="BH125"/>
  <c r="BG125"/>
  <c r="BF125"/>
  <c r="BE125"/>
  <c r="BD125"/>
  <c r="BC125"/>
  <c r="BB125"/>
  <c r="BA125" s="1"/>
  <c r="AZ125" s="1"/>
  <c r="AX125"/>
  <c r="AW125"/>
  <c r="AV125"/>
  <c r="AC125"/>
  <c r="H125"/>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L123" s="1"/>
  <c r="BK123"/>
  <c r="BJ123"/>
  <c r="BI123"/>
  <c r="BH123"/>
  <c r="BG123"/>
  <c r="BF123"/>
  <c r="BE123"/>
  <c r="BD123"/>
  <c r="BC123"/>
  <c r="BB123"/>
  <c r="AX123"/>
  <c r="AW123"/>
  <c r="AV123"/>
  <c r="AC123"/>
  <c r="H123"/>
  <c r="G123" s="1"/>
  <c r="BT122"/>
  <c r="BS122"/>
  <c r="BR122"/>
  <c r="BQ122"/>
  <c r="BP122"/>
  <c r="BO122"/>
  <c r="BN122"/>
  <c r="BM122"/>
  <c r="BK122"/>
  <c r="BJ122"/>
  <c r="BI122"/>
  <c r="BH122"/>
  <c r="BG122"/>
  <c r="BF122"/>
  <c r="BE122"/>
  <c r="BD122"/>
  <c r="BC122"/>
  <c r="BB122"/>
  <c r="AX122"/>
  <c r="AW122"/>
  <c r="AV122"/>
  <c r="AC122"/>
  <c r="H122"/>
  <c r="G122" s="1"/>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AX118"/>
  <c r="AW118"/>
  <c r="AV118"/>
  <c r="AC118"/>
  <c r="H118"/>
  <c r="G118" s="1"/>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H116"/>
  <c r="G116" s="1"/>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L114" s="1"/>
  <c r="BK114"/>
  <c r="BJ114"/>
  <c r="BI114"/>
  <c r="BH114"/>
  <c r="BG114"/>
  <c r="BF114"/>
  <c r="BE114"/>
  <c r="BD114"/>
  <c r="BC114"/>
  <c r="BB114"/>
  <c r="AX114"/>
  <c r="AW114"/>
  <c r="AV114"/>
  <c r="AC114"/>
  <c r="H114"/>
  <c r="BT113"/>
  <c r="BS113"/>
  <c r="BR113"/>
  <c r="BQ113"/>
  <c r="BP113"/>
  <c r="BO113"/>
  <c r="BN113"/>
  <c r="BM113"/>
  <c r="BL113" s="1"/>
  <c r="BK113"/>
  <c r="BJ113"/>
  <c r="BI113"/>
  <c r="BH113"/>
  <c r="BG113"/>
  <c r="BF113"/>
  <c r="BE113"/>
  <c r="BD113"/>
  <c r="BC113"/>
  <c r="BB113"/>
  <c r="AX113"/>
  <c r="AW113"/>
  <c r="AV113"/>
  <c r="AC113"/>
  <c r="H11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L301" s="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G300" s="1"/>
  <c r="BT299"/>
  <c r="BS299"/>
  <c r="BR299"/>
  <c r="BQ299"/>
  <c r="BP299"/>
  <c r="BO299"/>
  <c r="BN299"/>
  <c r="BM299"/>
  <c r="BL299" s="1"/>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L296" s="1"/>
  <c r="BK296"/>
  <c r="BJ296"/>
  <c r="BI296"/>
  <c r="BH296"/>
  <c r="BG296"/>
  <c r="BF296"/>
  <c r="BE296"/>
  <c r="BD296"/>
  <c r="BC296"/>
  <c r="BB296"/>
  <c r="AX296"/>
  <c r="AW296"/>
  <c r="AV296"/>
  <c r="AC296"/>
  <c r="H296"/>
  <c r="BT295"/>
  <c r="BS295"/>
  <c r="BR295"/>
  <c r="BQ295"/>
  <c r="BP295"/>
  <c r="BO295"/>
  <c r="BN295"/>
  <c r="BM295"/>
  <c r="BL295" s="1"/>
  <c r="BK295"/>
  <c r="BJ295"/>
  <c r="BI295"/>
  <c r="BH295"/>
  <c r="BG295"/>
  <c r="BF295"/>
  <c r="BE295"/>
  <c r="BD295"/>
  <c r="BC295"/>
  <c r="BB295"/>
  <c r="AX295"/>
  <c r="AW295"/>
  <c r="AV295"/>
  <c r="AC295"/>
  <c r="H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s="1"/>
  <c r="BT292"/>
  <c r="BS292"/>
  <c r="BR292"/>
  <c r="BQ292"/>
  <c r="BP292"/>
  <c r="BO292"/>
  <c r="BN292"/>
  <c r="BM292"/>
  <c r="BL292" s="1"/>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BA291"/>
  <c r="AX291"/>
  <c r="AW291"/>
  <c r="AV291"/>
  <c r="AC291"/>
  <c r="H291"/>
  <c r="G291"/>
  <c r="BT290"/>
  <c r="BS290"/>
  <c r="BR290"/>
  <c r="BQ290"/>
  <c r="BP290"/>
  <c r="BO290"/>
  <c r="BN290"/>
  <c r="BM290"/>
  <c r="BL290" s="1"/>
  <c r="BK290"/>
  <c r="BJ290"/>
  <c r="BI290"/>
  <c r="BH290"/>
  <c r="BG290"/>
  <c r="BF290"/>
  <c r="BE290"/>
  <c r="BD290"/>
  <c r="BC290"/>
  <c r="BB290"/>
  <c r="BA290" s="1"/>
  <c r="AZ290" s="1"/>
  <c r="AX290"/>
  <c r="AW290"/>
  <c r="AV290"/>
  <c r="AC290"/>
  <c r="H290"/>
  <c r="BT289"/>
  <c r="BS289"/>
  <c r="BR289"/>
  <c r="BQ289"/>
  <c r="BP289"/>
  <c r="BO289"/>
  <c r="BN289"/>
  <c r="BM289"/>
  <c r="BK289"/>
  <c r="BJ289"/>
  <c r="BI289"/>
  <c r="BH289"/>
  <c r="BG289"/>
  <c r="BF289"/>
  <c r="BE289"/>
  <c r="BD289"/>
  <c r="BC289"/>
  <c r="BB289"/>
  <c r="AX289"/>
  <c r="AW289"/>
  <c r="AV289"/>
  <c r="AC289"/>
  <c r="H289"/>
  <c r="G289" s="1"/>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AX287"/>
  <c r="AW287"/>
  <c r="AV287"/>
  <c r="AC287"/>
  <c r="H287"/>
  <c r="G287" s="1"/>
  <c r="BT286"/>
  <c r="BS286"/>
  <c r="BR286"/>
  <c r="BQ286"/>
  <c r="BP286"/>
  <c r="BO286"/>
  <c r="BN286"/>
  <c r="BM286"/>
  <c r="BK286"/>
  <c r="BJ286"/>
  <c r="BI286"/>
  <c r="BH286"/>
  <c r="BG286"/>
  <c r="BF286"/>
  <c r="BE286"/>
  <c r="BD286"/>
  <c r="BC286"/>
  <c r="BB286"/>
  <c r="BA286" s="1"/>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M280"/>
  <c r="BL280" s="1"/>
  <c r="BK280"/>
  <c r="BJ280"/>
  <c r="BI280"/>
  <c r="BH280"/>
  <c r="BG280"/>
  <c r="BF280"/>
  <c r="BE280"/>
  <c r="BD280"/>
  <c r="BC280"/>
  <c r="BB280"/>
  <c r="AX280"/>
  <c r="AW280"/>
  <c r="AV280"/>
  <c r="AC280"/>
  <c r="H280"/>
  <c r="BT279"/>
  <c r="BS279"/>
  <c r="BR279"/>
  <c r="BQ279"/>
  <c r="BP279"/>
  <c r="BO279"/>
  <c r="BN279"/>
  <c r="BM279"/>
  <c r="BL279" s="1"/>
  <c r="BK279"/>
  <c r="BJ279"/>
  <c r="BI279"/>
  <c r="BH279"/>
  <c r="BG279"/>
  <c r="BF279"/>
  <c r="BE279"/>
  <c r="BD279"/>
  <c r="BC279"/>
  <c r="BB279"/>
  <c r="AX279"/>
  <c r="AW279"/>
  <c r="AV279"/>
  <c r="AC279"/>
  <c r="H279"/>
  <c r="BT278"/>
  <c r="BS278"/>
  <c r="BR278"/>
  <c r="BQ278"/>
  <c r="BP278"/>
  <c r="BO278"/>
  <c r="BN278"/>
  <c r="BM278"/>
  <c r="BL278" s="1"/>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s="1"/>
  <c r="BT276"/>
  <c r="BS276"/>
  <c r="BR276"/>
  <c r="BQ276"/>
  <c r="BP276"/>
  <c r="BO276"/>
  <c r="BN276"/>
  <c r="BM276"/>
  <c r="BL276" s="1"/>
  <c r="BK276"/>
  <c r="BJ276"/>
  <c r="BI276"/>
  <c r="BH276"/>
  <c r="BG276"/>
  <c r="BF276"/>
  <c r="BE276"/>
  <c r="BD276"/>
  <c r="BC276"/>
  <c r="BB276"/>
  <c r="AX276"/>
  <c r="AW276"/>
  <c r="AV276"/>
  <c r="AC276"/>
  <c r="H276"/>
  <c r="BT275"/>
  <c r="BS275"/>
  <c r="BR275"/>
  <c r="BQ275"/>
  <c r="BP275"/>
  <c r="BO275"/>
  <c r="BN275"/>
  <c r="BM275"/>
  <c r="BK275"/>
  <c r="BJ275"/>
  <c r="BI275"/>
  <c r="BH275"/>
  <c r="BG275"/>
  <c r="BF275"/>
  <c r="BE275"/>
  <c r="BD275"/>
  <c r="BC275"/>
  <c r="BB275"/>
  <c r="BA275"/>
  <c r="AX275"/>
  <c r="AW275"/>
  <c r="AV275"/>
  <c r="AC275"/>
  <c r="H275"/>
  <c r="G275"/>
  <c r="BT274"/>
  <c r="BS274"/>
  <c r="BR274"/>
  <c r="BQ274"/>
  <c r="BP274"/>
  <c r="BO274"/>
  <c r="BN274"/>
  <c r="BM274"/>
  <c r="BL274" s="1"/>
  <c r="BK274"/>
  <c r="BJ274"/>
  <c r="BI274"/>
  <c r="BH274"/>
  <c r="BG274"/>
  <c r="BF274"/>
  <c r="BE274"/>
  <c r="BD274"/>
  <c r="BC274"/>
  <c r="BB274"/>
  <c r="BA274" s="1"/>
  <c r="AZ274" s="1"/>
  <c r="AX274"/>
  <c r="AW274"/>
  <c r="AV274"/>
  <c r="AC274"/>
  <c r="H274"/>
  <c r="BT273"/>
  <c r="BS273"/>
  <c r="BR273"/>
  <c r="BQ273"/>
  <c r="BP273"/>
  <c r="BO273"/>
  <c r="BN273"/>
  <c r="BM273"/>
  <c r="BK273"/>
  <c r="BJ273"/>
  <c r="BI273"/>
  <c r="BH273"/>
  <c r="BG273"/>
  <c r="BF273"/>
  <c r="BE273"/>
  <c r="BD273"/>
  <c r="BC273"/>
  <c r="BB273"/>
  <c r="AX273"/>
  <c r="AW273"/>
  <c r="AV273"/>
  <c r="AC273"/>
  <c r="H273"/>
  <c r="G273" s="1"/>
  <c r="BT272"/>
  <c r="BS272"/>
  <c r="BR272"/>
  <c r="BQ272"/>
  <c r="BP272"/>
  <c r="BO272"/>
  <c r="BN272"/>
  <c r="BM272"/>
  <c r="BL272" s="1"/>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BA271"/>
  <c r="AX271"/>
  <c r="AW271"/>
  <c r="AV271"/>
  <c r="AC271"/>
  <c r="H271"/>
  <c r="G271"/>
  <c r="BT270"/>
  <c r="BS270"/>
  <c r="BR270"/>
  <c r="BQ270"/>
  <c r="BP270"/>
  <c r="BO270"/>
  <c r="BN270"/>
  <c r="BM270"/>
  <c r="BL270" s="1"/>
  <c r="BK270"/>
  <c r="BJ270"/>
  <c r="BI270"/>
  <c r="BH270"/>
  <c r="BG270"/>
  <c r="BF270"/>
  <c r="BE270"/>
  <c r="BD270"/>
  <c r="BC270"/>
  <c r="BB270"/>
  <c r="BA270" s="1"/>
  <c r="AZ270" s="1"/>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L268" s="1"/>
  <c r="BK268"/>
  <c r="BJ268"/>
  <c r="BI268"/>
  <c r="BH268"/>
  <c r="BG268"/>
  <c r="BF268"/>
  <c r="BE268"/>
  <c r="BD268"/>
  <c r="BC268"/>
  <c r="BB268"/>
  <c r="AX268"/>
  <c r="AW268"/>
  <c r="AV268"/>
  <c r="AC268"/>
  <c r="H268"/>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K266"/>
  <c r="BJ266"/>
  <c r="BI266"/>
  <c r="BH266"/>
  <c r="BG266"/>
  <c r="BF266"/>
  <c r="BE266"/>
  <c r="BD266"/>
  <c r="BC266"/>
  <c r="BB266"/>
  <c r="BA266" s="1"/>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K262"/>
  <c r="BJ262"/>
  <c r="BI262"/>
  <c r="BH262"/>
  <c r="BG262"/>
  <c r="BF262"/>
  <c r="BE262"/>
  <c r="BD262"/>
  <c r="BC262"/>
  <c r="BB262"/>
  <c r="BA262" s="1"/>
  <c r="AX262"/>
  <c r="AW262"/>
  <c r="AV262"/>
  <c r="AC262"/>
  <c r="H262"/>
  <c r="BT261"/>
  <c r="BS261"/>
  <c r="BR261"/>
  <c r="BQ261"/>
  <c r="BP261"/>
  <c r="BO261"/>
  <c r="BN261"/>
  <c r="BM261"/>
  <c r="BL261" s="1"/>
  <c r="BK261"/>
  <c r="BJ261"/>
  <c r="BI261"/>
  <c r="BH261"/>
  <c r="BG261"/>
  <c r="BF261"/>
  <c r="BE261"/>
  <c r="BD261"/>
  <c r="BC261"/>
  <c r="BB261"/>
  <c r="AX261"/>
  <c r="AW261"/>
  <c r="AV261"/>
  <c r="AC261"/>
  <c r="H261"/>
  <c r="BT260"/>
  <c r="BS260"/>
  <c r="BR260"/>
  <c r="BQ260"/>
  <c r="BP260"/>
  <c r="BO260"/>
  <c r="BN260"/>
  <c r="BM260"/>
  <c r="BL260" s="1"/>
  <c r="BK260"/>
  <c r="BJ260"/>
  <c r="BI260"/>
  <c r="BH260"/>
  <c r="BG260"/>
  <c r="BF260"/>
  <c r="BE260"/>
  <c r="BD260"/>
  <c r="BC260"/>
  <c r="BB260"/>
  <c r="AX260"/>
  <c r="AW260"/>
  <c r="AV260"/>
  <c r="AC260"/>
  <c r="H260"/>
  <c r="G260" s="1"/>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K258"/>
  <c r="BJ258"/>
  <c r="BI258"/>
  <c r="BH258"/>
  <c r="BG258"/>
  <c r="BF258"/>
  <c r="BE258"/>
  <c r="BD258"/>
  <c r="BC258"/>
  <c r="BB258"/>
  <c r="BA258" s="1"/>
  <c r="AX258"/>
  <c r="AW258"/>
  <c r="AV258"/>
  <c r="AC258"/>
  <c r="H258"/>
  <c r="BT257"/>
  <c r="BS257"/>
  <c r="BR257"/>
  <c r="BQ257"/>
  <c r="BP257"/>
  <c r="BO257"/>
  <c r="BN257"/>
  <c r="BM257"/>
  <c r="BL257" s="1"/>
  <c r="BK257"/>
  <c r="BJ257"/>
  <c r="BI257"/>
  <c r="BH257"/>
  <c r="BG257"/>
  <c r="BF257"/>
  <c r="BE257"/>
  <c r="BD257"/>
  <c r="BC257"/>
  <c r="BB257"/>
  <c r="AX257"/>
  <c r="AW257"/>
  <c r="AV257"/>
  <c r="AC257"/>
  <c r="H257"/>
  <c r="BT256"/>
  <c r="BS256"/>
  <c r="BR256"/>
  <c r="BQ256"/>
  <c r="BP256"/>
  <c r="BO256"/>
  <c r="BN256"/>
  <c r="BM256"/>
  <c r="BL256" s="1"/>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K246"/>
  <c r="BJ246"/>
  <c r="BI246"/>
  <c r="BH246"/>
  <c r="BG246"/>
  <c r="BF246"/>
  <c r="BE246"/>
  <c r="BD246"/>
  <c r="BC246"/>
  <c r="BB246"/>
  <c r="BA246" s="1"/>
  <c r="AX246"/>
  <c r="AW246"/>
  <c r="AV246"/>
  <c r="AC246"/>
  <c r="H246"/>
  <c r="BT245"/>
  <c r="BS245"/>
  <c r="BR245"/>
  <c r="BQ245"/>
  <c r="BP245"/>
  <c r="BO245"/>
  <c r="BN245"/>
  <c r="BM245"/>
  <c r="BL245" s="1"/>
  <c r="BK245"/>
  <c r="BJ245"/>
  <c r="BI245"/>
  <c r="BH245"/>
  <c r="BG245"/>
  <c r="BF245"/>
  <c r="BE245"/>
  <c r="BD245"/>
  <c r="BC245"/>
  <c r="BB245"/>
  <c r="AX245"/>
  <c r="AW245"/>
  <c r="AV245"/>
  <c r="AC245"/>
  <c r="H245"/>
  <c r="BT244"/>
  <c r="BS244"/>
  <c r="BR244"/>
  <c r="BQ244"/>
  <c r="BP244"/>
  <c r="BO244"/>
  <c r="BN244"/>
  <c r="BM244"/>
  <c r="BL244" s="1"/>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AX243"/>
  <c r="AW243"/>
  <c r="AV243"/>
  <c r="AC243"/>
  <c r="H243"/>
  <c r="G243" s="1"/>
  <c r="BT242"/>
  <c r="BS242"/>
  <c r="BR242"/>
  <c r="BQ242"/>
  <c r="BP242"/>
  <c r="BO242"/>
  <c r="BN242"/>
  <c r="BM242"/>
  <c r="BK242"/>
  <c r="BJ242"/>
  <c r="BI242"/>
  <c r="BH242"/>
  <c r="BG242"/>
  <c r="BF242"/>
  <c r="BE242"/>
  <c r="BD242"/>
  <c r="BC242"/>
  <c r="BB242"/>
  <c r="BA242" s="1"/>
  <c r="AX242"/>
  <c r="AW242"/>
  <c r="AV242"/>
  <c r="AC242"/>
  <c r="H242"/>
  <c r="BT241"/>
  <c r="BS241"/>
  <c r="BR241"/>
  <c r="BQ241"/>
  <c r="BP241"/>
  <c r="BO241"/>
  <c r="BN241"/>
  <c r="BM241"/>
  <c r="BL241" s="1"/>
  <c r="BK241"/>
  <c r="BJ241"/>
  <c r="BI241"/>
  <c r="BH241"/>
  <c r="BG241"/>
  <c r="BF241"/>
  <c r="BE241"/>
  <c r="BD241"/>
  <c r="BC241"/>
  <c r="BB241"/>
  <c r="AX241"/>
  <c r="AW241"/>
  <c r="AV241"/>
  <c r="AC241"/>
  <c r="H24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L239" s="1"/>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AX238"/>
  <c r="AW238"/>
  <c r="AV238"/>
  <c r="AC238"/>
  <c r="H238"/>
  <c r="G238" s="1"/>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BA235" s="1"/>
  <c r="AX235"/>
  <c r="AW235"/>
  <c r="AV235"/>
  <c r="AC235"/>
  <c r="H235"/>
  <c r="G235" s="1"/>
  <c r="BT234"/>
  <c r="BS234"/>
  <c r="BR234"/>
  <c r="BQ234"/>
  <c r="BP234"/>
  <c r="BO234"/>
  <c r="BN234"/>
  <c r="BM234"/>
  <c r="BK234"/>
  <c r="BJ234"/>
  <c r="BI234"/>
  <c r="BH234"/>
  <c r="BG234"/>
  <c r="BF234"/>
  <c r="BE234"/>
  <c r="BD234"/>
  <c r="BC234"/>
  <c r="BB234"/>
  <c r="AX234"/>
  <c r="AW234"/>
  <c r="AV234"/>
  <c r="AC234"/>
  <c r="H234"/>
  <c r="G234" s="1"/>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BA230"/>
  <c r="AX230"/>
  <c r="AW230"/>
  <c r="AV230"/>
  <c r="AC230"/>
  <c r="H230"/>
  <c r="BT229"/>
  <c r="BS229"/>
  <c r="BR229"/>
  <c r="BQ229"/>
  <c r="BP229"/>
  <c r="BO229"/>
  <c r="BN229"/>
  <c r="BM229"/>
  <c r="BL229"/>
  <c r="BK229"/>
  <c r="BJ229"/>
  <c r="BI229"/>
  <c r="BH229"/>
  <c r="BG229"/>
  <c r="BF229"/>
  <c r="BE229"/>
  <c r="BD229"/>
  <c r="BC229"/>
  <c r="BB229"/>
  <c r="BA229" s="1"/>
  <c r="AX229"/>
  <c r="AW229"/>
  <c r="AV229"/>
  <c r="AC229"/>
  <c r="H229"/>
  <c r="BT228"/>
  <c r="BS228"/>
  <c r="BR228"/>
  <c r="BQ228"/>
  <c r="BP228"/>
  <c r="BO228"/>
  <c r="BN228"/>
  <c r="BM228"/>
  <c r="BL228"/>
  <c r="BK228"/>
  <c r="BJ228"/>
  <c r="BI228"/>
  <c r="BH228"/>
  <c r="BG228"/>
  <c r="BF228"/>
  <c r="BE228"/>
  <c r="BD228"/>
  <c r="BC228"/>
  <c r="BB228"/>
  <c r="BA228" s="1"/>
  <c r="AZ228" s="1"/>
  <c r="AX228"/>
  <c r="AW228"/>
  <c r="AV228"/>
  <c r="AC228"/>
  <c r="H228"/>
  <c r="G228"/>
  <c r="BT227"/>
  <c r="BS227"/>
  <c r="BR227"/>
  <c r="BQ227"/>
  <c r="BP227"/>
  <c r="BO227"/>
  <c r="BN227"/>
  <c r="BM227"/>
  <c r="BL227" s="1"/>
  <c r="BK227"/>
  <c r="BJ227"/>
  <c r="BI227"/>
  <c r="BH227"/>
  <c r="BG227"/>
  <c r="BF227"/>
  <c r="BE227"/>
  <c r="BD227"/>
  <c r="BC227"/>
  <c r="BB227"/>
  <c r="BA227" s="1"/>
  <c r="AX227"/>
  <c r="AW227"/>
  <c r="AV227"/>
  <c r="AC227"/>
  <c r="H227"/>
  <c r="BT226"/>
  <c r="BS226"/>
  <c r="BR226"/>
  <c r="BQ226"/>
  <c r="BP226"/>
  <c r="BO226"/>
  <c r="BN226"/>
  <c r="BM226"/>
  <c r="BK226"/>
  <c r="BJ226"/>
  <c r="BI226"/>
  <c r="BH226"/>
  <c r="BG226"/>
  <c r="BF226"/>
  <c r="BE226"/>
  <c r="BD226"/>
  <c r="BC226"/>
  <c r="BB226"/>
  <c r="BA226"/>
  <c r="AX226"/>
  <c r="AW226"/>
  <c r="AV226"/>
  <c r="AC226"/>
  <c r="H226"/>
  <c r="BT225"/>
  <c r="BS225"/>
  <c r="BR225"/>
  <c r="BQ225"/>
  <c r="BP225"/>
  <c r="BO225"/>
  <c r="BN225"/>
  <c r="BM225"/>
  <c r="BL225"/>
  <c r="BK225"/>
  <c r="BJ225"/>
  <c r="BI225"/>
  <c r="BH225"/>
  <c r="BG225"/>
  <c r="BF225"/>
  <c r="BE225"/>
  <c r="BD225"/>
  <c r="BC225"/>
  <c r="BB225"/>
  <c r="BA225" s="1"/>
  <c r="AZ225" s="1"/>
  <c r="AX225"/>
  <c r="AW225"/>
  <c r="AV225"/>
  <c r="AC225"/>
  <c r="H225"/>
  <c r="G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L222" s="1"/>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s="1"/>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BT216"/>
  <c r="BS216"/>
  <c r="BR216"/>
  <c r="BQ216"/>
  <c r="BP216"/>
  <c r="BO216"/>
  <c r="BN216"/>
  <c r="BM216"/>
  <c r="BL216" s="1"/>
  <c r="BK216"/>
  <c r="BJ216"/>
  <c r="BI216"/>
  <c r="BH216"/>
  <c r="BG216"/>
  <c r="BF216"/>
  <c r="BE216"/>
  <c r="BD216"/>
  <c r="BC216"/>
  <c r="BB216"/>
  <c r="AX216"/>
  <c r="AW216"/>
  <c r="AV216"/>
  <c r="AC216"/>
  <c r="H216"/>
  <c r="G216" s="1"/>
  <c r="BT215"/>
  <c r="BS215"/>
  <c r="BR215"/>
  <c r="BQ215"/>
  <c r="BP215"/>
  <c r="BO215"/>
  <c r="BN215"/>
  <c r="BM215"/>
  <c r="BK215"/>
  <c r="BJ215"/>
  <c r="BI215"/>
  <c r="BH215"/>
  <c r="BG215"/>
  <c r="BF215"/>
  <c r="BE215"/>
  <c r="BD215"/>
  <c r="BC215"/>
  <c r="BB215"/>
  <c r="AX215"/>
  <c r="AW215"/>
  <c r="AV215"/>
  <c r="AC215"/>
  <c r="H215"/>
  <c r="G215" s="1"/>
  <c r="BT214"/>
  <c r="BS214"/>
  <c r="BR214"/>
  <c r="BQ214"/>
  <c r="BP214"/>
  <c r="BO214"/>
  <c r="BN214"/>
  <c r="BM214"/>
  <c r="BK214"/>
  <c r="BJ214"/>
  <c r="BI214"/>
  <c r="BH214"/>
  <c r="BG214"/>
  <c r="BF214"/>
  <c r="BE214"/>
  <c r="BD214"/>
  <c r="BC214"/>
  <c r="BB214"/>
  <c r="BA214" s="1"/>
  <c r="AX214"/>
  <c r="AW214"/>
  <c r="AV214"/>
  <c r="AC214"/>
  <c r="H214"/>
  <c r="G214" s="1"/>
  <c r="BT213"/>
  <c r="BS213"/>
  <c r="BR213"/>
  <c r="BQ213"/>
  <c r="BP213"/>
  <c r="BO213"/>
  <c r="BN213"/>
  <c r="BM213"/>
  <c r="BK213"/>
  <c r="BJ213"/>
  <c r="BI213"/>
  <c r="BH213"/>
  <c r="BG213"/>
  <c r="BF213"/>
  <c r="BE213"/>
  <c r="BD213"/>
  <c r="BC213"/>
  <c r="BB213"/>
  <c r="AX213"/>
  <c r="AW213"/>
  <c r="AV213"/>
  <c r="AC213"/>
  <c r="H213"/>
  <c r="G213" s="1"/>
  <c r="BT212"/>
  <c r="BS212"/>
  <c r="BR212"/>
  <c r="BQ212"/>
  <c r="BP212"/>
  <c r="BO212"/>
  <c r="BN212"/>
  <c r="BM212"/>
  <c r="BL212" s="1"/>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BA211"/>
  <c r="AX211"/>
  <c r="AW211"/>
  <c r="AV211"/>
  <c r="AC211"/>
  <c r="H211"/>
  <c r="BT210"/>
  <c r="BS210"/>
  <c r="BR210"/>
  <c r="BQ210"/>
  <c r="BP210"/>
  <c r="BO210"/>
  <c r="BN210"/>
  <c r="BM210"/>
  <c r="BL210"/>
  <c r="BK210"/>
  <c r="BJ210"/>
  <c r="BI210"/>
  <c r="BH210"/>
  <c r="BG210"/>
  <c r="BF210"/>
  <c r="BE210"/>
  <c r="BD210"/>
  <c r="BC210"/>
  <c r="BB210"/>
  <c r="BA210" s="1"/>
  <c r="AZ210" s="1"/>
  <c r="AX210"/>
  <c r="AW210"/>
  <c r="AV210"/>
  <c r="AC210"/>
  <c r="H210"/>
  <c r="G210"/>
  <c r="BT209"/>
  <c r="BS209"/>
  <c r="BR209"/>
  <c r="BQ209"/>
  <c r="BP209"/>
  <c r="BO209"/>
  <c r="BN209"/>
  <c r="BM209"/>
  <c r="BL209" s="1"/>
  <c r="BK209"/>
  <c r="BJ209"/>
  <c r="BI209"/>
  <c r="BH209"/>
  <c r="BG209"/>
  <c r="BF209"/>
  <c r="BE209"/>
  <c r="BD209"/>
  <c r="BC209"/>
  <c r="BB209"/>
  <c r="BA209" s="1"/>
  <c r="AX209"/>
  <c r="AW209"/>
  <c r="AV209"/>
  <c r="AC209"/>
  <c r="H209"/>
  <c r="BT208"/>
  <c r="BS208"/>
  <c r="BR208"/>
  <c r="BQ208"/>
  <c r="BP208"/>
  <c r="BO208"/>
  <c r="BN208"/>
  <c r="BM208"/>
  <c r="BK208"/>
  <c r="BJ208"/>
  <c r="BI208"/>
  <c r="BH208"/>
  <c r="BG208"/>
  <c r="BF208"/>
  <c r="BE208"/>
  <c r="BD208"/>
  <c r="BC208"/>
  <c r="BB208"/>
  <c r="BA208"/>
  <c r="AX208"/>
  <c r="AW208"/>
  <c r="AV208"/>
  <c r="AC208"/>
  <c r="H208"/>
  <c r="BT397"/>
  <c r="BS397"/>
  <c r="BR397"/>
  <c r="BQ397"/>
  <c r="BP397"/>
  <c r="BO397"/>
  <c r="BN397"/>
  <c r="BM397"/>
  <c r="BL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BA395"/>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BA384" s="1"/>
  <c r="AX384"/>
  <c r="AW384"/>
  <c r="AV384"/>
  <c r="AC384"/>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s="1"/>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G374" s="1"/>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s="1"/>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L367" s="1"/>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L333"/>
  <c r="BK333"/>
  <c r="BJ333"/>
  <c r="BI333"/>
  <c r="BH333"/>
  <c r="BG333"/>
  <c r="BF333"/>
  <c r="BE333"/>
  <c r="BD333"/>
  <c r="BC333"/>
  <c r="BB333"/>
  <c r="BA333" s="1"/>
  <c r="AX333"/>
  <c r="AW333"/>
  <c r="AV333"/>
  <c r="AC333"/>
  <c r="H333"/>
  <c r="BT332"/>
  <c r="BS332"/>
  <c r="BR332"/>
  <c r="BQ332"/>
  <c r="BP332"/>
  <c r="BO332"/>
  <c r="BN332"/>
  <c r="BM332"/>
  <c r="BK332"/>
  <c r="BJ332"/>
  <c r="BI332"/>
  <c r="BH332"/>
  <c r="BG332"/>
  <c r="BF332"/>
  <c r="BE332"/>
  <c r="BD332"/>
  <c r="BC332"/>
  <c r="BB332"/>
  <c r="BA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L328" s="1"/>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492"/>
  <c r="BS492"/>
  <c r="BR492"/>
  <c r="BQ492"/>
  <c r="BP492"/>
  <c r="BO492"/>
  <c r="BN492"/>
  <c r="BM492"/>
  <c r="BL492" s="1"/>
  <c r="BK492"/>
  <c r="BJ492"/>
  <c r="BI492"/>
  <c r="BH492"/>
  <c r="BG492"/>
  <c r="BF492"/>
  <c r="BE492"/>
  <c r="BD492"/>
  <c r="BC492"/>
  <c r="BB492"/>
  <c r="AX492"/>
  <c r="AW492"/>
  <c r="AV492"/>
  <c r="AC492"/>
  <c r="H492"/>
  <c r="BT491"/>
  <c r="BS491"/>
  <c r="BR491"/>
  <c r="BQ491"/>
  <c r="BP491"/>
  <c r="BO491"/>
  <c r="BN491"/>
  <c r="BM491"/>
  <c r="BK491"/>
  <c r="BJ491"/>
  <c r="BI491"/>
  <c r="BH491"/>
  <c r="BG491"/>
  <c r="BF491"/>
  <c r="BE491"/>
  <c r="BD491"/>
  <c r="BC491"/>
  <c r="BB491"/>
  <c r="BA491"/>
  <c r="AX491"/>
  <c r="AW491"/>
  <c r="AV491"/>
  <c r="AC491"/>
  <c r="H491"/>
  <c r="G49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B489"/>
  <c r="AX489"/>
  <c r="AW489"/>
  <c r="AV489"/>
  <c r="AC489"/>
  <c r="H489"/>
  <c r="G489" s="1"/>
  <c r="BT488"/>
  <c r="BS488"/>
  <c r="BR488"/>
  <c r="BQ488"/>
  <c r="BP488"/>
  <c r="BO488"/>
  <c r="BN488"/>
  <c r="BM488"/>
  <c r="BL488" s="1"/>
  <c r="BK488"/>
  <c r="BJ488"/>
  <c r="BI488"/>
  <c r="BH488"/>
  <c r="BG488"/>
  <c r="BF488"/>
  <c r="BE488"/>
  <c r="BD488"/>
  <c r="BC488"/>
  <c r="BB488"/>
  <c r="AX488"/>
  <c r="AW488"/>
  <c r="AV488"/>
  <c r="AC488"/>
  <c r="H488"/>
  <c r="BT487"/>
  <c r="BS487"/>
  <c r="BR487"/>
  <c r="BQ487"/>
  <c r="BP487"/>
  <c r="BO487"/>
  <c r="BN487"/>
  <c r="BM487"/>
  <c r="BK487"/>
  <c r="BJ487"/>
  <c r="BI487"/>
  <c r="BH487"/>
  <c r="BG487"/>
  <c r="BF487"/>
  <c r="BE487"/>
  <c r="BD487"/>
  <c r="BC487"/>
  <c r="BB487"/>
  <c r="BA487"/>
  <c r="AX487"/>
  <c r="AW487"/>
  <c r="AV487"/>
  <c r="AC487"/>
  <c r="H487"/>
  <c r="G487"/>
  <c r="BT486"/>
  <c r="BS486"/>
  <c r="BR486"/>
  <c r="BQ486"/>
  <c r="BP486"/>
  <c r="BO486"/>
  <c r="BN486"/>
  <c r="BM486"/>
  <c r="BL486" s="1"/>
  <c r="BK486"/>
  <c r="BJ486"/>
  <c r="BI486"/>
  <c r="BH486"/>
  <c r="BG486"/>
  <c r="BF486"/>
  <c r="BE486"/>
  <c r="BD486"/>
  <c r="BC486"/>
  <c r="BB486"/>
  <c r="BA486" s="1"/>
  <c r="AZ486" s="1"/>
  <c r="AX486"/>
  <c r="AW486"/>
  <c r="AV486"/>
  <c r="AC486"/>
  <c r="H486"/>
  <c r="BT485"/>
  <c r="BS485"/>
  <c r="BR485"/>
  <c r="BQ485"/>
  <c r="BP485"/>
  <c r="BO485"/>
  <c r="BN485"/>
  <c r="BM485"/>
  <c r="BK485"/>
  <c r="BJ485"/>
  <c r="BI485"/>
  <c r="BH485"/>
  <c r="BG485"/>
  <c r="BF485"/>
  <c r="BE485"/>
  <c r="BD485"/>
  <c r="BC485"/>
  <c r="BB485"/>
  <c r="AX485"/>
  <c r="AW485"/>
  <c r="AV485"/>
  <c r="AC485"/>
  <c r="H485"/>
  <c r="G485" s="1"/>
  <c r="BT484"/>
  <c r="BS484"/>
  <c r="BR484"/>
  <c r="BQ484"/>
  <c r="BP484"/>
  <c r="BO484"/>
  <c r="BN484"/>
  <c r="BM484"/>
  <c r="BL484" s="1"/>
  <c r="BK484"/>
  <c r="BJ484"/>
  <c r="BI484"/>
  <c r="BH484"/>
  <c r="BG484"/>
  <c r="BF484"/>
  <c r="BE484"/>
  <c r="BD484"/>
  <c r="BC484"/>
  <c r="BB484"/>
  <c r="AX484"/>
  <c r="AW484"/>
  <c r="AV484"/>
  <c r="AC484"/>
  <c r="H484"/>
  <c r="BT483"/>
  <c r="BS483"/>
  <c r="BR483"/>
  <c r="BQ483"/>
  <c r="BP483"/>
  <c r="BO483"/>
  <c r="BN483"/>
  <c r="BM483"/>
  <c r="BL483"/>
  <c r="BK483"/>
  <c r="BJ483"/>
  <c r="BI483"/>
  <c r="BH483"/>
  <c r="BG483"/>
  <c r="BF483"/>
  <c r="BE483"/>
  <c r="BD483"/>
  <c r="BC483"/>
  <c r="BB483"/>
  <c r="BA483" s="1"/>
  <c r="AZ483" s="1"/>
  <c r="AX483"/>
  <c r="AW483"/>
  <c r="AV483"/>
  <c r="AC483"/>
  <c r="H483"/>
  <c r="BT482"/>
  <c r="BS482"/>
  <c r="BR482"/>
  <c r="BQ482"/>
  <c r="BP482"/>
  <c r="BO482"/>
  <c r="BN482"/>
  <c r="BM482"/>
  <c r="BL482"/>
  <c r="BK482"/>
  <c r="BJ482"/>
  <c r="BI482"/>
  <c r="BH482"/>
  <c r="BG482"/>
  <c r="BF482"/>
  <c r="BE482"/>
  <c r="BD482"/>
  <c r="BC482"/>
  <c r="BB482"/>
  <c r="BA482" s="1"/>
  <c r="AZ482" s="1"/>
  <c r="AX482"/>
  <c r="AW482"/>
  <c r="AV482"/>
  <c r="AC482"/>
  <c r="H482"/>
  <c r="G482"/>
  <c r="BT481"/>
  <c r="BS481"/>
  <c r="BR481"/>
  <c r="BQ481"/>
  <c r="BP481"/>
  <c r="BO481"/>
  <c r="BN481"/>
  <c r="BM481"/>
  <c r="BL481" s="1"/>
  <c r="BK481"/>
  <c r="BJ481"/>
  <c r="BI481"/>
  <c r="BH481"/>
  <c r="BG481"/>
  <c r="BF481"/>
  <c r="BE481"/>
  <c r="BD481"/>
  <c r="BC481"/>
  <c r="BB481"/>
  <c r="BA481" s="1"/>
  <c r="AX481"/>
  <c r="AW481"/>
  <c r="AV481"/>
  <c r="AC481"/>
  <c r="H48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M479"/>
  <c r="BL479"/>
  <c r="BK479"/>
  <c r="BJ479"/>
  <c r="BI479"/>
  <c r="BH479"/>
  <c r="BG479"/>
  <c r="BF479"/>
  <c r="BE479"/>
  <c r="BD479"/>
  <c r="BC479"/>
  <c r="BB479"/>
  <c r="BA479" s="1"/>
  <c r="AZ479" s="1"/>
  <c r="AX479"/>
  <c r="AW479"/>
  <c r="AV479"/>
  <c r="AC479"/>
  <c r="H479"/>
  <c r="BT478"/>
  <c r="BS478"/>
  <c r="BR478"/>
  <c r="BQ478"/>
  <c r="BP478"/>
  <c r="BO478"/>
  <c r="BN478"/>
  <c r="BM478"/>
  <c r="BL478"/>
  <c r="BK478"/>
  <c r="BJ478"/>
  <c r="BI478"/>
  <c r="BH478"/>
  <c r="BG478"/>
  <c r="BF478"/>
  <c r="BE478"/>
  <c r="BD478"/>
  <c r="BC478"/>
  <c r="BB478"/>
  <c r="BA478" s="1"/>
  <c r="AZ478" s="1"/>
  <c r="AX478"/>
  <c r="AW478"/>
  <c r="AV478"/>
  <c r="AC478"/>
  <c r="H478"/>
  <c r="G478"/>
  <c r="BT477"/>
  <c r="BS477"/>
  <c r="BR477"/>
  <c r="BQ477"/>
  <c r="BP477"/>
  <c r="BO477"/>
  <c r="BN477"/>
  <c r="BM477"/>
  <c r="BL477" s="1"/>
  <c r="BK477"/>
  <c r="BJ477"/>
  <c r="BI477"/>
  <c r="BH477"/>
  <c r="BG477"/>
  <c r="BF477"/>
  <c r="BE477"/>
  <c r="BD477"/>
  <c r="BC477"/>
  <c r="BB477"/>
  <c r="BA477" s="1"/>
  <c r="AX477"/>
  <c r="AW477"/>
  <c r="AV477"/>
  <c r="AC477"/>
  <c r="H477"/>
  <c r="BT476"/>
  <c r="BS476"/>
  <c r="BR476"/>
  <c r="BQ476"/>
  <c r="BP476"/>
  <c r="BO476"/>
  <c r="BN476"/>
  <c r="BM476"/>
  <c r="BK476"/>
  <c r="BJ476"/>
  <c r="BI476"/>
  <c r="BH476"/>
  <c r="BG476"/>
  <c r="BF476"/>
  <c r="BE476"/>
  <c r="BD476"/>
  <c r="BC476"/>
  <c r="BB476"/>
  <c r="BA476"/>
  <c r="AX476"/>
  <c r="AW476"/>
  <c r="AV476"/>
  <c r="AC476"/>
  <c r="H476"/>
  <c r="BT475"/>
  <c r="BS475"/>
  <c r="BR475"/>
  <c r="BQ475"/>
  <c r="BP475"/>
  <c r="BO475"/>
  <c r="BN475"/>
  <c r="BM475"/>
  <c r="BL475"/>
  <c r="BK475"/>
  <c r="BJ475"/>
  <c r="BI475"/>
  <c r="BH475"/>
  <c r="BG475"/>
  <c r="BF475"/>
  <c r="BE475"/>
  <c r="BD475"/>
  <c r="BC475"/>
  <c r="BB475"/>
  <c r="BA475" s="1"/>
  <c r="AZ475" s="1"/>
  <c r="AX475"/>
  <c r="AW475"/>
  <c r="AV475"/>
  <c r="AC475"/>
  <c r="H475"/>
  <c r="BT474"/>
  <c r="BS474"/>
  <c r="BR474"/>
  <c r="BQ474"/>
  <c r="BP474"/>
  <c r="BO474"/>
  <c r="BN474"/>
  <c r="BM474"/>
  <c r="BL474"/>
  <c r="BK474"/>
  <c r="BJ474"/>
  <c r="BI474"/>
  <c r="BH474"/>
  <c r="BG474"/>
  <c r="BF474"/>
  <c r="BE474"/>
  <c r="BD474"/>
  <c r="BC474"/>
  <c r="BB474"/>
  <c r="BA474" s="1"/>
  <c r="AZ474" s="1"/>
  <c r="AX474"/>
  <c r="AW474"/>
  <c r="AV474"/>
  <c r="AC474"/>
  <c r="H474"/>
  <c r="G474"/>
  <c r="BT473"/>
  <c r="BS473"/>
  <c r="BR473"/>
  <c r="BQ473"/>
  <c r="BP473"/>
  <c r="BO473"/>
  <c r="BN473"/>
  <c r="BM473"/>
  <c r="BL473" s="1"/>
  <c r="BK473"/>
  <c r="BJ473"/>
  <c r="BI473"/>
  <c r="BH473"/>
  <c r="BG473"/>
  <c r="BF473"/>
  <c r="BE473"/>
  <c r="BD473"/>
  <c r="BC473"/>
  <c r="BB473"/>
  <c r="BA473" s="1"/>
  <c r="AX473"/>
  <c r="AW473"/>
  <c r="AV473"/>
  <c r="AC473"/>
  <c r="H473"/>
  <c r="BT472"/>
  <c r="BS472"/>
  <c r="BR472"/>
  <c r="BQ472"/>
  <c r="BP472"/>
  <c r="BO472"/>
  <c r="BN472"/>
  <c r="BM472"/>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s="1"/>
  <c r="AX469"/>
  <c r="AW469"/>
  <c r="AV469"/>
  <c r="AC469"/>
  <c r="H469"/>
  <c r="G469" s="1"/>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L464"/>
  <c r="BK464"/>
  <c r="BJ464"/>
  <c r="BI464"/>
  <c r="BH464"/>
  <c r="BG464"/>
  <c r="BF464"/>
  <c r="BE464"/>
  <c r="BD464"/>
  <c r="BC464"/>
  <c r="BB464"/>
  <c r="BA464" s="1"/>
  <c r="AZ464" s="1"/>
  <c r="AX464"/>
  <c r="AW464"/>
  <c r="AV464"/>
  <c r="AC464"/>
  <c r="H464"/>
  <c r="BT463"/>
  <c r="BS463"/>
  <c r="BR463"/>
  <c r="BQ463"/>
  <c r="BP463"/>
  <c r="BO463"/>
  <c r="BN463"/>
  <c r="BM463"/>
  <c r="BL463"/>
  <c r="BK463"/>
  <c r="BJ463"/>
  <c r="BI463"/>
  <c r="BH463"/>
  <c r="BG463"/>
  <c r="BF463"/>
  <c r="BE463"/>
  <c r="BD463"/>
  <c r="BC463"/>
  <c r="BB463"/>
  <c r="BA463" s="1"/>
  <c r="AZ463" s="1"/>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M460"/>
  <c r="BL460"/>
  <c r="BK460"/>
  <c r="BJ460"/>
  <c r="BI460"/>
  <c r="BH460"/>
  <c r="BG460"/>
  <c r="BF460"/>
  <c r="BE460"/>
  <c r="BD460"/>
  <c r="BC460"/>
  <c r="BB460"/>
  <c r="BA460" s="1"/>
  <c r="AZ460" s="1"/>
  <c r="AX460"/>
  <c r="AW460"/>
  <c r="AV460"/>
  <c r="AC460"/>
  <c r="H460"/>
  <c r="G460"/>
  <c r="BT459"/>
  <c r="BS459"/>
  <c r="BR459"/>
  <c r="BQ459"/>
  <c r="BP459"/>
  <c r="BO459"/>
  <c r="BN459"/>
  <c r="BM459"/>
  <c r="BL459" s="1"/>
  <c r="BK459"/>
  <c r="BJ459"/>
  <c r="BI459"/>
  <c r="BH459"/>
  <c r="BG459"/>
  <c r="BF459"/>
  <c r="BE459"/>
  <c r="BD459"/>
  <c r="BC459"/>
  <c r="BB459"/>
  <c r="BA459" s="1"/>
  <c r="AX459"/>
  <c r="AW459"/>
  <c r="AV459"/>
  <c r="AC459"/>
  <c r="H459"/>
  <c r="BT458"/>
  <c r="BS458"/>
  <c r="BR458"/>
  <c r="BQ458"/>
  <c r="BP458"/>
  <c r="BO458"/>
  <c r="BN458"/>
  <c r="BM458"/>
  <c r="BK458"/>
  <c r="BJ458"/>
  <c r="BI458"/>
  <c r="BH458"/>
  <c r="BG458"/>
  <c r="BF458"/>
  <c r="BE458"/>
  <c r="BD458"/>
  <c r="BC458"/>
  <c r="BB458"/>
  <c r="BA458"/>
  <c r="AX458"/>
  <c r="AW458"/>
  <c r="AV458"/>
  <c r="AC458"/>
  <c r="H458"/>
  <c r="G458"/>
  <c r="BT457"/>
  <c r="BS457"/>
  <c r="BR457"/>
  <c r="BQ457"/>
  <c r="BP457"/>
  <c r="BO457"/>
  <c r="BN457"/>
  <c r="BM457"/>
  <c r="BL457" s="1"/>
  <c r="BK457"/>
  <c r="BJ457"/>
  <c r="BI457"/>
  <c r="BH457"/>
  <c r="BG457"/>
  <c r="BF457"/>
  <c r="BE457"/>
  <c r="BD457"/>
  <c r="BC457"/>
  <c r="BB457"/>
  <c r="BA457" s="1"/>
  <c r="AX457"/>
  <c r="AW457"/>
  <c r="AV457"/>
  <c r="AC457"/>
  <c r="H457"/>
  <c r="BT456"/>
  <c r="BS456"/>
  <c r="BR456"/>
  <c r="BQ456"/>
  <c r="BP456"/>
  <c r="BO456"/>
  <c r="BN456"/>
  <c r="BM456"/>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BA454"/>
  <c r="AX454"/>
  <c r="AW454"/>
  <c r="AV454"/>
  <c r="AC454"/>
  <c r="H454"/>
  <c r="G454"/>
  <c r="BT453"/>
  <c r="BS453"/>
  <c r="BR453"/>
  <c r="BQ453"/>
  <c r="BP453"/>
  <c r="BO453"/>
  <c r="BN453"/>
  <c r="BM453"/>
  <c r="BL453" s="1"/>
  <c r="BK453"/>
  <c r="BJ453"/>
  <c r="BI453"/>
  <c r="BH453"/>
  <c r="BG453"/>
  <c r="BF453"/>
  <c r="BE453"/>
  <c r="BD453"/>
  <c r="BC453"/>
  <c r="BB453"/>
  <c r="BA453" s="1"/>
  <c r="AZ453" s="1"/>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G451" s="1"/>
  <c r="BT450"/>
  <c r="BS450"/>
  <c r="BR450"/>
  <c r="BQ450"/>
  <c r="BP450"/>
  <c r="BO450"/>
  <c r="BN450"/>
  <c r="BM450"/>
  <c r="BK450"/>
  <c r="BJ450"/>
  <c r="BI450"/>
  <c r="BH450"/>
  <c r="BG450"/>
  <c r="BF450"/>
  <c r="BE450"/>
  <c r="BD450"/>
  <c r="BC450"/>
  <c r="BB450"/>
  <c r="AX450"/>
  <c r="AW450"/>
  <c r="AV450"/>
  <c r="AC450"/>
  <c r="H450"/>
  <c r="G450" s="1"/>
  <c r="BT449"/>
  <c r="BS449"/>
  <c r="BR449"/>
  <c r="BQ449"/>
  <c r="BP449"/>
  <c r="BO449"/>
  <c r="BN449"/>
  <c r="BM449"/>
  <c r="BK449"/>
  <c r="BJ449"/>
  <c r="BI449"/>
  <c r="BH449"/>
  <c r="BG449"/>
  <c r="BF449"/>
  <c r="BE449"/>
  <c r="BD449"/>
  <c r="BC449"/>
  <c r="BB449"/>
  <c r="BA449" s="1"/>
  <c r="AX449"/>
  <c r="AW449"/>
  <c r="AV449"/>
  <c r="AC449"/>
  <c r="H449"/>
  <c r="BT448"/>
  <c r="BS448"/>
  <c r="BR448"/>
  <c r="BQ448"/>
  <c r="BP448"/>
  <c r="BO448"/>
  <c r="BN448"/>
  <c r="BM448"/>
  <c r="BL448" s="1"/>
  <c r="BK448"/>
  <c r="BJ448"/>
  <c r="BI448"/>
  <c r="BH448"/>
  <c r="BG448"/>
  <c r="BF448"/>
  <c r="BE448"/>
  <c r="BD448"/>
  <c r="BC448"/>
  <c r="BB448"/>
  <c r="AX448"/>
  <c r="AW448"/>
  <c r="AV448"/>
  <c r="AC448"/>
  <c r="H448"/>
  <c r="BT447"/>
  <c r="BS447"/>
  <c r="BR447"/>
  <c r="BQ447"/>
  <c r="BP447"/>
  <c r="BO447"/>
  <c r="BN447"/>
  <c r="BM447"/>
  <c r="BL447" s="1"/>
  <c r="BK447"/>
  <c r="BJ447"/>
  <c r="BI447"/>
  <c r="BH447"/>
  <c r="BG447"/>
  <c r="BF447"/>
  <c r="BE447"/>
  <c r="BD447"/>
  <c r="BC447"/>
  <c r="BB447"/>
  <c r="AX447"/>
  <c r="AW447"/>
  <c r="AV447"/>
  <c r="AC447"/>
  <c r="H447"/>
  <c r="G447" s="1"/>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s="1"/>
  <c r="AX445"/>
  <c r="AW445"/>
  <c r="AV445"/>
  <c r="AC445"/>
  <c r="H445"/>
  <c r="BT444"/>
  <c r="BS444"/>
  <c r="BR444"/>
  <c r="BQ444"/>
  <c r="BP444"/>
  <c r="BO444"/>
  <c r="BN444"/>
  <c r="BM444"/>
  <c r="BL444" s="1"/>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s="1"/>
  <c r="AX442"/>
  <c r="AW442"/>
  <c r="AV442"/>
  <c r="AC442"/>
  <c r="H442"/>
  <c r="G442" s="1"/>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471" i="31"/>
  <c r="S471" s="1"/>
  <c r="R472"/>
  <c r="R473"/>
  <c r="S473" s="1"/>
  <c r="R474"/>
  <c r="R475"/>
  <c r="S475" s="1"/>
  <c r="R476"/>
  <c r="R477"/>
  <c r="S477" s="1"/>
  <c r="R478"/>
  <c r="R479"/>
  <c r="S479" s="1"/>
  <c r="R480"/>
  <c r="R481"/>
  <c r="S481" s="1"/>
  <c r="R482"/>
  <c r="R483"/>
  <c r="S483" s="1"/>
  <c r="R484"/>
  <c r="R485"/>
  <c r="S485" s="1"/>
  <c r="R486"/>
  <c r="R487"/>
  <c r="S487" s="1"/>
  <c r="R488"/>
  <c r="R489"/>
  <c r="S489" s="1"/>
  <c r="R490"/>
  <c r="R491"/>
  <c r="S491" s="1"/>
  <c r="R492"/>
  <c r="R493"/>
  <c r="S493" s="1"/>
  <c r="R494"/>
  <c r="R495"/>
  <c r="S495" s="1"/>
  <c r="R496"/>
  <c r="R497"/>
  <c r="S497" s="1"/>
  <c r="R498"/>
  <c r="R499"/>
  <c r="S499" s="1"/>
  <c r="R500"/>
  <c r="R501"/>
  <c r="R502"/>
  <c r="R503"/>
  <c r="S503" s="1"/>
  <c r="R504"/>
  <c r="R505"/>
  <c r="R506"/>
  <c r="R507"/>
  <c r="R508"/>
  <c r="R509"/>
  <c r="R510"/>
  <c r="R511"/>
  <c r="R512"/>
  <c r="R513"/>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E20"/>
  <c r="E21"/>
  <c r="K8" i="1" s="1"/>
  <c r="M8" s="1"/>
  <c r="F23" i="15"/>
  <c r="D24" s="1"/>
  <c r="O8" i="1"/>
  <c r="P8" s="1"/>
  <c r="M13"/>
  <c r="O13" s="1"/>
  <c r="P13" s="1"/>
  <c r="E22" i="6"/>
  <c r="E23"/>
  <c r="E24"/>
  <c r="E25"/>
  <c r="E26"/>
  <c r="BB13" i="3"/>
  <c r="BB5" s="1"/>
  <c r="E8" i="6" s="1"/>
  <c r="F27" s="1"/>
  <c r="BC13" i="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H5" s="1"/>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H30" s="1"/>
  <c r="AB30" s="1"/>
  <c r="C28"/>
  <c r="C23" i="39"/>
  <c r="C19" i="40"/>
  <c r="D27" i="9"/>
  <c r="C25"/>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96"/>
  <c r="S494"/>
  <c r="S492"/>
  <c r="S490"/>
  <c r="S488"/>
  <c r="S486"/>
  <c r="S484"/>
  <c r="S482"/>
  <c r="S480"/>
  <c r="S478"/>
  <c r="S476"/>
  <c r="S474"/>
  <c r="S472"/>
  <c r="S506"/>
  <c r="S504"/>
  <c r="S502"/>
  <c r="S500"/>
  <c r="S498"/>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G552" s="1"/>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s="1"/>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s="1"/>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AB31" s="1"/>
  <c r="F31"/>
  <c r="D87"/>
  <c r="E87" s="1"/>
  <c r="F87" s="1"/>
  <c r="G87" s="1"/>
  <c r="H87" s="1"/>
  <c r="I87" s="1"/>
  <c r="J87" s="1"/>
  <c r="K87" s="1"/>
  <c r="L87" s="1"/>
  <c r="M87" s="1"/>
  <c r="H34" i="37"/>
  <c r="D101"/>
  <c r="F34"/>
  <c r="D99"/>
  <c r="E99" s="1"/>
  <c r="F99" s="1"/>
  <c r="G99" s="1"/>
  <c r="H99" s="1"/>
  <c r="I99" s="1"/>
  <c r="J99" s="1"/>
  <c r="K99" s="1"/>
  <c r="L99" s="1"/>
  <c r="M99" s="1"/>
  <c r="H42" i="34"/>
  <c r="J42"/>
  <c r="W42" s="1"/>
  <c r="F42"/>
  <c r="J38"/>
  <c r="W38" s="1"/>
  <c r="D114"/>
  <c r="F38"/>
  <c r="S38" s="1"/>
  <c r="D112"/>
  <c r="E112" s="1"/>
  <c r="F112" s="1"/>
  <c r="G112" s="1"/>
  <c r="H112" s="1"/>
  <c r="I112" s="1"/>
  <c r="J112" s="1"/>
  <c r="K112" s="1"/>
  <c r="L112" s="1"/>
  <c r="M112" s="1"/>
  <c r="F40" i="33"/>
  <c r="S40" s="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B118"/>
  <c r="J39" s="1"/>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J40"/>
  <c r="W40" s="1"/>
  <c r="H40"/>
  <c r="AB40" s="1"/>
  <c r="F40"/>
  <c r="AA40" s="1"/>
  <c r="Q39"/>
  <c r="Z39"/>
  <c r="Q38"/>
  <c r="Z38" s="1"/>
  <c r="J38"/>
  <c r="AC38" s="1"/>
  <c r="H38"/>
  <c r="AB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H12" s="1"/>
  <c r="B131" i="34"/>
  <c r="B129"/>
  <c r="B127"/>
  <c r="B99"/>
  <c r="B97"/>
  <c r="B95"/>
  <c r="B93"/>
  <c r="B75"/>
  <c r="B73"/>
  <c r="B71"/>
  <c r="J12" s="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F12"/>
  <c r="S12" s="1"/>
  <c r="Q11"/>
  <c r="Z11" s="1"/>
  <c r="Q10"/>
  <c r="Z10" s="1"/>
  <c r="Q9"/>
  <c r="Z9" s="1"/>
  <c r="J8"/>
  <c r="W8" s="1"/>
  <c r="H8"/>
  <c r="AB8" s="1"/>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H12"/>
  <c r="Q11"/>
  <c r="Z11" s="1"/>
  <c r="Q10"/>
  <c r="Z10" s="1"/>
  <c r="F10"/>
  <c r="AA10" s="1"/>
  <c r="Q9"/>
  <c r="Z9" s="1"/>
  <c r="J9"/>
  <c r="AC9" s="1"/>
  <c r="F9"/>
  <c r="AA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J9" s="1"/>
  <c r="AC9" s="1"/>
  <c r="H54"/>
  <c r="F54"/>
  <c r="P49"/>
  <c r="P48"/>
  <c r="V47"/>
  <c r="T47"/>
  <c r="R47"/>
  <c r="P47"/>
  <c r="Q46"/>
  <c r="Z46" s="1"/>
  <c r="Q45"/>
  <c r="Z45" s="1"/>
  <c r="Q44"/>
  <c r="Z44" s="1"/>
  <c r="Q43"/>
  <c r="Z43" s="1"/>
  <c r="Q42"/>
  <c r="Z42" s="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Q14"/>
  <c r="Z14" s="1"/>
  <c r="Q13"/>
  <c r="Z13" s="1"/>
  <c r="Q12"/>
  <c r="Z12" s="1"/>
  <c r="Q11"/>
  <c r="Z11" s="1"/>
  <c r="Q10"/>
  <c r="Z10" s="1"/>
  <c r="Q9"/>
  <c r="Z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W33"/>
  <c r="W39"/>
  <c r="H39" i="37"/>
  <c r="AB39" s="1"/>
  <c r="S27" i="35"/>
  <c r="F11" i="40"/>
  <c r="AA11" s="1"/>
  <c r="H11"/>
  <c r="AB11" s="1"/>
  <c r="W8"/>
  <c r="AC40"/>
  <c r="AA9"/>
  <c r="AC9"/>
  <c r="U9"/>
  <c r="S34"/>
  <c r="U38"/>
  <c r="S40"/>
  <c r="W31"/>
  <c r="U34"/>
  <c r="S38"/>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s="1"/>
  <c r="H42" i="39"/>
  <c r="AB42" s="1"/>
  <c r="J34"/>
  <c r="AC34" s="1"/>
  <c r="F109"/>
  <c r="G109" s="1"/>
  <c r="H109" s="1"/>
  <c r="I109" s="1"/>
  <c r="J109" s="1"/>
  <c r="K109" s="1"/>
  <c r="L109" s="1"/>
  <c r="M109"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W32" i="40"/>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U8"/>
  <c r="S8"/>
  <c r="F37" i="40"/>
  <c r="AA37" s="1"/>
  <c r="F36"/>
  <c r="AA36" s="1"/>
  <c r="H28"/>
  <c r="U28" s="1"/>
  <c r="F23"/>
  <c r="AA23" s="1"/>
  <c r="F17"/>
  <c r="AA17" s="1"/>
  <c r="J17"/>
  <c r="W17" s="1"/>
  <c r="F15"/>
  <c r="S15" s="1"/>
  <c r="H15"/>
  <c r="AB15" s="1"/>
  <c r="AC11"/>
  <c r="S12" i="36"/>
  <c r="AA12"/>
  <c r="AB30"/>
  <c r="AC34"/>
  <c r="U30" i="35"/>
  <c r="F29"/>
  <c r="S29" s="1"/>
  <c r="H29"/>
  <c r="AB29" s="1"/>
  <c r="H33" i="37"/>
  <c r="AB33" s="1"/>
  <c r="F33"/>
  <c r="AA33" s="1"/>
  <c r="U34"/>
  <c r="W33"/>
  <c r="S34"/>
  <c r="AA34"/>
  <c r="J43" i="34"/>
  <c r="AB42"/>
  <c r="J40"/>
  <c r="H38"/>
  <c r="AB38" s="1"/>
  <c r="J36"/>
  <c r="W36" s="1"/>
  <c r="H37"/>
  <c r="U37" s="1"/>
  <c r="H25"/>
  <c r="AB25" s="1"/>
  <c r="J25"/>
  <c r="AC25" s="1"/>
  <c r="AB23"/>
  <c r="F23"/>
  <c r="AA23" s="1"/>
  <c r="J19"/>
  <c r="AC19" s="1"/>
  <c r="F17"/>
  <c r="AA17" s="1"/>
  <c r="J17"/>
  <c r="W17" s="1"/>
  <c r="AB17"/>
  <c r="AA15"/>
  <c r="S15"/>
  <c r="S41" i="33"/>
  <c r="F113"/>
  <c r="G113" s="1"/>
  <c r="H113" s="1"/>
  <c r="I113" s="1"/>
  <c r="J113" s="1"/>
  <c r="K113" s="1"/>
  <c r="L113" s="1"/>
  <c r="M113" s="1"/>
  <c r="H37"/>
  <c r="AB37" s="1"/>
  <c r="H15"/>
  <c r="AB15" s="1"/>
  <c r="F28" i="40"/>
  <c r="AA28" s="1"/>
  <c r="AA42" i="34"/>
  <c r="S42"/>
  <c r="AC38"/>
  <c r="AA38"/>
  <c r="J37"/>
  <c r="AC37" s="1"/>
  <c r="S28"/>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AB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F105"/>
  <c r="G105" s="1"/>
  <c r="H36"/>
  <c r="AB36" s="1"/>
  <c r="F107"/>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44" i="33"/>
  <c r="U31" i="34"/>
  <c r="J36" i="37"/>
  <c r="AC36" s="1"/>
  <c r="AB11" i="36"/>
  <c r="J10"/>
  <c r="AC10" s="1"/>
  <c r="AB30" i="21"/>
  <c r="AA14" i="37"/>
  <c r="AC13" i="36"/>
  <c r="S11"/>
  <c r="W11" i="35"/>
  <c r="AC30" i="34"/>
  <c r="AB45" i="33"/>
  <c r="S44" i="34"/>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BA582"/>
  <c r="BA580"/>
  <c r="AZ580" s="1"/>
  <c r="BA578"/>
  <c r="AZ578" s="1"/>
  <c r="BA576"/>
  <c r="BA574"/>
  <c r="AZ574" s="1"/>
  <c r="BA572"/>
  <c r="AZ572" s="1"/>
  <c r="BA570"/>
  <c r="AZ570" s="1"/>
  <c r="BA568"/>
  <c r="BA566"/>
  <c r="AZ566" s="1"/>
  <c r="BA564"/>
  <c r="AZ564" s="1"/>
  <c r="BA562"/>
  <c r="AZ562" s="1"/>
  <c r="BA560"/>
  <c r="BA558"/>
  <c r="BA556"/>
  <c r="AZ556" s="1"/>
  <c r="BA554"/>
  <c r="BA552"/>
  <c r="BA548"/>
  <c r="BA546"/>
  <c r="BA544"/>
  <c r="BA542"/>
  <c r="AZ542" s="1"/>
  <c r="BA540"/>
  <c r="AZ540" s="1"/>
  <c r="BA538"/>
  <c r="BA536"/>
  <c r="BA534"/>
  <c r="AZ534" s="1"/>
  <c r="BA532"/>
  <c r="BA530"/>
  <c r="BA528"/>
  <c r="AZ528" s="1"/>
  <c r="BA526"/>
  <c r="AZ526" s="1"/>
  <c r="BA524"/>
  <c r="BA522"/>
  <c r="BA520"/>
  <c r="BA518"/>
  <c r="BA516"/>
  <c r="BA514"/>
  <c r="AZ514" s="1"/>
  <c r="BA512"/>
  <c r="AZ512" s="1"/>
  <c r="BA510"/>
  <c r="AZ510" s="1"/>
  <c r="BA508"/>
  <c r="BA506"/>
  <c r="BA504"/>
  <c r="AZ504" s="1"/>
  <c r="BA502"/>
  <c r="BA500"/>
  <c r="BA498"/>
  <c r="AZ498" s="1"/>
  <c r="BA496"/>
  <c r="BA494"/>
  <c r="BA587"/>
  <c r="AZ587" s="1"/>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c r="BQ579"/>
  <c r="BL579"/>
  <c r="AZ579" s="1"/>
  <c r="BQ577"/>
  <c r="BL577" s="1"/>
  <c r="BQ575"/>
  <c r="BL575" s="1"/>
  <c r="AZ575" s="1"/>
  <c r="BQ573"/>
  <c r="BL573" s="1"/>
  <c r="AZ573" s="1"/>
  <c r="BQ571"/>
  <c r="BL571" s="1"/>
  <c r="AZ571" s="1"/>
  <c r="BQ569"/>
  <c r="BL569" s="1"/>
  <c r="BQ567"/>
  <c r="BL567" s="1"/>
  <c r="BQ565"/>
  <c r="BL565" s="1"/>
  <c r="AZ565" s="1"/>
  <c r="BQ563"/>
  <c r="BL563"/>
  <c r="BQ561"/>
  <c r="BL561"/>
  <c r="AZ561" s="1"/>
  <c r="BQ559"/>
  <c r="BL559" s="1"/>
  <c r="G559"/>
  <c r="G555"/>
  <c r="G553"/>
  <c r="G549"/>
  <c r="G547"/>
  <c r="G545"/>
  <c r="G543"/>
  <c r="G541"/>
  <c r="G539"/>
  <c r="G537"/>
  <c r="BQ555"/>
  <c r="BL555" s="1"/>
  <c r="AZ555" s="1"/>
  <c r="BQ553"/>
  <c r="BL553" s="1"/>
  <c r="BQ551"/>
  <c r="BL551" s="1"/>
  <c r="BQ549"/>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s="1"/>
  <c r="BQ521"/>
  <c r="BL521" s="1"/>
  <c r="BL520"/>
  <c r="AZ520" s="1"/>
  <c r="G519"/>
  <c r="G517"/>
  <c r="G515"/>
  <c r="G513"/>
  <c r="G511"/>
  <c r="BQ519"/>
  <c r="BL519" s="1"/>
  <c r="AZ519" s="1"/>
  <c r="BQ517"/>
  <c r="BL517" s="1"/>
  <c r="AZ517" s="1"/>
  <c r="BQ515"/>
  <c r="BL515" s="1"/>
  <c r="AZ515" s="1"/>
  <c r="BQ513"/>
  <c r="BL513" s="1"/>
  <c r="AZ513" s="1"/>
  <c r="BQ511"/>
  <c r="BL511"/>
  <c r="AZ511" s="1"/>
  <c r="BA509"/>
  <c r="AC509"/>
  <c r="BQ509"/>
  <c r="BL509"/>
  <c r="BL508"/>
  <c r="AZ508"/>
  <c r="G507"/>
  <c r="G505"/>
  <c r="G503"/>
  <c r="G501"/>
  <c r="G499"/>
  <c r="G497"/>
  <c r="G495"/>
  <c r="BQ507"/>
  <c r="BL507" s="1"/>
  <c r="AZ507" s="1"/>
  <c r="BQ505"/>
  <c r="BL505"/>
  <c r="AZ505" s="1"/>
  <c r="BQ503"/>
  <c r="BL503" s="1"/>
  <c r="BQ501"/>
  <c r="BL501" s="1"/>
  <c r="AZ501" s="1"/>
  <c r="BQ499"/>
  <c r="BL499" s="1"/>
  <c r="BQ497"/>
  <c r="BL497" s="1"/>
  <c r="BQ495"/>
  <c r="BL495" s="1"/>
  <c r="BQ493"/>
  <c r="BQ5" s="1"/>
  <c r="S505" i="31"/>
  <c r="S501"/>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AA36" i="39"/>
  <c r="F39" i="33"/>
  <c r="AA39" s="1"/>
  <c r="E123"/>
  <c r="J42" s="1"/>
  <c r="AC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H42" i="33"/>
  <c r="AB42" s="1"/>
  <c r="J43"/>
  <c r="AC43" s="1"/>
  <c r="U14" i="40"/>
  <c r="AC32" i="36"/>
  <c r="AC33"/>
  <c r="U35" i="35"/>
  <c r="AA12"/>
  <c r="AB28" i="37"/>
  <c r="U33"/>
  <c r="U39"/>
  <c r="W26"/>
  <c r="AC8"/>
  <c r="U26"/>
  <c r="W47" i="34"/>
  <c r="AB13"/>
  <c r="W37"/>
  <c r="AB37"/>
  <c r="AC36"/>
  <c r="AA13" i="33"/>
  <c r="AC31"/>
  <c r="AC45"/>
  <c r="U19" i="21"/>
  <c r="W44"/>
  <c r="U26"/>
  <c r="AC46"/>
  <c r="U12"/>
  <c r="AB38"/>
  <c r="F43" i="33"/>
  <c r="AA43" s="1"/>
  <c r="W15" i="34"/>
  <c r="AC15"/>
  <c r="W16" i="35"/>
  <c r="W40" i="37"/>
  <c r="G107"/>
  <c r="H107" s="1"/>
  <c r="I107" s="1"/>
  <c r="J107" s="1"/>
  <c r="K107" s="1"/>
  <c r="L107" s="1"/>
  <c r="M107" s="1"/>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AA25" i="21"/>
  <c r="C12" i="43"/>
  <c r="H19" i="40"/>
  <c r="U19" s="1"/>
  <c r="F19"/>
  <c r="S19" s="1"/>
  <c r="S14"/>
  <c r="AC1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J11" i="39"/>
  <c r="W11" s="1"/>
  <c r="F11"/>
  <c r="AA11" s="1"/>
  <c r="A12" i="52"/>
  <c r="B56" i="72" s="1"/>
  <c r="S11" i="39"/>
  <c r="G4" i="4"/>
  <c r="I4"/>
  <c r="K5"/>
  <c r="B47" i="48" s="1"/>
  <c r="N2" i="43"/>
  <c r="F59" s="1"/>
  <c r="AZ24" i="3"/>
  <c r="BL549"/>
  <c r="AZ549" s="1"/>
  <c r="AZ502"/>
  <c r="AZ522"/>
  <c r="AZ546"/>
  <c r="G546"/>
  <c r="G524"/>
  <c r="G303"/>
  <c r="BL304"/>
  <c r="G305"/>
  <c r="BL306"/>
  <c r="BA308"/>
  <c r="AZ308" s="1"/>
  <c r="BA309"/>
  <c r="AZ309" s="1"/>
  <c r="BL309"/>
  <c r="G310"/>
  <c r="BA311"/>
  <c r="G319"/>
  <c r="BL320"/>
  <c r="G321"/>
  <c r="BL322"/>
  <c r="BA324"/>
  <c r="BA325"/>
  <c r="BL325"/>
  <c r="AZ325" s="1"/>
  <c r="G326"/>
  <c r="BA327"/>
  <c r="G335"/>
  <c r="BL336"/>
  <c r="G337"/>
  <c r="BL338"/>
  <c r="BA340"/>
  <c r="AZ340" s="1"/>
  <c r="BA341"/>
  <c r="AZ341" s="1"/>
  <c r="BL341"/>
  <c r="BA343"/>
  <c r="AZ343" s="1"/>
  <c r="BA345"/>
  <c r="BL355"/>
  <c r="G356"/>
  <c r="BL357"/>
  <c r="BA359"/>
  <c r="AZ359"/>
  <c r="BA360"/>
  <c r="BL360"/>
  <c r="AZ360" s="1"/>
  <c r="G361"/>
  <c r="BA362"/>
  <c r="G370"/>
  <c r="BL371"/>
  <c r="G372"/>
  <c r="BL373"/>
  <c r="BA375"/>
  <c r="AZ375" s="1"/>
  <c r="BA376"/>
  <c r="AZ376" s="1"/>
  <c r="BL376"/>
  <c r="G377"/>
  <c r="BA378"/>
  <c r="AZ378"/>
  <c r="BL378"/>
  <c r="G379"/>
  <c r="BA380"/>
  <c r="G388"/>
  <c r="BL389"/>
  <c r="G390"/>
  <c r="BL391"/>
  <c r="BA393"/>
  <c r="AZ393" s="1"/>
  <c r="BA394"/>
  <c r="BL394"/>
  <c r="AZ394" s="1"/>
  <c r="G113"/>
  <c r="BA115"/>
  <c r="BL116"/>
  <c r="AZ116" s="1"/>
  <c r="G117"/>
  <c r="BA119"/>
  <c r="BL120"/>
  <c r="G121"/>
  <c r="BA123"/>
  <c r="AZ123" s="1"/>
  <c r="BL124"/>
  <c r="G125"/>
  <c r="BA127"/>
  <c r="AZ127"/>
  <c r="BL128"/>
  <c r="G129"/>
  <c r="BA131"/>
  <c r="AZ131"/>
  <c r="BL132"/>
  <c r="AZ132"/>
  <c r="G133"/>
  <c r="BA135"/>
  <c r="BL136"/>
  <c r="G137"/>
  <c r="BA139"/>
  <c r="BL140"/>
  <c r="AZ140" s="1"/>
  <c r="G141"/>
  <c r="BA143"/>
  <c r="BL144"/>
  <c r="G145"/>
  <c r="BA147"/>
  <c r="BL148"/>
  <c r="G149"/>
  <c r="BA151"/>
  <c r="AZ151" s="1"/>
  <c r="BL152"/>
  <c r="G153"/>
  <c r="BA155"/>
  <c r="AZ155" s="1"/>
  <c r="BL156"/>
  <c r="G157"/>
  <c r="BA159"/>
  <c r="AZ159" s="1"/>
  <c r="BL160"/>
  <c r="G161"/>
  <c r="BA163"/>
  <c r="BL164"/>
  <c r="G165"/>
  <c r="BA167"/>
  <c r="AZ167" s="1"/>
  <c r="BL168"/>
  <c r="G169"/>
  <c r="BA171"/>
  <c r="AZ171" s="1"/>
  <c r="BL172"/>
  <c r="G173"/>
  <c r="BA175"/>
  <c r="AZ175" s="1"/>
  <c r="BL176"/>
  <c r="G177"/>
  <c r="BA179"/>
  <c r="BL180"/>
  <c r="G181"/>
  <c r="BA183"/>
  <c r="AZ183" s="1"/>
  <c r="BL184"/>
  <c r="G185"/>
  <c r="BA187"/>
  <c r="AZ187" s="1"/>
  <c r="BL188"/>
  <c r="G189"/>
  <c r="BA191"/>
  <c r="AZ191" s="1"/>
  <c r="BL192"/>
  <c r="AZ192" s="1"/>
  <c r="G193"/>
  <c r="BA195"/>
  <c r="BL196"/>
  <c r="G197"/>
  <c r="BA199"/>
  <c r="AZ199" s="1"/>
  <c r="BL200"/>
  <c r="G201"/>
  <c r="BA203"/>
  <c r="AZ203" s="1"/>
  <c r="BL204"/>
  <c r="AZ51"/>
  <c r="AZ55"/>
  <c r="AZ79"/>
  <c r="AZ83"/>
  <c r="AZ136"/>
  <c r="AZ144"/>
  <c r="AZ160"/>
  <c r="AZ176"/>
  <c r="AZ85"/>
  <c r="AZ89"/>
  <c r="AZ105"/>
  <c r="AZ128"/>
  <c r="G534"/>
  <c r="G530"/>
  <c r="G522"/>
  <c r="G516"/>
  <c r="G512"/>
  <c r="G506"/>
  <c r="G498"/>
  <c r="G494"/>
  <c r="G16"/>
  <c r="G15"/>
  <c r="BA304"/>
  <c r="BA305"/>
  <c r="BL305"/>
  <c r="G306"/>
  <c r="G309"/>
  <c r="BL310"/>
  <c r="BA312"/>
  <c r="AZ312" s="1"/>
  <c r="BA313"/>
  <c r="BL313"/>
  <c r="G314"/>
  <c r="G317"/>
  <c r="BL318"/>
  <c r="BA320"/>
  <c r="AZ320" s="1"/>
  <c r="BA321"/>
  <c r="BL321"/>
  <c r="G322"/>
  <c r="G325"/>
  <c r="BL326"/>
  <c r="BA328"/>
  <c r="AZ328" s="1"/>
  <c r="BA329"/>
  <c r="BL329"/>
  <c r="G330"/>
  <c r="G333"/>
  <c r="BL334"/>
  <c r="BA336"/>
  <c r="BA337"/>
  <c r="AZ337" s="1"/>
  <c r="BL337"/>
  <c r="G338"/>
  <c r="G341"/>
  <c r="BA342"/>
  <c r="BL342"/>
  <c r="AZ342"/>
  <c r="BA344"/>
  <c r="BL344"/>
  <c r="AZ344" s="1"/>
  <c r="BA346"/>
  <c r="BA347"/>
  <c r="AZ347" s="1"/>
  <c r="BL347"/>
  <c r="G350"/>
  <c r="BA351"/>
  <c r="AZ351"/>
  <c r="BL351"/>
  <c r="G352"/>
  <c r="G354"/>
  <c r="BA355"/>
  <c r="AZ355" s="1"/>
  <c r="BA356"/>
  <c r="BL356"/>
  <c r="G357"/>
  <c r="G360"/>
  <c r="BL361"/>
  <c r="BA363"/>
  <c r="BA364"/>
  <c r="BL364"/>
  <c r="AZ364" s="1"/>
  <c r="G365"/>
  <c r="G368"/>
  <c r="BL369"/>
  <c r="BA371"/>
  <c r="BA372"/>
  <c r="BL372"/>
  <c r="G373"/>
  <c r="G376"/>
  <c r="BL377"/>
  <c r="BL379"/>
  <c r="BA381"/>
  <c r="AZ381" s="1"/>
  <c r="BA382"/>
  <c r="AZ382" s="1"/>
  <c r="BL382"/>
  <c r="G383"/>
  <c r="G386"/>
  <c r="BL387"/>
  <c r="BA389"/>
  <c r="AZ389" s="1"/>
  <c r="BA390"/>
  <c r="AZ390" s="1"/>
  <c r="BL390"/>
  <c r="G391"/>
  <c r="G394"/>
  <c r="AZ158"/>
  <c r="AZ174"/>
  <c r="AZ190"/>
  <c r="AZ500"/>
  <c r="BA16"/>
  <c r="AZ16" s="1"/>
  <c r="BL303"/>
  <c r="G304"/>
  <c r="BA306"/>
  <c r="BL307"/>
  <c r="G308"/>
  <c r="BA310"/>
  <c r="BL311"/>
  <c r="AZ311" s="1"/>
  <c r="G312"/>
  <c r="BA314"/>
  <c r="BL315"/>
  <c r="G316"/>
  <c r="BA318"/>
  <c r="AZ318" s="1"/>
  <c r="BL319"/>
  <c r="AZ319" s="1"/>
  <c r="G320"/>
  <c r="BA322"/>
  <c r="AZ322" s="1"/>
  <c r="BL323"/>
  <c r="AZ323" s="1"/>
  <c r="G324"/>
  <c r="BA326"/>
  <c r="BL327"/>
  <c r="G328"/>
  <c r="BA330"/>
  <c r="AZ330" s="1"/>
  <c r="BL331"/>
  <c r="G332"/>
  <c r="BA334"/>
  <c r="BL335"/>
  <c r="G336"/>
  <c r="BA338"/>
  <c r="AZ338" s="1"/>
  <c r="BL339"/>
  <c r="G340"/>
  <c r="BL343"/>
  <c r="G344"/>
  <c r="G348"/>
  <c r="G355"/>
  <c r="AZ209"/>
  <c r="G342"/>
  <c r="BL345"/>
  <c r="AZ345" s="1"/>
  <c r="G346"/>
  <c r="BL349"/>
  <c r="BL352"/>
  <c r="AZ352" s="1"/>
  <c r="G353"/>
  <c r="BA357"/>
  <c r="BL358"/>
  <c r="AZ358" s="1"/>
  <c r="G359"/>
  <c r="BA361"/>
  <c r="AZ361" s="1"/>
  <c r="BL362"/>
  <c r="G363"/>
  <c r="BA365"/>
  <c r="AZ365" s="1"/>
  <c r="BL366"/>
  <c r="G367"/>
  <c r="BA369"/>
  <c r="AZ369" s="1"/>
  <c r="BL370"/>
  <c r="G371"/>
  <c r="BA373"/>
  <c r="AZ373" s="1"/>
  <c r="BL374"/>
  <c r="AZ374" s="1"/>
  <c r="G375"/>
  <c r="BA377"/>
  <c r="AZ377" s="1"/>
  <c r="AZ229"/>
  <c r="AZ370"/>
  <c r="BA379"/>
  <c r="BL380"/>
  <c r="AZ380" s="1"/>
  <c r="G381"/>
  <c r="BA383"/>
  <c r="BL384"/>
  <c r="G385"/>
  <c r="BA387"/>
  <c r="BL388"/>
  <c r="G389"/>
  <c r="BA391"/>
  <c r="AZ391" s="1"/>
  <c r="BL392"/>
  <c r="G393"/>
  <c r="BO5"/>
  <c r="BM5"/>
  <c r="BJ5"/>
  <c r="BH5"/>
  <c r="BF5"/>
  <c r="BD5"/>
  <c r="AZ333"/>
  <c r="AC5"/>
  <c r="AZ506"/>
  <c r="AZ496"/>
  <c r="G548"/>
  <c r="G538"/>
  <c r="G520"/>
  <c r="G502"/>
  <c r="BS5"/>
  <c r="BP5"/>
  <c r="BN5"/>
  <c r="BK5"/>
  <c r="BI5"/>
  <c r="BG5"/>
  <c r="BE5"/>
  <c r="BC5"/>
  <c r="G17"/>
  <c r="BA17"/>
  <c r="BT5"/>
  <c r="AZ356"/>
  <c r="BA15"/>
  <c r="BR5"/>
  <c r="G28" i="6" s="1"/>
  <c r="AZ384" i="3"/>
  <c r="AZ396"/>
  <c r="AZ509"/>
  <c r="G509"/>
  <c r="BL493"/>
  <c r="AZ493"/>
  <c r="U36" i="40"/>
  <c r="N4" i="43"/>
  <c r="F36"/>
  <c r="F81"/>
  <c r="H83" s="1"/>
  <c r="H113"/>
  <c r="F48"/>
  <c r="H52" s="1"/>
  <c r="N7"/>
  <c r="F70"/>
  <c r="H73" s="1"/>
  <c r="M6"/>
  <c r="M11"/>
  <c r="E17"/>
  <c r="F39"/>
  <c r="I17"/>
  <c r="F35"/>
  <c r="J17"/>
  <c r="F6" i="1"/>
  <c r="U17" i="39"/>
  <c r="S14" i="35"/>
  <c r="U43" i="21"/>
  <c r="U35"/>
  <c r="AC35"/>
  <c r="U10"/>
  <c r="G8" i="1"/>
  <c r="G9"/>
  <c r="G10"/>
  <c r="F48" i="9"/>
  <c r="O52" s="1"/>
  <c r="AC11" i="39"/>
  <c r="AZ563" i="3"/>
  <c r="W37" i="37"/>
  <c r="W44" i="34"/>
  <c r="AC44"/>
  <c r="U13" i="37"/>
  <c r="U12" i="40"/>
  <c r="AA12"/>
  <c r="J37" i="33"/>
  <c r="W37" s="1"/>
  <c r="AC17" i="34"/>
  <c r="J34" i="33"/>
  <c r="W34" s="1"/>
  <c r="F33" i="34"/>
  <c r="S33" s="1"/>
  <c r="H20" i="36"/>
  <c r="U20" s="1"/>
  <c r="J20"/>
  <c r="W20" s="1"/>
  <c r="J27"/>
  <c r="W27" s="1"/>
  <c r="AB25" i="37"/>
  <c r="AC33" i="40"/>
  <c r="F111"/>
  <c r="G111" s="1"/>
  <c r="H111" s="1"/>
  <c r="I111" s="1"/>
  <c r="J111" s="1"/>
  <c r="K111" s="1"/>
  <c r="L111" s="1"/>
  <c r="M111" s="1"/>
  <c r="H35"/>
  <c r="AB35" s="1"/>
  <c r="AC29" i="35"/>
  <c r="W29"/>
  <c r="H35" i="37"/>
  <c r="U35" s="1"/>
  <c r="AC14" i="35"/>
  <c r="H20"/>
  <c r="U20" s="1"/>
  <c r="F20"/>
  <c r="AA20" s="1"/>
  <c r="AB29" i="36"/>
  <c r="U29"/>
  <c r="H32" i="37"/>
  <c r="AB32" s="1"/>
  <c r="F96"/>
  <c r="H27" i="40"/>
  <c r="U27" s="1"/>
  <c r="J27"/>
  <c r="AC27" s="1"/>
  <c r="F27"/>
  <c r="S27"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AZ386"/>
  <c r="C40" i="11"/>
  <c r="AZ227" i="3"/>
  <c r="AZ256"/>
  <c r="AZ130"/>
  <c r="AZ21"/>
  <c r="AZ53"/>
  <c r="AZ58"/>
  <c r="AZ82"/>
  <c r="AZ102"/>
  <c r="I20" i="43"/>
  <c r="F23" i="39"/>
  <c r="AA23" s="1"/>
  <c r="H27" i="36"/>
  <c r="U27" s="1"/>
  <c r="F27"/>
  <c r="AA27" s="1"/>
  <c r="H33" i="34"/>
  <c r="U33" s="1"/>
  <c r="F32" i="37"/>
  <c r="AA32" s="1"/>
  <c r="G96"/>
  <c r="H96" s="1"/>
  <c r="I96" s="1"/>
  <c r="J96" s="1"/>
  <c r="K96" s="1"/>
  <c r="L96" s="1"/>
  <c r="M96" s="1"/>
  <c r="F20" i="36"/>
  <c r="AA20" s="1"/>
  <c r="J33" i="34"/>
  <c r="AC33" s="1"/>
  <c r="H23" i="39"/>
  <c r="U23" s="1"/>
  <c r="D48" i="9"/>
  <c r="M52" s="1"/>
  <c r="H87" i="43"/>
  <c r="K9" i="1"/>
  <c r="M9" s="1"/>
  <c r="O9" s="1"/>
  <c r="P9" s="1"/>
  <c r="AE9"/>
  <c r="H86" i="43" l="1"/>
  <c r="H74"/>
  <c r="J30" i="40"/>
  <c r="AC30" s="1"/>
  <c r="AZ387" i="3"/>
  <c r="AZ379"/>
  <c r="AZ357"/>
  <c r="AZ334"/>
  <c r="AZ326"/>
  <c r="AZ306"/>
  <c r="AZ372"/>
  <c r="AZ313"/>
  <c r="AZ305"/>
  <c r="AZ495"/>
  <c r="AZ499"/>
  <c r="AZ503"/>
  <c r="AZ553"/>
  <c r="AZ559"/>
  <c r="AZ567"/>
  <c r="AZ494"/>
  <c r="AZ518"/>
  <c r="AZ530"/>
  <c r="AZ538"/>
  <c r="AZ552"/>
  <c r="AZ560"/>
  <c r="AZ568"/>
  <c r="AZ576"/>
  <c r="AZ584"/>
  <c r="W11" i="36"/>
  <c r="W31" i="34"/>
  <c r="AB11" i="35"/>
  <c r="H9" i="33"/>
  <c r="AB9" s="1"/>
  <c r="H12"/>
  <c r="F9" i="36"/>
  <c r="AA9" s="1"/>
  <c r="G570" i="3"/>
  <c r="G566"/>
  <c r="G542"/>
  <c r="G526"/>
  <c r="AZ307"/>
  <c r="G398"/>
  <c r="BA399"/>
  <c r="BL399"/>
  <c r="BA400"/>
  <c r="AZ400" s="1"/>
  <c r="BA402"/>
  <c r="BL402"/>
  <c r="BL404"/>
  <c r="G405"/>
  <c r="G407"/>
  <c r="BA408"/>
  <c r="BL408"/>
  <c r="BA409"/>
  <c r="AZ409" s="1"/>
  <c r="BA410"/>
  <c r="AZ410" s="1"/>
  <c r="BA411"/>
  <c r="AZ411" s="1"/>
  <c r="BL413"/>
  <c r="G414"/>
  <c r="BA415"/>
  <c r="AZ415" s="1"/>
  <c r="BL415"/>
  <c r="BA416"/>
  <c r="AZ416" s="1"/>
  <c r="BA418"/>
  <c r="BL418"/>
  <c r="BL420"/>
  <c r="G421"/>
  <c r="G423"/>
  <c r="BL424"/>
  <c r="G425"/>
  <c r="G429"/>
  <c r="BL430"/>
  <c r="G431"/>
  <c r="G434"/>
  <c r="G436"/>
  <c r="BA437"/>
  <c r="BL437"/>
  <c r="BL439"/>
  <c r="G440"/>
  <c r="BA441"/>
  <c r="BL441"/>
  <c r="BA443"/>
  <c r="BL443"/>
  <c r="BA444"/>
  <c r="AZ444" s="1"/>
  <c r="BA446"/>
  <c r="BL446"/>
  <c r="BA447"/>
  <c r="AZ447" s="1"/>
  <c r="BA448"/>
  <c r="AZ448" s="1"/>
  <c r="BA450"/>
  <c r="BL450"/>
  <c r="BL452"/>
  <c r="G453"/>
  <c r="G455"/>
  <c r="BL456"/>
  <c r="G457"/>
  <c r="G459"/>
  <c r="G462"/>
  <c r="BL466"/>
  <c r="G467"/>
  <c r="BA468"/>
  <c r="BL468"/>
  <c r="BL470"/>
  <c r="G471"/>
  <c r="BL472"/>
  <c r="G473"/>
  <c r="G477"/>
  <c r="G481"/>
  <c r="G484"/>
  <c r="BL485"/>
  <c r="G486"/>
  <c r="G488"/>
  <c r="BL489"/>
  <c r="G490"/>
  <c r="G492"/>
  <c r="BA303"/>
  <c r="AZ303" s="1"/>
  <c r="BA307"/>
  <c r="BL314"/>
  <c r="AZ314" s="1"/>
  <c r="G315"/>
  <c r="BA317"/>
  <c r="AZ317" s="1"/>
  <c r="G323"/>
  <c r="BL324"/>
  <c r="AZ324" s="1"/>
  <c r="G327"/>
  <c r="BA335"/>
  <c r="AZ335" s="1"/>
  <c r="BA339"/>
  <c r="AZ339" s="1"/>
  <c r="G347"/>
  <c r="BA348"/>
  <c r="AZ348" s="1"/>
  <c r="BA349"/>
  <c r="AZ349" s="1"/>
  <c r="BL363"/>
  <c r="AZ363" s="1"/>
  <c r="G364"/>
  <c r="BA366"/>
  <c r="AZ366" s="1"/>
  <c r="BL368"/>
  <c r="G369"/>
  <c r="G384"/>
  <c r="BL385"/>
  <c r="G396"/>
  <c r="G209"/>
  <c r="G212"/>
  <c r="BA213"/>
  <c r="BL213"/>
  <c r="BA215"/>
  <c r="BL215"/>
  <c r="BA216"/>
  <c r="AZ216" s="1"/>
  <c r="BA218"/>
  <c r="AZ218" s="1"/>
  <c r="BL218"/>
  <c r="BA219"/>
  <c r="AZ219" s="1"/>
  <c r="BL221"/>
  <c r="G222"/>
  <c r="BL223"/>
  <c r="G224"/>
  <c r="G227"/>
  <c r="G231"/>
  <c r="BL232"/>
  <c r="G233"/>
  <c r="BA234"/>
  <c r="BL234"/>
  <c r="BL236"/>
  <c r="G237"/>
  <c r="BA238"/>
  <c r="BL238"/>
  <c r="BA239"/>
  <c r="AZ239" s="1"/>
  <c r="BA240"/>
  <c r="AZ240" s="1"/>
  <c r="BA241"/>
  <c r="AZ241" s="1"/>
  <c r="BA243"/>
  <c r="AZ243" s="1"/>
  <c r="BL243"/>
  <c r="BA244"/>
  <c r="AZ244" s="1"/>
  <c r="BA245"/>
  <c r="AZ245" s="1"/>
  <c r="BL247"/>
  <c r="G248"/>
  <c r="BL249"/>
  <c r="G250"/>
  <c r="G252"/>
  <c r="BL253"/>
  <c r="G254"/>
  <c r="BA257"/>
  <c r="AZ257" s="1"/>
  <c r="BA259"/>
  <c r="AZ259" s="1"/>
  <c r="BL259"/>
  <c r="BA260"/>
  <c r="AZ260" s="1"/>
  <c r="BA261"/>
  <c r="AZ261" s="1"/>
  <c r="BA263"/>
  <c r="AZ263" s="1"/>
  <c r="BL263"/>
  <c r="BA264"/>
  <c r="AZ264" s="1"/>
  <c r="BA265"/>
  <c r="AZ265" s="1"/>
  <c r="BL267"/>
  <c r="G268"/>
  <c r="BL269"/>
  <c r="G270"/>
  <c r="G272"/>
  <c r="BL273"/>
  <c r="G274"/>
  <c r="G276"/>
  <c r="BA277"/>
  <c r="AZ277" s="1"/>
  <c r="BL277"/>
  <c r="BA278"/>
  <c r="AZ278" s="1"/>
  <c r="BA279"/>
  <c r="AZ279" s="1"/>
  <c r="BA280"/>
  <c r="AZ280" s="1"/>
  <c r="BL282"/>
  <c r="G283"/>
  <c r="BA284"/>
  <c r="BL284"/>
  <c r="BA285"/>
  <c r="AZ285" s="1"/>
  <c r="BA287"/>
  <c r="AZ287" s="1"/>
  <c r="BL287"/>
  <c r="BL289"/>
  <c r="G290"/>
  <c r="G292"/>
  <c r="BA293"/>
  <c r="BL293"/>
  <c r="BA294"/>
  <c r="AZ294" s="1"/>
  <c r="BA295"/>
  <c r="AZ295" s="1"/>
  <c r="BA296"/>
  <c r="AZ296" s="1"/>
  <c r="BL298"/>
  <c r="G299"/>
  <c r="BA300"/>
  <c r="AZ300" s="1"/>
  <c r="BL300"/>
  <c r="BA301"/>
  <c r="AZ301" s="1"/>
  <c r="BA302"/>
  <c r="AZ302" s="1"/>
  <c r="BA113"/>
  <c r="AZ113" s="1"/>
  <c r="BA114"/>
  <c r="AZ114" s="1"/>
  <c r="BL115"/>
  <c r="AZ115" s="1"/>
  <c r="BL118"/>
  <c r="G119"/>
  <c r="BA120"/>
  <c r="AZ120" s="1"/>
  <c r="BA122"/>
  <c r="AZ122" s="1"/>
  <c r="BL122"/>
  <c r="BA124"/>
  <c r="AZ124" s="1"/>
  <c r="G134"/>
  <c r="G136"/>
  <c r="BL137"/>
  <c r="G138"/>
  <c r="G140"/>
  <c r="BL141"/>
  <c r="G142"/>
  <c r="G144"/>
  <c r="BL145"/>
  <c r="G146"/>
  <c r="BL147"/>
  <c r="AZ147" s="1"/>
  <c r="G148"/>
  <c r="BA150"/>
  <c r="BL150"/>
  <c r="BA152"/>
  <c r="AZ152" s="1"/>
  <c r="G155"/>
  <c r="G158"/>
  <c r="BA161"/>
  <c r="AZ161" s="1"/>
  <c r="BL161"/>
  <c r="BL163"/>
  <c r="AZ163" s="1"/>
  <c r="G164"/>
  <c r="BA166"/>
  <c r="AZ166" s="1"/>
  <c r="BL166"/>
  <c r="BA168"/>
  <c r="AZ168" s="1"/>
  <c r="G171"/>
  <c r="G174"/>
  <c r="BA177"/>
  <c r="BL177"/>
  <c r="BL179"/>
  <c r="AZ179" s="1"/>
  <c r="G180"/>
  <c r="BA182"/>
  <c r="BL182"/>
  <c r="BA184"/>
  <c r="AZ184" s="1"/>
  <c r="G187"/>
  <c r="G190"/>
  <c r="BA193"/>
  <c r="AZ193" s="1"/>
  <c r="BL193"/>
  <c r="BL195"/>
  <c r="AZ195" s="1"/>
  <c r="G196"/>
  <c r="BA198"/>
  <c r="AZ198" s="1"/>
  <c r="BL198"/>
  <c r="BA200"/>
  <c r="AZ200" s="1"/>
  <c r="BA202"/>
  <c r="BL202"/>
  <c r="BA204"/>
  <c r="AZ204" s="1"/>
  <c r="BA205"/>
  <c r="AZ205" s="1"/>
  <c r="BA206"/>
  <c r="AZ206" s="1"/>
  <c r="BL18"/>
  <c r="G19"/>
  <c r="G21"/>
  <c r="G24"/>
  <c r="G27"/>
  <c r="BL28"/>
  <c r="G29"/>
  <c r="BA30"/>
  <c r="BL30"/>
  <c r="BA32"/>
  <c r="BL32"/>
  <c r="BA34"/>
  <c r="AZ34" s="1"/>
  <c r="BA36"/>
  <c r="AZ36" s="1"/>
  <c r="BA37"/>
  <c r="AZ37" s="1"/>
  <c r="BA39"/>
  <c r="AZ39" s="1"/>
  <c r="BL39"/>
  <c r="BA40"/>
  <c r="AZ40" s="1"/>
  <c r="BA42"/>
  <c r="BL42"/>
  <c r="BL44"/>
  <c r="G45"/>
  <c r="BA46"/>
  <c r="BL46"/>
  <c r="BL48"/>
  <c r="G49"/>
  <c r="G51"/>
  <c r="G55"/>
  <c r="G58"/>
  <c r="G60"/>
  <c r="BL61"/>
  <c r="G62"/>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K100" i="43"/>
  <c r="G11" i="1"/>
  <c r="U13" i="33"/>
  <c r="W40"/>
  <c r="U32"/>
  <c r="S26"/>
  <c r="U40"/>
  <c r="U23" i="35"/>
  <c r="AB23"/>
  <c r="AB9" i="36"/>
  <c r="U9"/>
  <c r="AC24"/>
  <c r="W24"/>
  <c r="AC43" i="39"/>
  <c r="W43"/>
  <c r="U45"/>
  <c r="AB45"/>
  <c r="AZ497" i="3"/>
  <c r="W12" i="34"/>
  <c r="AC12"/>
  <c r="U12" i="35"/>
  <c r="AB12"/>
  <c r="AB34"/>
  <c r="U34"/>
  <c r="W12" i="36"/>
  <c r="AC12"/>
  <c r="AB44" i="39"/>
  <c r="U44"/>
  <c r="AC37"/>
  <c r="W37"/>
  <c r="AC12" i="40"/>
  <c r="W12"/>
  <c r="AZ362" i="3"/>
  <c r="AZ521"/>
  <c r="AZ581"/>
  <c r="BA551"/>
  <c r="BL550"/>
  <c r="BA550"/>
  <c r="BL548"/>
  <c r="AZ548" s="1"/>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BA439"/>
  <c r="AZ439" s="1"/>
  <c r="BA440"/>
  <c r="AZ440" s="1"/>
  <c r="BL442"/>
  <c r="AZ442" s="1"/>
  <c r="G445"/>
  <c r="BL445"/>
  <c r="G448"/>
  <c r="G449"/>
  <c r="BL449"/>
  <c r="BL451"/>
  <c r="AZ451" s="1"/>
  <c r="BA452"/>
  <c r="AZ452" s="1"/>
  <c r="BL454"/>
  <c r="AZ454" s="1"/>
  <c r="BA455"/>
  <c r="AZ455" s="1"/>
  <c r="BA456"/>
  <c r="AZ456" s="1"/>
  <c r="BL458"/>
  <c r="AZ458" s="1"/>
  <c r="G461"/>
  <c r="BL461"/>
  <c r="G464"/>
  <c r="G465"/>
  <c r="H82" i="43"/>
  <c r="H49"/>
  <c r="S15" i="37"/>
  <c r="F29" i="6"/>
  <c r="AZ327" i="3"/>
  <c r="AZ310"/>
  <c r="AZ371"/>
  <c r="AZ336"/>
  <c r="AZ329"/>
  <c r="AZ321"/>
  <c r="AZ304"/>
  <c r="AB33" i="40"/>
  <c r="W14" i="37"/>
  <c r="F123" i="33"/>
  <c r="G123" s="1"/>
  <c r="H123" s="1"/>
  <c r="I123" s="1"/>
  <c r="J123" s="1"/>
  <c r="K123" s="1"/>
  <c r="L123" s="1"/>
  <c r="M123" s="1"/>
  <c r="AA41" i="34"/>
  <c r="F42" i="33"/>
  <c r="AA42" s="1"/>
  <c r="AZ569" i="3"/>
  <c r="AZ577"/>
  <c r="AZ557"/>
  <c r="AZ516"/>
  <c r="AZ524"/>
  <c r="AZ532"/>
  <c r="AZ536"/>
  <c r="AZ544"/>
  <c r="AZ554"/>
  <c r="AZ558"/>
  <c r="AZ582"/>
  <c r="AC28" i="21"/>
  <c r="U31" i="33"/>
  <c r="AA14" i="34"/>
  <c r="AB46"/>
  <c r="AA14" i="33"/>
  <c r="AA13" i="35"/>
  <c r="U23" i="40"/>
  <c r="AA29" i="35"/>
  <c r="U33"/>
  <c r="S34" i="34"/>
  <c r="BL586" i="3"/>
  <c r="BL585"/>
  <c r="AZ585" s="1"/>
  <c r="F9" i="33"/>
  <c r="F15"/>
  <c r="AA15" s="1"/>
  <c r="F12" i="34"/>
  <c r="J23" i="35"/>
  <c r="J36"/>
  <c r="H12" i="36"/>
  <c r="H24"/>
  <c r="AB24" s="1"/>
  <c r="H39" i="40"/>
  <c r="G574" i="3"/>
  <c r="G558"/>
  <c r="AZ402"/>
  <c r="AZ418"/>
  <c r="AZ434"/>
  <c r="AZ443"/>
  <c r="AZ445"/>
  <c r="AZ446"/>
  <c r="AZ449"/>
  <c r="AZ450"/>
  <c r="AZ459"/>
  <c r="AZ461"/>
  <c r="AZ462"/>
  <c r="AZ477"/>
  <c r="AZ481"/>
  <c r="BA466"/>
  <c r="AZ466" s="1"/>
  <c r="BA467"/>
  <c r="AZ467" s="1"/>
  <c r="BL469"/>
  <c r="AZ469" s="1"/>
  <c r="BA470"/>
  <c r="AZ470" s="1"/>
  <c r="BA471"/>
  <c r="AZ471" s="1"/>
  <c r="BA472"/>
  <c r="AZ472" s="1"/>
  <c r="G475"/>
  <c r="G476"/>
  <c r="BL476"/>
  <c r="AZ476" s="1"/>
  <c r="G479"/>
  <c r="G480"/>
  <c r="BL480"/>
  <c r="AZ480" s="1"/>
  <c r="G483"/>
  <c r="BA484"/>
  <c r="AZ484" s="1"/>
  <c r="BA485"/>
  <c r="AZ485" s="1"/>
  <c r="BL487"/>
  <c r="AZ487" s="1"/>
  <c r="BA488"/>
  <c r="AZ488" s="1"/>
  <c r="BA489"/>
  <c r="AZ489" s="1"/>
  <c r="BL491"/>
  <c r="AZ491" s="1"/>
  <c r="BA492"/>
  <c r="AZ492" s="1"/>
  <c r="G313"/>
  <c r="BA315"/>
  <c r="AZ315" s="1"/>
  <c r="BL316"/>
  <c r="AZ316" s="1"/>
  <c r="G318"/>
  <c r="G329"/>
  <c r="BA331"/>
  <c r="AZ331" s="1"/>
  <c r="BL332"/>
  <c r="AZ332" s="1"/>
  <c r="G334"/>
  <c r="BL346"/>
  <c r="AZ346" s="1"/>
  <c r="G349"/>
  <c r="BA350"/>
  <c r="AZ350" s="1"/>
  <c r="BL353"/>
  <c r="AZ353" s="1"/>
  <c r="G362"/>
  <c r="G366"/>
  <c r="BA368"/>
  <c r="AZ368" s="1"/>
  <c r="G378"/>
  <c r="BL383"/>
  <c r="AZ383" s="1"/>
  <c r="BA385"/>
  <c r="AZ385" s="1"/>
  <c r="BA388"/>
  <c r="AZ388" s="1"/>
  <c r="BA392"/>
  <c r="AZ392" s="1"/>
  <c r="G395"/>
  <c r="BL395"/>
  <c r="AZ395" s="1"/>
  <c r="G208"/>
  <c r="BL208"/>
  <c r="AZ208" s="1"/>
  <c r="G211"/>
  <c r="BL211"/>
  <c r="AZ211" s="1"/>
  <c r="BA212"/>
  <c r="AZ212" s="1"/>
  <c r="BL214"/>
  <c r="AZ214" s="1"/>
  <c r="G217"/>
  <c r="BL217"/>
  <c r="AZ217" s="1"/>
  <c r="G220"/>
  <c r="BL220"/>
  <c r="AZ220" s="1"/>
  <c r="BA221"/>
  <c r="AZ221" s="1"/>
  <c r="BA222"/>
  <c r="AZ222" s="1"/>
  <c r="BA223"/>
  <c r="AZ223" s="1"/>
  <c r="G226"/>
  <c r="BL226"/>
  <c r="AZ226" s="1"/>
  <c r="G229"/>
  <c r="G230"/>
  <c r="BL230"/>
  <c r="AZ230" s="1"/>
  <c r="BA231"/>
  <c r="AZ231" s="1"/>
  <c r="BA232"/>
  <c r="AZ232" s="1"/>
  <c r="BA233"/>
  <c r="AZ233" s="1"/>
  <c r="BL235"/>
  <c r="AZ235" s="1"/>
  <c r="BA236"/>
  <c r="AZ236" s="1"/>
  <c r="BA237"/>
  <c r="AZ237" s="1"/>
  <c r="G240"/>
  <c r="G241"/>
  <c r="G242"/>
  <c r="BL242"/>
  <c r="AZ242" s="1"/>
  <c r="G245"/>
  <c r="G246"/>
  <c r="BL246"/>
  <c r="AZ246" s="1"/>
  <c r="BA247"/>
  <c r="AZ247" s="1"/>
  <c r="BA248"/>
  <c r="AZ248" s="1"/>
  <c r="BA249"/>
  <c r="AZ249" s="1"/>
  <c r="BL251"/>
  <c r="AZ251" s="1"/>
  <c r="BA252"/>
  <c r="AZ252" s="1"/>
  <c r="BA253"/>
  <c r="AZ253" s="1"/>
  <c r="G256"/>
  <c r="G257"/>
  <c r="G258"/>
  <c r="BL258"/>
  <c r="AZ258" s="1"/>
  <c r="G261"/>
  <c r="G262"/>
  <c r="BL262"/>
  <c r="AZ262" s="1"/>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BA188"/>
  <c r="AZ188" s="1"/>
  <c r="BL189"/>
  <c r="G192"/>
  <c r="BL194"/>
  <c r="AZ194" s="1"/>
  <c r="BA196"/>
  <c r="AZ196" s="1"/>
  <c r="BL197"/>
  <c r="G200"/>
  <c r="G100" i="43"/>
  <c r="G204" i="3"/>
  <c r="G206"/>
  <c r="G207"/>
  <c r="BL207"/>
  <c r="AZ207" s="1"/>
  <c r="BA18"/>
  <c r="AZ18" s="1"/>
  <c r="BL20"/>
  <c r="AZ20" s="1"/>
  <c r="G23"/>
  <c r="BL23"/>
  <c r="AZ23" s="1"/>
  <c r="G26"/>
  <c r="BL26"/>
  <c r="BA27"/>
  <c r="AZ27" s="1"/>
  <c r="BA28"/>
  <c r="AZ28" s="1"/>
  <c r="BA29"/>
  <c r="AZ29" s="1"/>
  <c r="BL31"/>
  <c r="AZ31" s="1"/>
  <c r="BL33"/>
  <c r="AZ33" s="1"/>
  <c r="G35"/>
  <c r="BL35"/>
  <c r="G37"/>
  <c r="G38"/>
  <c r="BL38"/>
  <c r="AZ38" s="1"/>
  <c r="G41"/>
  <c r="BL41"/>
  <c r="BL43"/>
  <c r="AZ43" s="1"/>
  <c r="BA44"/>
  <c r="AZ44" s="1"/>
  <c r="BA45"/>
  <c r="AZ45" s="1"/>
  <c r="BL47"/>
  <c r="AZ47" s="1"/>
  <c r="BA48"/>
  <c r="AZ48" s="1"/>
  <c r="BL50"/>
  <c r="AZ50" s="1"/>
  <c r="G53"/>
  <c r="G54"/>
  <c r="BL54"/>
  <c r="AZ54" s="1"/>
  <c r="G57"/>
  <c r="BL57"/>
  <c r="AZ57" s="1"/>
  <c r="BL59"/>
  <c r="AZ59" s="1"/>
  <c r="BA60"/>
  <c r="AZ60" s="1"/>
  <c r="BA61"/>
  <c r="AZ61" s="1"/>
  <c r="BL63"/>
  <c r="AZ63" s="1"/>
  <c r="M108" i="43"/>
  <c r="M100"/>
  <c r="I108"/>
  <c r="I100"/>
  <c r="E108"/>
  <c r="E100"/>
  <c r="BA64" i="3"/>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J51" i="15"/>
  <c r="I20" i="66"/>
  <c r="A2" i="9"/>
  <c r="A4" i="52"/>
  <c r="B41" i="72" s="1"/>
  <c r="A118" i="9"/>
  <c r="U43" i="33"/>
  <c r="J41"/>
  <c r="W44"/>
  <c r="W29"/>
  <c r="S45"/>
  <c r="U46"/>
  <c r="U35"/>
  <c r="U33"/>
  <c r="AB26"/>
  <c r="H48" i="43"/>
  <c r="H50"/>
  <c r="H75"/>
  <c r="A15" i="62"/>
  <c r="B61" i="72" s="1"/>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AQ12" s="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G111"/>
  <c r="F36" s="1"/>
  <c r="G108"/>
  <c r="H108" s="1"/>
  <c r="I108" s="1"/>
  <c r="J108" s="1"/>
  <c r="K108" s="1"/>
  <c r="L108" s="1"/>
  <c r="M108" s="1"/>
  <c r="J35"/>
  <c r="S37"/>
  <c r="AA37"/>
  <c r="S39"/>
  <c r="F101"/>
  <c r="G101" s="1"/>
  <c r="H101" s="1"/>
  <c r="I101" s="1"/>
  <c r="J101" s="1"/>
  <c r="K101" s="1"/>
  <c r="L101" s="1"/>
  <c r="M101" s="1"/>
  <c r="J32"/>
  <c r="S46"/>
  <c r="W43"/>
  <c r="S43"/>
  <c r="F91"/>
  <c r="H27"/>
  <c r="F87"/>
  <c r="H25" s="1"/>
  <c r="F25"/>
  <c r="J23"/>
  <c r="F85"/>
  <c r="H23"/>
  <c r="F81"/>
  <c r="F19"/>
  <c r="S19" s="1"/>
  <c r="W19"/>
  <c r="J17"/>
  <c r="F79"/>
  <c r="S15"/>
  <c r="W15"/>
  <c r="U9"/>
  <c r="I66"/>
  <c r="J10" s="1"/>
  <c r="H10"/>
  <c r="AA10"/>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BA5" s="1"/>
  <c r="E27" i="6" s="1"/>
  <c r="E10"/>
  <c r="E11"/>
  <c r="E61" i="39" s="1"/>
  <c r="BL17" i="3"/>
  <c r="AZ17" s="1"/>
  <c r="BL13"/>
  <c r="E65" i="39"/>
  <c r="G30" i="6"/>
  <c r="G31" s="1"/>
  <c r="J56" i="9"/>
  <c r="J57" s="1"/>
  <c r="A24" i="51"/>
  <c r="B18" i="72" s="1"/>
  <c r="U29" i="34"/>
  <c r="C106" i="43"/>
  <c r="E14" i="6"/>
  <c r="E64" i="39" s="1"/>
  <c r="E5" i="6"/>
  <c r="D9" i="11" s="1"/>
  <c r="C9" s="1"/>
  <c r="I115" i="43"/>
  <c r="J115" s="1"/>
  <c r="K115" s="1"/>
  <c r="L115" s="1"/>
  <c r="M115" s="1"/>
  <c r="P10" i="1"/>
  <c r="H22" i="43"/>
  <c r="L101"/>
  <c r="L109" s="1"/>
  <c r="H101"/>
  <c r="D101"/>
  <c r="D109" s="1"/>
  <c r="M101"/>
  <c r="M109" s="1"/>
  <c r="I101"/>
  <c r="I109" s="1"/>
  <c r="E101"/>
  <c r="G22"/>
  <c r="E32" i="6"/>
  <c r="L19" s="1"/>
  <c r="G1" i="68"/>
  <c r="K1" i="12"/>
  <c r="E28" i="6"/>
  <c r="N105" i="43"/>
  <c r="J107"/>
  <c r="J102"/>
  <c r="F107"/>
  <c r="F102"/>
  <c r="F106"/>
  <c r="C107"/>
  <c r="C105"/>
  <c r="C103"/>
  <c r="K102"/>
  <c r="G107"/>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5"/>
  <c r="C102"/>
  <c r="F103"/>
  <c r="F105"/>
  <c r="J106"/>
  <c r="N107"/>
  <c r="T12" i="1"/>
  <c r="E19" i="69"/>
  <c r="E19" i="68"/>
  <c r="E19" i="11"/>
  <c r="E1" i="73"/>
  <c r="K1" s="1"/>
  <c r="G41" i="69"/>
  <c r="G22"/>
  <c r="G41" i="68"/>
  <c r="G22"/>
  <c r="G27" i="12"/>
  <c r="G26"/>
  <c r="G41" i="11"/>
  <c r="G22"/>
  <c r="G25" i="12"/>
  <c r="C109" i="43"/>
  <c r="C100"/>
  <c r="E11"/>
  <c r="E10"/>
  <c r="E9"/>
  <c r="E8"/>
  <c r="E81"/>
  <c r="B79" s="1"/>
  <c r="F109"/>
  <c r="AJ11"/>
  <c r="AJ13" s="1"/>
  <c r="AH11"/>
  <c r="AH13" s="1"/>
  <c r="AF11"/>
  <c r="AF13" s="1"/>
  <c r="AD11"/>
  <c r="AD13" s="1"/>
  <c r="AB11"/>
  <c r="AB13" s="1"/>
  <c r="Z11"/>
  <c r="Z13" s="1"/>
  <c r="Z7"/>
  <c r="AI11"/>
  <c r="AI13" s="1"/>
  <c r="AG11"/>
  <c r="AG13" s="1"/>
  <c r="AE11"/>
  <c r="AE13" s="1"/>
  <c r="AC11"/>
  <c r="AC13" s="1"/>
  <c r="AA11"/>
  <c r="AA13" s="1"/>
  <c r="Y11"/>
  <c r="Y13" s="1"/>
  <c r="E48"/>
  <c r="B46" s="1"/>
  <c r="E70"/>
  <c r="B68" s="1"/>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E7" s="1"/>
  <c r="C7" i="21"/>
  <c r="C58" s="1"/>
  <c r="D58" s="1"/>
  <c r="C7" i="40"/>
  <c r="C63" s="1"/>
  <c r="M47" i="9"/>
  <c r="G19" i="43"/>
  <c r="M20"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J10" s="1"/>
  <c r="F11" i="15"/>
  <c r="W30" i="40"/>
  <c r="C19" i="39"/>
  <c r="C15" i="40"/>
  <c r="C17"/>
  <c r="C23"/>
  <c r="C21"/>
  <c r="U30"/>
  <c r="B54" i="43"/>
  <c r="B65"/>
  <c r="B49"/>
  <c r="B52"/>
  <c r="B56"/>
  <c r="B60"/>
  <c r="B63"/>
  <c r="B67"/>
  <c r="B22" i="49"/>
  <c r="B10"/>
  <c r="B7"/>
  <c r="B16"/>
  <c r="B14"/>
  <c r="E7"/>
  <c r="E22"/>
  <c r="D23" i="15"/>
  <c r="D22"/>
  <c r="E6" i="49"/>
  <c r="B5"/>
  <c r="E4" i="4" s="1"/>
  <c r="B9" i="49"/>
  <c r="B13"/>
  <c r="E16"/>
  <c r="B11"/>
  <c r="E8"/>
  <c r="E21"/>
  <c r="E10"/>
  <c r="E9"/>
  <c r="E5"/>
  <c r="B6"/>
  <c r="B4"/>
  <c r="B8"/>
  <c r="E4"/>
  <c r="E11"/>
  <c r="F13" i="15"/>
  <c r="M22"/>
  <c r="F6" i="67"/>
  <c r="F36" i="15"/>
  <c r="F6"/>
  <c r="F37" i="67"/>
  <c r="F43"/>
  <c r="F26"/>
  <c r="F42" i="15"/>
  <c r="F42" i="67"/>
  <c r="F13"/>
  <c r="M6" i="15"/>
  <c r="M8" i="67"/>
  <c r="M24"/>
  <c r="F8"/>
  <c r="F7" i="15"/>
  <c r="F40"/>
  <c r="F38"/>
  <c r="J15" i="67"/>
  <c r="M26"/>
  <c r="M22"/>
  <c r="M8" i="15"/>
  <c r="L48"/>
  <c r="F26"/>
  <c r="C76" i="67"/>
  <c r="M23" i="15"/>
  <c r="F16"/>
  <c r="L47" i="67"/>
  <c r="F16"/>
  <c r="F36"/>
  <c r="L47" i="15"/>
  <c r="M29"/>
  <c r="M26"/>
  <c r="M6" i="67"/>
  <c r="M9"/>
  <c r="M29"/>
  <c r="F43" i="15"/>
  <c r="M9"/>
  <c r="C76"/>
  <c r="M28" i="67"/>
  <c r="F7"/>
  <c r="J15" i="15"/>
  <c r="F38" i="67"/>
  <c r="G1" i="73"/>
  <c r="L48" i="67"/>
  <c r="F9" i="15"/>
  <c r="M23" i="67"/>
  <c r="F40"/>
  <c r="M28" i="15"/>
  <c r="F8"/>
  <c r="M24"/>
  <c r="F37"/>
  <c r="F9" i="67"/>
  <c r="G109" i="43" l="1"/>
  <c r="K109"/>
  <c r="J109"/>
  <c r="AR12" i="1"/>
  <c r="N104" i="43"/>
  <c r="K106"/>
  <c r="G103"/>
  <c r="K104"/>
  <c r="K107"/>
  <c r="J103"/>
  <c r="N106"/>
  <c r="N103"/>
  <c r="G102"/>
  <c r="J105"/>
  <c r="F30" i="6"/>
  <c r="F31" s="1"/>
  <c r="AZ46" i="3"/>
  <c r="AZ42"/>
  <c r="AZ32"/>
  <c r="AZ30"/>
  <c r="AZ202"/>
  <c r="AZ182"/>
  <c r="AZ177"/>
  <c r="AZ150"/>
  <c r="AZ293"/>
  <c r="AZ284"/>
  <c r="AZ215"/>
  <c r="AZ468"/>
  <c r="AZ399"/>
  <c r="U12" i="33"/>
  <c r="AB12"/>
  <c r="E56" i="40"/>
  <c r="T10" i="1"/>
  <c r="AR10"/>
  <c r="C7" i="43"/>
  <c r="U39" i="40"/>
  <c r="AB39"/>
  <c r="U12" i="36"/>
  <c r="AB12"/>
  <c r="AC23" i="35"/>
  <c r="W23"/>
  <c r="AC36"/>
  <c r="W36"/>
  <c r="S12" i="34"/>
  <c r="AA12"/>
  <c r="AA9" i="33"/>
  <c r="S9"/>
  <c r="W41"/>
  <c r="AC41"/>
  <c r="C58"/>
  <c r="D58" s="1"/>
  <c r="E58" s="1"/>
  <c r="F58" s="1"/>
  <c r="G58" s="1"/>
  <c r="H58" s="1"/>
  <c r="I58" s="1"/>
  <c r="J58" s="1"/>
  <c r="K58" s="1"/>
  <c r="L58" s="1"/>
  <c r="M58" s="1"/>
  <c r="N58" s="1"/>
  <c r="O58" s="1"/>
  <c r="I7"/>
  <c r="G7"/>
  <c r="D22" i="43"/>
  <c r="C4" i="4"/>
  <c r="K4" s="1"/>
  <c r="B46" i="48" s="1"/>
  <c r="C53" i="15"/>
  <c r="C10" i="67"/>
  <c r="C53"/>
  <c r="L58"/>
  <c r="L58" i="15"/>
  <c r="Q73" s="1"/>
  <c r="N59" i="67"/>
  <c r="L59" s="1"/>
  <c r="M59"/>
  <c r="M59" i="15"/>
  <c r="J53" i="67"/>
  <c r="I54"/>
  <c r="N59" i="15"/>
  <c r="I54"/>
  <c r="J53"/>
  <c r="L56" s="1"/>
  <c r="AQ13" i="1"/>
  <c r="AZ13" i="3"/>
  <c r="AZ5" s="1"/>
  <c r="M6" i="1"/>
  <c r="O6" s="1"/>
  <c r="P6" s="1"/>
  <c r="F30" i="68"/>
  <c r="C30" s="1"/>
  <c r="F30" i="11"/>
  <c r="C48" s="1"/>
  <c r="F28" i="67"/>
  <c r="C28" s="1"/>
  <c r="F31" i="12"/>
  <c r="F52" i="9"/>
  <c r="C31" i="12"/>
  <c r="M18" i="67"/>
  <c r="F32"/>
  <c r="F60" s="1"/>
  <c r="F30" i="69"/>
  <c r="C48" s="1"/>
  <c r="F32" i="15"/>
  <c r="F60" s="1"/>
  <c r="M18"/>
  <c r="F28"/>
  <c r="C28" s="1"/>
  <c r="E63" i="39"/>
  <c r="E66" s="1"/>
  <c r="T11" i="1"/>
  <c r="D9" i="69"/>
  <c r="C9" s="1"/>
  <c r="D19" i="12"/>
  <c r="C19" s="1"/>
  <c r="AQ9" i="1"/>
  <c r="AR11"/>
  <c r="E59" i="40"/>
  <c r="D68" i="39"/>
  <c r="D70" s="1"/>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77" i="9"/>
  <c r="C74" s="1"/>
  <c r="D9" i="68"/>
  <c r="C9" s="1"/>
  <c r="K20" i="6"/>
  <c r="S7" i="1" s="1"/>
  <c r="E7" i="70" s="1"/>
  <c r="C24" i="12"/>
  <c r="AA39" i="40"/>
  <c r="S39"/>
  <c r="S12" i="33"/>
  <c r="AA12"/>
  <c r="C16" i="43"/>
  <c r="C5" s="1"/>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D113" i="43"/>
  <c r="J22"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C19" i="43"/>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B40"/>
  <c r="O19" i="43"/>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5" i="62"/>
  <c r="S21" i="6"/>
  <c r="L27"/>
  <c r="S26"/>
  <c r="S22"/>
  <c r="M20"/>
  <c r="I20" s="1"/>
  <c r="G16" i="1"/>
  <c r="H10" i="40" s="1"/>
  <c r="U10" s="1"/>
  <c r="C27" i="67"/>
  <c r="L56"/>
  <c r="J57"/>
  <c r="J55" s="1"/>
  <c r="J58" s="1"/>
  <c r="Q50" s="1"/>
  <c r="F70"/>
  <c r="F51"/>
  <c r="F68"/>
  <c r="F71"/>
  <c r="F66"/>
  <c r="F50"/>
  <c r="M7"/>
  <c r="Q71"/>
  <c r="F64"/>
  <c r="C6"/>
  <c r="F65"/>
  <c r="F71" i="15"/>
  <c r="C27"/>
  <c r="Q71"/>
  <c r="F64"/>
  <c r="F51"/>
  <c r="F65"/>
  <c r="J57"/>
  <c r="J55" s="1"/>
  <c r="J58" s="1"/>
  <c r="Q50" s="1"/>
  <c r="F68"/>
  <c r="M7"/>
  <c r="F50"/>
  <c r="F66"/>
  <c r="C6"/>
  <c r="C10" s="1"/>
  <c r="AP7" i="1"/>
  <c r="M7"/>
  <c r="O7" s="1"/>
  <c r="Q16"/>
  <c r="F27" i="69" s="1"/>
  <c r="H16" i="1"/>
  <c r="K16"/>
  <c r="AB45" i="21"/>
  <c r="AC33"/>
  <c r="W33"/>
  <c r="S33"/>
  <c r="AA33"/>
  <c r="W32"/>
  <c r="AC32"/>
  <c r="AB9"/>
  <c r="U9"/>
  <c r="AA32"/>
  <c r="S32"/>
  <c r="W9"/>
  <c r="AC9"/>
  <c r="AB32"/>
  <c r="U32"/>
  <c r="AA10"/>
  <c r="S10"/>
  <c r="C36" i="69"/>
  <c r="F59" i="15"/>
  <c r="F31" i="67"/>
  <c r="F31" i="15"/>
  <c r="M17" i="67"/>
  <c r="M17" i="15"/>
  <c r="F59" i="67"/>
  <c r="C16"/>
  <c r="C17" i="15"/>
  <c r="C16"/>
  <c r="AY6" i="3" l="1"/>
  <c r="E3" i="6"/>
  <c r="AQ7" i="1"/>
  <c r="S5" i="43"/>
  <c r="S7"/>
  <c r="S4"/>
  <c r="S6"/>
  <c r="S2"/>
  <c r="T2" s="1"/>
  <c r="V2" s="1"/>
  <c r="S3"/>
  <c r="C23"/>
  <c r="C21" s="1"/>
  <c r="C29" s="1"/>
  <c r="C30" i="69"/>
  <c r="B73" i="72"/>
  <c r="B4"/>
  <c r="F11" i="33"/>
  <c r="H11"/>
  <c r="J11"/>
  <c r="B4" i="62"/>
  <c r="C48" i="68"/>
  <c r="M19" i="6"/>
  <c r="I19" s="1"/>
  <c r="L18" i="9" s="1"/>
  <c r="AR6" i="1"/>
  <c r="T7"/>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J10" s="1"/>
  <c r="T6" i="1"/>
  <c r="F7" i="36"/>
  <c r="S7" s="1"/>
  <c r="H7" i="37"/>
  <c r="U7" s="1"/>
  <c r="H6" i="3"/>
  <c r="AC6"/>
  <c r="C5" i="15"/>
  <c r="C32" s="1"/>
  <c r="E6" i="6"/>
  <c r="D19" i="11"/>
  <c r="C19" s="1"/>
  <c r="C20" s="1"/>
  <c r="C17" i="4"/>
  <c r="B4" i="5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3"/>
  <c r="V3" s="1"/>
  <c r="T7"/>
  <c r="V7"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 i="67"/>
  <c r="C32" s="1"/>
  <c r="F10" i="40"/>
  <c r="AA10" s="1"/>
  <c r="S20" i="6"/>
  <c r="M27"/>
  <c r="H10" i="39"/>
  <c r="J10"/>
  <c r="C49" i="15"/>
  <c r="Q60"/>
  <c r="M16" i="1"/>
  <c r="N16" s="1"/>
  <c r="Q60" i="67"/>
  <c r="Q73"/>
  <c r="F27" i="11"/>
  <c r="Q61" i="67"/>
  <c r="Q74"/>
  <c r="C49"/>
  <c r="F1"/>
  <c r="Q52"/>
  <c r="B43" i="72" l="1"/>
  <c r="B71"/>
  <c r="AB11" i="33"/>
  <c r="U11"/>
  <c r="W11"/>
  <c r="AC11"/>
  <c r="AA11"/>
  <c r="S11"/>
  <c r="Q61" i="15"/>
  <c r="E37" i="43"/>
  <c r="AA7" i="36"/>
  <c r="R36" s="1"/>
  <c r="E36" s="1"/>
  <c r="E40" s="1"/>
  <c r="F40" s="1"/>
  <c r="AC11" i="37"/>
  <c r="W11"/>
  <c r="AB7"/>
  <c r="T42" s="1"/>
  <c r="G42" s="1"/>
  <c r="G46" s="1"/>
  <c r="H46" s="1"/>
  <c r="W11" i="34"/>
  <c r="AC11"/>
  <c r="J5" i="67"/>
  <c r="J5" i="15"/>
  <c r="H20" i="6"/>
  <c r="AB7" i="36"/>
  <c r="T36" s="1"/>
  <c r="C23" i="68"/>
  <c r="C38" i="15"/>
  <c r="E38" i="43"/>
  <c r="E6" i="3"/>
  <c r="C47" i="68"/>
  <c r="D45" s="1"/>
  <c r="AA10" i="39"/>
  <c r="D10" i="68"/>
  <c r="D10" i="11"/>
  <c r="C10" s="1"/>
  <c r="D20" i="12"/>
  <c r="C20" s="1"/>
  <c r="C18" s="1"/>
  <c r="D19" i="6"/>
  <c r="M19" i="9" s="1"/>
  <c r="C118" s="1"/>
  <c r="C14" i="74" s="1"/>
  <c r="B2" s="1"/>
  <c r="D25" i="6"/>
  <c r="D26"/>
  <c r="D15"/>
  <c r="C18" i="4"/>
  <c r="D22" i="6"/>
  <c r="D8"/>
  <c r="D21"/>
  <c r="D23"/>
  <c r="D24"/>
  <c r="D14"/>
  <c r="D20"/>
  <c r="C15" i="74" s="1"/>
  <c r="D5" i="6"/>
  <c r="D6"/>
  <c r="D12"/>
  <c r="D9"/>
  <c r="D11"/>
  <c r="D10"/>
  <c r="D13"/>
  <c r="D28"/>
  <c r="D29"/>
  <c r="E61" i="40"/>
  <c r="H25" i="6"/>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L19" i="9" s="1"/>
  <c r="S19" i="6"/>
  <c r="S27" s="1"/>
  <c r="I27"/>
  <c r="W10" i="39"/>
  <c r="AC10"/>
  <c r="U10"/>
  <c r="AB10"/>
  <c r="F50" i="11"/>
  <c r="F50" i="69"/>
  <c r="F50" i="68"/>
  <c r="C47" i="11"/>
  <c r="D45" s="1"/>
  <c r="C29"/>
  <c r="D27" s="1"/>
  <c r="C28"/>
  <c r="C27" s="1"/>
  <c r="L16" i="1"/>
  <c r="C34" i="11"/>
  <c r="R20" i="6" l="1"/>
  <c r="R7" i="1" s="1"/>
  <c r="R25" i="6"/>
  <c r="C36" i="11"/>
  <c r="J24" i="67"/>
  <c r="J18"/>
  <c r="J24" i="15"/>
  <c r="J18"/>
  <c r="G36" i="36"/>
  <c r="R37"/>
  <c r="AB7" i="34"/>
  <c r="T49" s="1"/>
  <c r="G49" s="1"/>
  <c r="G53" s="1"/>
  <c r="H53" s="1"/>
  <c r="W7" i="21"/>
  <c r="AA7"/>
  <c r="R48" s="1"/>
  <c r="E48" s="1"/>
  <c r="E52" s="1"/>
  <c r="F52" s="1"/>
  <c r="R26" i="6"/>
  <c r="R23"/>
  <c r="R24"/>
  <c r="R21"/>
  <c r="R8" i="1" s="1"/>
  <c r="R22" i="6"/>
  <c r="D30"/>
  <c r="D16"/>
  <c r="A7" i="51"/>
  <c r="C4" i="52"/>
  <c r="A10" i="5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E49"/>
  <c r="G70" i="39"/>
  <c r="H27" i="6"/>
  <c r="R19"/>
  <c r="C35" i="11"/>
  <c r="C38"/>
  <c r="C14" i="12"/>
  <c r="C23"/>
  <c r="E6" i="76"/>
  <c r="B45" i="72" l="1"/>
  <c r="B9"/>
  <c r="B7"/>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M21" i="15"/>
  <c r="F35" i="67"/>
  <c r="B6" i="76"/>
  <c r="M21" i="67"/>
  <c r="F35" i="15"/>
  <c r="I5" i="6" l="1"/>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L51" i="67"/>
  <c r="C14" i="15"/>
  <c r="L57" i="6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L51" i="15"/>
  <c r="AE6" i="1"/>
  <c r="C66" i="15" l="1"/>
  <c r="C60"/>
  <c r="C59" s="1"/>
  <c r="AG6" i="1"/>
  <c r="C80" i="15"/>
  <c r="C79" s="1"/>
  <c r="C65"/>
  <c r="Q68"/>
  <c r="L57"/>
  <c r="L60" s="1"/>
  <c r="Q67"/>
  <c r="F41"/>
  <c r="M27" i="67"/>
  <c r="M27" i="15"/>
  <c r="F41" i="67"/>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7" i="1"/>
  <c r="E2" i="69"/>
  <c r="AO6" i="1"/>
  <c r="AO8"/>
  <c r="B8" i="70" l="1"/>
  <c r="B7"/>
  <c r="B6"/>
  <c r="C46" i="15"/>
  <c r="B2" i="69"/>
  <c r="B3" s="1"/>
  <c r="B2" i="68"/>
  <c r="B3" i="67"/>
  <c r="D2" i="34"/>
  <c r="D2" i="35"/>
  <c r="C19" i="9"/>
  <c r="D2" i="33"/>
  <c r="D2" i="36"/>
  <c r="E2" i="68"/>
  <c r="F20" i="31"/>
  <c r="D2" i="37"/>
  <c r="D2" i="21"/>
  <c r="B2" i="36" l="1"/>
  <c r="B3" s="1"/>
  <c r="B2" i="35"/>
  <c r="B3" s="1"/>
  <c r="B2" i="37"/>
  <c r="B3" s="1"/>
  <c r="B2" i="34"/>
  <c r="B3" s="1"/>
  <c r="B2" i="21"/>
  <c r="B3" s="1"/>
  <c r="B2" i="70"/>
  <c r="B3" s="1"/>
  <c r="C102" i="9"/>
  <c r="C21"/>
  <c r="B3" i="68"/>
  <c r="C20" i="9"/>
  <c r="C103" l="1"/>
  <c r="D34"/>
  <c r="H109" l="1"/>
  <c r="H110" l="1"/>
  <c r="D18" i="53" s="1"/>
  <c r="D124" i="9"/>
  <c r="D16" i="53"/>
  <c r="B34" i="72" s="1"/>
  <c r="B35" l="1"/>
  <c r="D10" i="52"/>
  <c r="H14" i="74"/>
  <c r="D17" i="53"/>
  <c r="B36" i="72" s="1"/>
  <c r="D125" i="9"/>
  <c r="D11" i="52" s="1"/>
  <c r="B7" i="74" l="1"/>
  <c r="D7" s="1"/>
  <c r="C7" l="1"/>
  <c r="J7" i="33" l="1"/>
  <c r="W7" s="1"/>
  <c r="F7"/>
  <c r="S7" s="1"/>
  <c r="H7"/>
  <c r="AB7" s="1"/>
  <c r="T48" s="1"/>
  <c r="G48" s="1"/>
  <c r="F93" i="78" s="1"/>
  <c r="G52" i="33" l="1"/>
  <c r="H52" s="1"/>
  <c r="AA7"/>
  <c r="R48" s="1"/>
  <c r="U7"/>
  <c r="AC7"/>
  <c r="V48" s="1"/>
  <c r="I48" s="1"/>
  <c r="H93" i="78" s="1"/>
  <c r="I52" i="33" l="1"/>
  <c r="J52" s="1"/>
  <c r="R49"/>
  <c r="E48"/>
  <c r="D93" i="78" s="1"/>
  <c r="G53" i="33"/>
  <c r="H53" s="1"/>
  <c r="E53" l="1"/>
  <c r="F53" s="1"/>
  <c r="E52"/>
  <c r="F52" s="1"/>
  <c r="I53"/>
  <c r="J53" s="1"/>
  <c r="C48"/>
  <c r="C49"/>
  <c r="B2" s="1"/>
  <c r="J7" i="39"/>
  <c r="AC7" s="1"/>
  <c r="V47" s="1"/>
  <c r="I47" s="1"/>
  <c r="F7"/>
  <c r="S7" s="1"/>
  <c r="H7"/>
  <c r="AB7" s="1"/>
  <c r="T47" s="1"/>
  <c r="G47" s="1"/>
  <c r="D19" i="9"/>
  <c r="D102" l="1"/>
  <c r="D21"/>
  <c r="D22"/>
  <c r="G19"/>
  <c r="B3" i="33"/>
  <c r="G52" i="39"/>
  <c r="H52" s="1"/>
  <c r="G51"/>
  <c r="H51" s="1"/>
  <c r="I51"/>
  <c r="J51" s="1"/>
  <c r="W7"/>
  <c r="U7"/>
  <c r="AA7"/>
  <c r="R47" s="1"/>
  <c r="D20" i="9"/>
  <c r="D103" l="1"/>
  <c r="G20"/>
  <c r="R24" i="31" s="1"/>
  <c r="G21" i="9"/>
  <c r="C32"/>
  <c r="R48" i="39"/>
  <c r="E47"/>
  <c r="R379" i="31" l="1"/>
  <c r="S379" s="1"/>
  <c r="R381"/>
  <c r="S381" s="1"/>
  <c r="R383"/>
  <c r="S383" s="1"/>
  <c r="R385"/>
  <c r="S385" s="1"/>
  <c r="R387"/>
  <c r="S387" s="1"/>
  <c r="R389"/>
  <c r="S389" s="1"/>
  <c r="R391"/>
  <c r="S391" s="1"/>
  <c r="R393"/>
  <c r="S393" s="1"/>
  <c r="R395"/>
  <c r="S395" s="1"/>
  <c r="R397"/>
  <c r="S397" s="1"/>
  <c r="R399"/>
  <c r="S399" s="1"/>
  <c r="R401"/>
  <c r="S401" s="1"/>
  <c r="R403"/>
  <c r="S403" s="1"/>
  <c r="R405"/>
  <c r="S405" s="1"/>
  <c r="R407"/>
  <c r="S407" s="1"/>
  <c r="R409"/>
  <c r="S409" s="1"/>
  <c r="R411"/>
  <c r="S411" s="1"/>
  <c r="R413"/>
  <c r="S413" s="1"/>
  <c r="R415"/>
  <c r="S415" s="1"/>
  <c r="R417"/>
  <c r="S417" s="1"/>
  <c r="R419"/>
  <c r="S419" s="1"/>
  <c r="R421"/>
  <c r="S421" s="1"/>
  <c r="R423"/>
  <c r="S423" s="1"/>
  <c r="R425"/>
  <c r="S425" s="1"/>
  <c r="R427"/>
  <c r="S427" s="1"/>
  <c r="R429"/>
  <c r="S429" s="1"/>
  <c r="R431"/>
  <c r="S431" s="1"/>
  <c r="R433"/>
  <c r="S433" s="1"/>
  <c r="R435"/>
  <c r="S435" s="1"/>
  <c r="R437"/>
  <c r="S437" s="1"/>
  <c r="R439"/>
  <c r="S439" s="1"/>
  <c r="R441"/>
  <c r="S441" s="1"/>
  <c r="R443"/>
  <c r="S443" s="1"/>
  <c r="R445"/>
  <c r="S445" s="1"/>
  <c r="R447"/>
  <c r="S447" s="1"/>
  <c r="R449"/>
  <c r="S449" s="1"/>
  <c r="R451"/>
  <c r="S451" s="1"/>
  <c r="R453"/>
  <c r="S453" s="1"/>
  <c r="R455"/>
  <c r="S455" s="1"/>
  <c r="R457"/>
  <c r="S457" s="1"/>
  <c r="R459"/>
  <c r="S459" s="1"/>
  <c r="R461"/>
  <c r="S461" s="1"/>
  <c r="R463"/>
  <c r="S463" s="1"/>
  <c r="R465"/>
  <c r="S465" s="1"/>
  <c r="R467"/>
  <c r="S467" s="1"/>
  <c r="R469"/>
  <c r="S469" s="1"/>
  <c r="R380"/>
  <c r="S380" s="1"/>
  <c r="R382"/>
  <c r="S382" s="1"/>
  <c r="R384"/>
  <c r="S384" s="1"/>
  <c r="R386"/>
  <c r="S386" s="1"/>
  <c r="R388"/>
  <c r="S388" s="1"/>
  <c r="R390"/>
  <c r="S390" s="1"/>
  <c r="R392"/>
  <c r="S392" s="1"/>
  <c r="R394"/>
  <c r="S394" s="1"/>
  <c r="R396"/>
  <c r="S396" s="1"/>
  <c r="R398"/>
  <c r="S398" s="1"/>
  <c r="R400"/>
  <c r="S400" s="1"/>
  <c r="R402"/>
  <c r="S402" s="1"/>
  <c r="R404"/>
  <c r="S404" s="1"/>
  <c r="R406"/>
  <c r="S406" s="1"/>
  <c r="R408"/>
  <c r="S408" s="1"/>
  <c r="R410"/>
  <c r="S410" s="1"/>
  <c r="R412"/>
  <c r="S412" s="1"/>
  <c r="R414"/>
  <c r="S414" s="1"/>
  <c r="R416"/>
  <c r="S416" s="1"/>
  <c r="R418"/>
  <c r="S418" s="1"/>
  <c r="R420"/>
  <c r="S420" s="1"/>
  <c r="R422"/>
  <c r="S422" s="1"/>
  <c r="R424"/>
  <c r="S424" s="1"/>
  <c r="R426"/>
  <c r="S426" s="1"/>
  <c r="R428"/>
  <c r="S428" s="1"/>
  <c r="R430"/>
  <c r="S430" s="1"/>
  <c r="R432"/>
  <c r="S432" s="1"/>
  <c r="R434"/>
  <c r="S434" s="1"/>
  <c r="R436"/>
  <c r="S436" s="1"/>
  <c r="R438"/>
  <c r="S438" s="1"/>
  <c r="R440"/>
  <c r="S440" s="1"/>
  <c r="R442"/>
  <c r="S442" s="1"/>
  <c r="R444"/>
  <c r="S444" s="1"/>
  <c r="R446"/>
  <c r="S446" s="1"/>
  <c r="R448"/>
  <c r="S448" s="1"/>
  <c r="R450"/>
  <c r="S450" s="1"/>
  <c r="R452"/>
  <c r="S452" s="1"/>
  <c r="R454"/>
  <c r="S454" s="1"/>
  <c r="R456"/>
  <c r="S456" s="1"/>
  <c r="R458"/>
  <c r="S458" s="1"/>
  <c r="R460"/>
  <c r="S460" s="1"/>
  <c r="R462"/>
  <c r="S462" s="1"/>
  <c r="R464"/>
  <c r="S464" s="1"/>
  <c r="R466"/>
  <c r="S466" s="1"/>
  <c r="R468"/>
  <c r="S468" s="1"/>
  <c r="R470"/>
  <c r="S470" s="1"/>
  <c r="R132"/>
  <c r="S132" s="1"/>
  <c r="R134"/>
  <c r="S134" s="1"/>
  <c r="R136"/>
  <c r="S136" s="1"/>
  <c r="R138"/>
  <c r="S138" s="1"/>
  <c r="R140"/>
  <c r="S140" s="1"/>
  <c r="R142"/>
  <c r="S142" s="1"/>
  <c r="R144"/>
  <c r="S144" s="1"/>
  <c r="R146"/>
  <c r="S146" s="1"/>
  <c r="R148"/>
  <c r="S148" s="1"/>
  <c r="R150"/>
  <c r="S150" s="1"/>
  <c r="R152"/>
  <c r="S152" s="1"/>
  <c r="R154"/>
  <c r="S154" s="1"/>
  <c r="R156"/>
  <c r="S156" s="1"/>
  <c r="R158"/>
  <c r="S158" s="1"/>
  <c r="R160"/>
  <c r="S160" s="1"/>
  <c r="R162"/>
  <c r="S162" s="1"/>
  <c r="R164"/>
  <c r="S164" s="1"/>
  <c r="R166"/>
  <c r="S166" s="1"/>
  <c r="R168"/>
  <c r="S168" s="1"/>
  <c r="R170"/>
  <c r="S170" s="1"/>
  <c r="R172"/>
  <c r="S172" s="1"/>
  <c r="R174"/>
  <c r="S174" s="1"/>
  <c r="R176"/>
  <c r="S176" s="1"/>
  <c r="R178"/>
  <c r="S178" s="1"/>
  <c r="R180"/>
  <c r="S180" s="1"/>
  <c r="R182"/>
  <c r="S182" s="1"/>
  <c r="R184"/>
  <c r="S184" s="1"/>
  <c r="R186"/>
  <c r="S186" s="1"/>
  <c r="R188"/>
  <c r="S188" s="1"/>
  <c r="R190"/>
  <c r="S190" s="1"/>
  <c r="R192"/>
  <c r="S192" s="1"/>
  <c r="R194"/>
  <c r="S194" s="1"/>
  <c r="R196"/>
  <c r="S196" s="1"/>
  <c r="R198"/>
  <c r="S198" s="1"/>
  <c r="R200"/>
  <c r="S200" s="1"/>
  <c r="R202"/>
  <c r="S202" s="1"/>
  <c r="R204"/>
  <c r="S204" s="1"/>
  <c r="R206"/>
  <c r="S206" s="1"/>
  <c r="R208"/>
  <c r="S208" s="1"/>
  <c r="R210"/>
  <c r="S210" s="1"/>
  <c r="R212"/>
  <c r="S212" s="1"/>
  <c r="R214"/>
  <c r="S214" s="1"/>
  <c r="R216"/>
  <c r="S216" s="1"/>
  <c r="R218"/>
  <c r="S218" s="1"/>
  <c r="R220"/>
  <c r="S220" s="1"/>
  <c r="R222"/>
  <c r="S222" s="1"/>
  <c r="R224"/>
  <c r="S224" s="1"/>
  <c r="R226"/>
  <c r="S226" s="1"/>
  <c r="R228"/>
  <c r="S228" s="1"/>
  <c r="R230"/>
  <c r="S230" s="1"/>
  <c r="R232"/>
  <c r="S232" s="1"/>
  <c r="R234"/>
  <c r="S234" s="1"/>
  <c r="R236"/>
  <c r="S236" s="1"/>
  <c r="R238"/>
  <c r="S238" s="1"/>
  <c r="R240"/>
  <c r="S240" s="1"/>
  <c r="R242"/>
  <c r="S242" s="1"/>
  <c r="R244"/>
  <c r="S244" s="1"/>
  <c r="R246"/>
  <c r="S246" s="1"/>
  <c r="R248"/>
  <c r="S248" s="1"/>
  <c r="R250"/>
  <c r="S250" s="1"/>
  <c r="R252"/>
  <c r="S252" s="1"/>
  <c r="R254"/>
  <c r="S254" s="1"/>
  <c r="R256"/>
  <c r="S256" s="1"/>
  <c r="R258"/>
  <c r="S258" s="1"/>
  <c r="R260"/>
  <c r="S260" s="1"/>
  <c r="R262"/>
  <c r="S262" s="1"/>
  <c r="R264"/>
  <c r="S264" s="1"/>
  <c r="R266"/>
  <c r="S266" s="1"/>
  <c r="R268"/>
  <c r="S268" s="1"/>
  <c r="R270"/>
  <c r="S270" s="1"/>
  <c r="R272"/>
  <c r="S272" s="1"/>
  <c r="R274"/>
  <c r="S274" s="1"/>
  <c r="R276"/>
  <c r="S276" s="1"/>
  <c r="R278"/>
  <c r="S278" s="1"/>
  <c r="R280"/>
  <c r="S280" s="1"/>
  <c r="R282"/>
  <c r="S282" s="1"/>
  <c r="R284"/>
  <c r="S284" s="1"/>
  <c r="R286"/>
  <c r="S286" s="1"/>
  <c r="R288"/>
  <c r="S288" s="1"/>
  <c r="R290"/>
  <c r="S290" s="1"/>
  <c r="R292"/>
  <c r="S292" s="1"/>
  <c r="R294"/>
  <c r="S294" s="1"/>
  <c r="R296"/>
  <c r="S296" s="1"/>
  <c r="R298"/>
  <c r="S298" s="1"/>
  <c r="R300"/>
  <c r="S300" s="1"/>
  <c r="R302"/>
  <c r="S302" s="1"/>
  <c r="R304"/>
  <c r="S304" s="1"/>
  <c r="R306"/>
  <c r="S306" s="1"/>
  <c r="R308"/>
  <c r="S308" s="1"/>
  <c r="R310"/>
  <c r="S310" s="1"/>
  <c r="R312"/>
  <c r="S312" s="1"/>
  <c r="R314"/>
  <c r="S314" s="1"/>
  <c r="R316"/>
  <c r="S316" s="1"/>
  <c r="R318"/>
  <c r="S318" s="1"/>
  <c r="R320"/>
  <c r="S320" s="1"/>
  <c r="R322"/>
  <c r="S322" s="1"/>
  <c r="R324"/>
  <c r="S324" s="1"/>
  <c r="R326"/>
  <c r="S326" s="1"/>
  <c r="R328"/>
  <c r="S328" s="1"/>
  <c r="R330"/>
  <c r="S330" s="1"/>
  <c r="R332"/>
  <c r="S332" s="1"/>
  <c r="R334"/>
  <c r="S334" s="1"/>
  <c r="R336"/>
  <c r="S336" s="1"/>
  <c r="R338"/>
  <c r="S338" s="1"/>
  <c r="R340"/>
  <c r="S340" s="1"/>
  <c r="R342"/>
  <c r="S342" s="1"/>
  <c r="R344"/>
  <c r="S344" s="1"/>
  <c r="R346"/>
  <c r="S346" s="1"/>
  <c r="R348"/>
  <c r="S348" s="1"/>
  <c r="R350"/>
  <c r="S350" s="1"/>
  <c r="R352"/>
  <c r="S352" s="1"/>
  <c r="R354"/>
  <c r="S354" s="1"/>
  <c r="R356"/>
  <c r="S356" s="1"/>
  <c r="R358"/>
  <c r="S358" s="1"/>
  <c r="R360"/>
  <c r="S360" s="1"/>
  <c r="R362"/>
  <c r="S362" s="1"/>
  <c r="R364"/>
  <c r="S364" s="1"/>
  <c r="R366"/>
  <c r="S366" s="1"/>
  <c r="R368"/>
  <c r="S368" s="1"/>
  <c r="R370"/>
  <c r="S370" s="1"/>
  <c r="R372"/>
  <c r="S372" s="1"/>
  <c r="R374"/>
  <c r="S374" s="1"/>
  <c r="R376"/>
  <c r="S376" s="1"/>
  <c r="R378"/>
  <c r="S378" s="1"/>
  <c r="R133"/>
  <c r="S133" s="1"/>
  <c r="R135"/>
  <c r="S135" s="1"/>
  <c r="R137"/>
  <c r="S137" s="1"/>
  <c r="R139"/>
  <c r="S139" s="1"/>
  <c r="R141"/>
  <c r="S141" s="1"/>
  <c r="R143"/>
  <c r="S143" s="1"/>
  <c r="R145"/>
  <c r="S145" s="1"/>
  <c r="R147"/>
  <c r="S147" s="1"/>
  <c r="R149"/>
  <c r="S149" s="1"/>
  <c r="R151"/>
  <c r="S151" s="1"/>
  <c r="R153"/>
  <c r="S153" s="1"/>
  <c r="R155"/>
  <c r="S155" s="1"/>
  <c r="R157"/>
  <c r="S157" s="1"/>
  <c r="R159"/>
  <c r="S159" s="1"/>
  <c r="R161"/>
  <c r="S161" s="1"/>
  <c r="R163"/>
  <c r="S163" s="1"/>
  <c r="R165"/>
  <c r="S165" s="1"/>
  <c r="R167"/>
  <c r="S167" s="1"/>
  <c r="R169"/>
  <c r="S169" s="1"/>
  <c r="R171"/>
  <c r="S171" s="1"/>
  <c r="R173"/>
  <c r="S173" s="1"/>
  <c r="R175"/>
  <c r="S175" s="1"/>
  <c r="R177"/>
  <c r="S177" s="1"/>
  <c r="R179"/>
  <c r="S179" s="1"/>
  <c r="R181"/>
  <c r="S181" s="1"/>
  <c r="R183"/>
  <c r="S183" s="1"/>
  <c r="R185"/>
  <c r="S185" s="1"/>
  <c r="R187"/>
  <c r="S187" s="1"/>
  <c r="R189"/>
  <c r="S189" s="1"/>
  <c r="R191"/>
  <c r="S191" s="1"/>
  <c r="R193"/>
  <c r="S193" s="1"/>
  <c r="R195"/>
  <c r="S195" s="1"/>
  <c r="R197"/>
  <c r="S197" s="1"/>
  <c r="R199"/>
  <c r="S199" s="1"/>
  <c r="R201"/>
  <c r="S201" s="1"/>
  <c r="R203"/>
  <c r="S203" s="1"/>
  <c r="R205"/>
  <c r="S205" s="1"/>
  <c r="R207"/>
  <c r="S207" s="1"/>
  <c r="R209"/>
  <c r="S209" s="1"/>
  <c r="R211"/>
  <c r="S211" s="1"/>
  <c r="R213"/>
  <c r="S213" s="1"/>
  <c r="R215"/>
  <c r="S215" s="1"/>
  <c r="R217"/>
  <c r="S217" s="1"/>
  <c r="R219"/>
  <c r="S219" s="1"/>
  <c r="R221"/>
  <c r="S221" s="1"/>
  <c r="R223"/>
  <c r="S223" s="1"/>
  <c r="R225"/>
  <c r="S225" s="1"/>
  <c r="R227"/>
  <c r="S227" s="1"/>
  <c r="R229"/>
  <c r="S229" s="1"/>
  <c r="R231"/>
  <c r="S231" s="1"/>
  <c r="R233"/>
  <c r="S233" s="1"/>
  <c r="R235"/>
  <c r="S235" s="1"/>
  <c r="R237"/>
  <c r="S237" s="1"/>
  <c r="R239"/>
  <c r="S239" s="1"/>
  <c r="R241"/>
  <c r="S241" s="1"/>
  <c r="R243"/>
  <c r="S243" s="1"/>
  <c r="R245"/>
  <c r="S245" s="1"/>
  <c r="R247"/>
  <c r="S247" s="1"/>
  <c r="R249"/>
  <c r="S249" s="1"/>
  <c r="R251"/>
  <c r="S251" s="1"/>
  <c r="R253"/>
  <c r="S253" s="1"/>
  <c r="R255"/>
  <c r="S255" s="1"/>
  <c r="R257"/>
  <c r="S257" s="1"/>
  <c r="R259"/>
  <c r="S259" s="1"/>
  <c r="R261"/>
  <c r="S261" s="1"/>
  <c r="R263"/>
  <c r="S263" s="1"/>
  <c r="R265"/>
  <c r="S265" s="1"/>
  <c r="R267"/>
  <c r="S267" s="1"/>
  <c r="R269"/>
  <c r="S269" s="1"/>
  <c r="R271"/>
  <c r="S271" s="1"/>
  <c r="R273"/>
  <c r="S273" s="1"/>
  <c r="R275"/>
  <c r="S275" s="1"/>
  <c r="R277"/>
  <c r="S277" s="1"/>
  <c r="R279"/>
  <c r="S279" s="1"/>
  <c r="R281"/>
  <c r="S281" s="1"/>
  <c r="R283"/>
  <c r="S283" s="1"/>
  <c r="R285"/>
  <c r="S285" s="1"/>
  <c r="R287"/>
  <c r="S287" s="1"/>
  <c r="R289"/>
  <c r="S289" s="1"/>
  <c r="R291"/>
  <c r="S291" s="1"/>
  <c r="R293"/>
  <c r="S293" s="1"/>
  <c r="R295"/>
  <c r="S295" s="1"/>
  <c r="R297"/>
  <c r="S297" s="1"/>
  <c r="R299"/>
  <c r="S299" s="1"/>
  <c r="R301"/>
  <c r="S301" s="1"/>
  <c r="R303"/>
  <c r="S303" s="1"/>
  <c r="R305"/>
  <c r="S305" s="1"/>
  <c r="R307"/>
  <c r="S307" s="1"/>
  <c r="R309"/>
  <c r="S309" s="1"/>
  <c r="R311"/>
  <c r="S311" s="1"/>
  <c r="R313"/>
  <c r="S313" s="1"/>
  <c r="R315"/>
  <c r="S315" s="1"/>
  <c r="R317"/>
  <c r="S317" s="1"/>
  <c r="R319"/>
  <c r="S319" s="1"/>
  <c r="R321"/>
  <c r="S321" s="1"/>
  <c r="R323"/>
  <c r="S323" s="1"/>
  <c r="R325"/>
  <c r="S325" s="1"/>
  <c r="R327"/>
  <c r="S327" s="1"/>
  <c r="R329"/>
  <c r="S329" s="1"/>
  <c r="R331"/>
  <c r="S331" s="1"/>
  <c r="R333"/>
  <c r="S333" s="1"/>
  <c r="R335"/>
  <c r="S335" s="1"/>
  <c r="R337"/>
  <c r="S337" s="1"/>
  <c r="R339"/>
  <c r="S339" s="1"/>
  <c r="R341"/>
  <c r="S341" s="1"/>
  <c r="R343"/>
  <c r="S343" s="1"/>
  <c r="R345"/>
  <c r="S345" s="1"/>
  <c r="R347"/>
  <c r="S347" s="1"/>
  <c r="R349"/>
  <c r="S349" s="1"/>
  <c r="R351"/>
  <c r="S351" s="1"/>
  <c r="R353"/>
  <c r="S353" s="1"/>
  <c r="R355"/>
  <c r="S355" s="1"/>
  <c r="R357"/>
  <c r="S357" s="1"/>
  <c r="R359"/>
  <c r="S359" s="1"/>
  <c r="R361"/>
  <c r="S361" s="1"/>
  <c r="R363"/>
  <c r="S363" s="1"/>
  <c r="R365"/>
  <c r="S365" s="1"/>
  <c r="R367"/>
  <c r="S367" s="1"/>
  <c r="R369"/>
  <c r="S369" s="1"/>
  <c r="R371"/>
  <c r="S371" s="1"/>
  <c r="R373"/>
  <c r="S373" s="1"/>
  <c r="R375"/>
  <c r="S375" s="1"/>
  <c r="R377"/>
  <c r="S377" s="1"/>
  <c r="S24"/>
  <c r="R128"/>
  <c r="S128" s="1"/>
  <c r="R124"/>
  <c r="S124" s="1"/>
  <c r="R120"/>
  <c r="S120" s="1"/>
  <c r="R116"/>
  <c r="S116" s="1"/>
  <c r="R112"/>
  <c r="S112" s="1"/>
  <c r="R108"/>
  <c r="S108" s="1"/>
  <c r="R104"/>
  <c r="S104" s="1"/>
  <c r="R100"/>
  <c r="S100" s="1"/>
  <c r="R96"/>
  <c r="S96" s="1"/>
  <c r="R92"/>
  <c r="S92" s="1"/>
  <c r="R88"/>
  <c r="S88" s="1"/>
  <c r="R84"/>
  <c r="S84" s="1"/>
  <c r="R80"/>
  <c r="S80" s="1"/>
  <c r="R76"/>
  <c r="S76" s="1"/>
  <c r="R72"/>
  <c r="S72" s="1"/>
  <c r="R68"/>
  <c r="S68" s="1"/>
  <c r="R64"/>
  <c r="S64" s="1"/>
  <c r="R60"/>
  <c r="S60" s="1"/>
  <c r="R56"/>
  <c r="S56" s="1"/>
  <c r="R52"/>
  <c r="S52" s="1"/>
  <c r="R48"/>
  <c r="S48" s="1"/>
  <c r="R44"/>
  <c r="S44" s="1"/>
  <c r="R40"/>
  <c r="S40" s="1"/>
  <c r="R36"/>
  <c r="S36" s="1"/>
  <c r="R32"/>
  <c r="S32" s="1"/>
  <c r="R28"/>
  <c r="S28" s="1"/>
  <c r="R131"/>
  <c r="S131" s="1"/>
  <c r="R127"/>
  <c r="S127" s="1"/>
  <c r="R123"/>
  <c r="S123" s="1"/>
  <c r="R119"/>
  <c r="S119" s="1"/>
  <c r="R115"/>
  <c r="S115" s="1"/>
  <c r="R111"/>
  <c r="S111" s="1"/>
  <c r="R107"/>
  <c r="S107" s="1"/>
  <c r="R103"/>
  <c r="S103" s="1"/>
  <c r="R99"/>
  <c r="S99" s="1"/>
  <c r="R95"/>
  <c r="S95" s="1"/>
  <c r="R91"/>
  <c r="S91" s="1"/>
  <c r="R87"/>
  <c r="S87" s="1"/>
  <c r="R83"/>
  <c r="S83" s="1"/>
  <c r="R79"/>
  <c r="S79" s="1"/>
  <c r="R75"/>
  <c r="S75" s="1"/>
  <c r="R71"/>
  <c r="S71" s="1"/>
  <c r="R67"/>
  <c r="S67" s="1"/>
  <c r="R63"/>
  <c r="S63" s="1"/>
  <c r="R59"/>
  <c r="S59" s="1"/>
  <c r="R55"/>
  <c r="S55" s="1"/>
  <c r="R51"/>
  <c r="S51" s="1"/>
  <c r="R47"/>
  <c r="S47" s="1"/>
  <c r="R43"/>
  <c r="S43" s="1"/>
  <c r="R39"/>
  <c r="S39" s="1"/>
  <c r="R35"/>
  <c r="S35" s="1"/>
  <c r="R31"/>
  <c r="S31" s="1"/>
  <c r="R27"/>
  <c r="S27" s="1"/>
  <c r="R130"/>
  <c r="S130" s="1"/>
  <c r="R126"/>
  <c r="S126" s="1"/>
  <c r="R122"/>
  <c r="S122" s="1"/>
  <c r="R118"/>
  <c r="S118" s="1"/>
  <c r="R114"/>
  <c r="S114" s="1"/>
  <c r="R110"/>
  <c r="S110" s="1"/>
  <c r="R106"/>
  <c r="S106" s="1"/>
  <c r="R102"/>
  <c r="S102" s="1"/>
  <c r="R98"/>
  <c r="S98" s="1"/>
  <c r="R94"/>
  <c r="S94" s="1"/>
  <c r="R90"/>
  <c r="S90" s="1"/>
  <c r="R86"/>
  <c r="S86" s="1"/>
  <c r="R82"/>
  <c r="S82" s="1"/>
  <c r="R78"/>
  <c r="S78" s="1"/>
  <c r="R74"/>
  <c r="S74" s="1"/>
  <c r="R70"/>
  <c r="S70" s="1"/>
  <c r="R66"/>
  <c r="S66" s="1"/>
  <c r="R62"/>
  <c r="S62" s="1"/>
  <c r="R58"/>
  <c r="S58" s="1"/>
  <c r="R54"/>
  <c r="S54" s="1"/>
  <c r="R50"/>
  <c r="S50" s="1"/>
  <c r="R46"/>
  <c r="S46" s="1"/>
  <c r="R42"/>
  <c r="S42" s="1"/>
  <c r="R38"/>
  <c r="S38" s="1"/>
  <c r="R34"/>
  <c r="S34" s="1"/>
  <c r="R30"/>
  <c r="S30" s="1"/>
  <c r="R26"/>
  <c r="S26" s="1"/>
  <c r="R129"/>
  <c r="S129" s="1"/>
  <c r="R125"/>
  <c r="S125" s="1"/>
  <c r="R121"/>
  <c r="S121" s="1"/>
  <c r="R117"/>
  <c r="S117" s="1"/>
  <c r="R113"/>
  <c r="S113" s="1"/>
  <c r="R109"/>
  <c r="S109" s="1"/>
  <c r="R105"/>
  <c r="S105" s="1"/>
  <c r="R101"/>
  <c r="S101" s="1"/>
  <c r="R97"/>
  <c r="S97" s="1"/>
  <c r="R93"/>
  <c r="S93" s="1"/>
  <c r="R89"/>
  <c r="S89" s="1"/>
  <c r="R85"/>
  <c r="S85" s="1"/>
  <c r="R81"/>
  <c r="S81" s="1"/>
  <c r="R77"/>
  <c r="S77" s="1"/>
  <c r="R73"/>
  <c r="S73" s="1"/>
  <c r="R69"/>
  <c r="S69" s="1"/>
  <c r="R65"/>
  <c r="S65" s="1"/>
  <c r="R61"/>
  <c r="S61" s="1"/>
  <c r="R57"/>
  <c r="S57" s="1"/>
  <c r="R53"/>
  <c r="S53" s="1"/>
  <c r="R49"/>
  <c r="S49" s="1"/>
  <c r="R45"/>
  <c r="S45" s="1"/>
  <c r="R41"/>
  <c r="S41" s="1"/>
  <c r="R37"/>
  <c r="S37" s="1"/>
  <c r="R33"/>
  <c r="S33" s="1"/>
  <c r="R29"/>
  <c r="S29" s="1"/>
  <c r="R25"/>
  <c r="S25" s="1"/>
  <c r="C48" i="39"/>
  <c r="C47"/>
  <c r="E51"/>
  <c r="F51" s="1"/>
  <c r="E52"/>
  <c r="F52" s="1"/>
  <c r="I52"/>
  <c r="J52" s="1"/>
  <c r="S22" i="31" l="1"/>
  <c r="U28" s="1"/>
  <c r="D15" i="74" s="1"/>
  <c r="G15" s="1"/>
  <c r="B61" i="39"/>
  <c r="F61" s="1"/>
  <c r="B60"/>
  <c r="F60" s="1"/>
  <c r="B56"/>
  <c r="F56" s="1"/>
  <c r="B58"/>
  <c r="F58" s="1"/>
  <c r="B59"/>
  <c r="F59" s="1"/>
  <c r="B64"/>
  <c r="F64" s="1"/>
  <c r="B65"/>
  <c r="F65" s="1"/>
  <c r="B57"/>
  <c r="F57" s="1"/>
  <c r="B63"/>
  <c r="F63" s="1"/>
  <c r="B62"/>
  <c r="F62" s="1"/>
  <c r="F15" i="74" l="1"/>
  <c r="E15"/>
  <c r="R22" i="31"/>
  <c r="B21" s="1"/>
  <c r="B20"/>
  <c r="F66" i="39"/>
  <c r="B2" s="1"/>
  <c r="B3" s="1"/>
  <c r="D35" i="9"/>
  <c r="C35" l="1"/>
  <c r="C34" l="1"/>
  <c r="H112" l="1"/>
  <c r="D21" i="53" s="1"/>
  <c r="B39" i="72" s="1"/>
  <c r="H111" i="9"/>
  <c r="D126" s="1"/>
  <c r="D59"/>
  <c r="M55" s="1"/>
  <c r="D19" i="53" l="1"/>
  <c r="B38" i="72" s="1"/>
  <c r="I14" i="74"/>
  <c r="B8" s="1"/>
  <c r="D127" i="9"/>
  <c r="D13" i="52" s="1"/>
  <c r="D12"/>
  <c r="F118" i="9"/>
  <c r="G118" s="1"/>
  <c r="G4" i="52" s="1"/>
  <c r="D118" i="9"/>
  <c r="D119" s="1"/>
  <c r="D5" i="52" s="1"/>
  <c r="H118" i="9"/>
  <c r="C104" s="1"/>
  <c r="D20" i="53" l="1"/>
  <c r="B40" i="72" s="1"/>
  <c r="B49"/>
  <c r="B52"/>
  <c r="D8" i="74"/>
  <c r="C8"/>
  <c r="H101" i="9"/>
  <c r="M48" s="1"/>
  <c r="I118"/>
  <c r="C105" s="1"/>
  <c r="H119"/>
  <c r="H5" i="52" s="1"/>
  <c r="F4"/>
  <c r="F119" i="9"/>
  <c r="F5" i="52" s="1"/>
  <c r="D14" i="74"/>
  <c r="H4" i="52"/>
  <c r="D4"/>
  <c r="H107" i="9"/>
  <c r="M49" s="1"/>
  <c r="B53" i="72" l="1"/>
  <c r="B47"/>
  <c r="B51"/>
  <c r="L68" i="9"/>
  <c r="M68" s="1"/>
  <c r="L65"/>
  <c r="M65" s="1"/>
  <c r="L64"/>
  <c r="M64" s="1"/>
  <c r="L67"/>
  <c r="M67" s="1"/>
  <c r="L63"/>
  <c r="M63" s="1"/>
  <c r="L66"/>
  <c r="M66" s="1"/>
  <c r="D45"/>
  <c r="D53" s="1"/>
  <c r="I4" i="52"/>
  <c r="D5" i="53"/>
  <c r="H102" i="9"/>
  <c r="D7" i="53" s="1"/>
  <c r="E118" i="9"/>
  <c r="E4" i="52" s="1"/>
  <c r="D122" i="9"/>
  <c r="H108"/>
  <c r="D15" i="53" s="1"/>
  <c r="D13"/>
  <c r="E14" i="74"/>
  <c r="B5"/>
  <c r="F14"/>
  <c r="B31" i="72" l="1"/>
  <c r="B48"/>
  <c r="B20"/>
  <c r="B21"/>
  <c r="M69" i="9"/>
  <c r="N69" s="1"/>
  <c r="C93"/>
  <c r="C86" s="1"/>
  <c r="D52"/>
  <c r="C78"/>
  <c r="C73" s="1"/>
  <c r="C85"/>
  <c r="C72"/>
  <c r="D55"/>
  <c r="M53" s="1"/>
  <c r="C64"/>
  <c r="C63" s="1"/>
  <c r="D6" i="53"/>
  <c r="D5" i="74"/>
  <c r="C5"/>
  <c r="D14" i="53"/>
  <c r="B30" i="72"/>
  <c r="G14" i="74"/>
  <c r="B6" s="1"/>
  <c r="D123" i="9"/>
  <c r="D9" i="52" s="1"/>
  <c r="D8"/>
  <c r="B22" i="72" l="1"/>
  <c r="B32"/>
  <c r="C95" i="9"/>
  <c r="C67"/>
  <c r="C68" s="1"/>
  <c r="D54" s="1"/>
  <c r="C79"/>
  <c r="D6" i="74"/>
  <c r="C6"/>
  <c r="C96" i="9" l="1"/>
  <c r="E96" s="1"/>
  <c r="E97" s="1"/>
  <c r="C80"/>
  <c r="E80" s="1"/>
  <c r="E81" s="1"/>
  <c r="C81" l="1"/>
  <c r="C97"/>
  <c r="D58" s="1"/>
  <c r="D56" s="1"/>
  <c r="M54" s="1"/>
  <c r="N57" s="1"/>
  <c r="N58" l="1"/>
  <c r="N59"/>
  <c r="P57"/>
  <c r="AD3" i="71"/>
  <c r="P21" i="43" s="1"/>
  <c r="N61" i="9" l="1"/>
  <c r="N60"/>
  <c r="P22" i="43"/>
  <c r="P2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<sst xmlns="http://schemas.openxmlformats.org/spreadsheetml/2006/main" count="8438" uniqueCount="3384">
  <si>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</si>
  <si>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</si>
  <si>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</si>
  <si>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</si>
  <si>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</si>
  <si>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</si>
  <si>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</si>
  <si>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</si>
  <si>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</si>
  <si>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</si>
  <si>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</si>
  <si>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</si>
  <si>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</si>
  <si>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</si>
  <si>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</si>
  <si>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</si>
  <si>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</si>
  <si>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</si>
  <si>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</si>
  <si>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</si>
  <si>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</si>
  <si>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</si>
  <si>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</si>
  <si>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</si>
  <si>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</si>
  <si>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</si>
  <si>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</si>
  <si>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</si>
  <si>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</si>
  <si>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</si>
  <si>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</si>
  <si>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</si>
  <si>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</si>
  <si>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</si>
  <si>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</si>
  <si>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</si>
  <si>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</si>
  <si>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</si>
  <si>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</si>
  <si>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</si>
  <si>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</si>
  <si>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</si>
  <si>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</si>
  <si>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</si>
  <si>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</si>
  <si>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</si>
  <si>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</si>
  <si>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</si>
  <si>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</si>
  <si>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</si>
  <si>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</si>
  <si>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</si>
  <si>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</si>
  <si>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</si>
  <si>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</si>
  <si>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</si>
  <si>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</si>
  <si>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</si>
  <si>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</si>
  <si>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</si>
  <si>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</si>
  <si>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</si>
  <si>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</si>
  <si>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</si>
  <si>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</si>
  <si>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</si>
  <si>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</si>
  <si>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</si>
  <si>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</si>
  <si>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</si>
  <si>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</si>
  <si>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</si>
  <si>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</si>
  <si>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</si>
  <si>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</si>
  <si>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</si>
  <si>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</si>
  <si>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</si>
  <si>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</si>
  <si>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</si>
  <si>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</si>
  <si>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</si>
  <si>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</si>
  <si>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</si>
  <si>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</si>
  <si>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</si>
  <si>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</si>
  <si>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</si>
  <si>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</si>
  <si>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</si>
  <si>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</si>
  <si>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</si>
  <si>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</si>
  <si>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</si>
  <si>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</si>
  <si>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</si>
  <si>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</si>
  <si>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</si>
  <si>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</si>
  <si>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</si>
  <si>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</si>
  <si>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</si>
  <si>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</si>
  <si>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</si>
  <si>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</si>
  <si>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</si>
  <si>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</si>
  <si>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</si>
  <si>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</si>
  <si>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</si>
  <si>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</si>
  <si>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</si>
  <si>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</si>
  <si>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</si>
  <si>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</si>
  <si>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</si>
  <si>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</si>
  <si>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</si>
  <si>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</si>
  <si>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</si>
  <si>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</si>
  <si>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</si>
  <si>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</si>
  <si>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</si>
  <si>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</si>
  <si>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</si>
  <si>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</si>
  <si>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</si>
  <si>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</si>
  <si>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</si>
  <si>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</si>
  <si>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</si>
  <si>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</si>
  <si>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</si>
  <si>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</si>
  <si>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</si>
  <si>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</si>
  <si>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</si>
  <si>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</si>
  <si>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</si>
  <si>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</si>
  <si>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</si>
  <si>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</si>
  <si>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</si>
  <si>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</si>
  <si>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</si>
  <si>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</si>
  <si>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</si>
  <si>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</si>
  <si>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</si>
  <si>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</si>
  <si>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</si>
  <si>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</si>
  <si>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</si>
  <si>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</si>
  <si>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</si>
  <si>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</si>
  <si>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</si>
  <si>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</si>
  <si>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</si>
  <si>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</si>
  <si>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</si>
  <si>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</si>
  <si>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</si>
  <si>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</si>
  <si>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</si>
  <si>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</si>
  <si>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</si>
  <si>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</si>
  <si>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</si>
  <si>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</si>
  <si>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</si>
  <si>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</si>
  <si>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</si>
  <si>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</si>
  <si>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</si>
  <si>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</si>
  <si>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</si>
  <si>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</si>
  <si>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</si>
  <si>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</si>
  <si>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</si>
  <si>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</si>
  <si>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</si>
  <si>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</si>
  <si>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</si>
  <si>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</si>
  <si>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</si>
  <si>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</si>
  <si>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</si>
  <si>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</si>
  <si>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</si>
  <si>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</si>
  <si>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</si>
  <si>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</si>
  <si>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</si>
  <si>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</si>
  <si>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</si>
  <si>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</si>
  <si>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</si>
  <si>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</si>
  <si>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</si>
  <si>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</si>
  <si>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</si>
  <si>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</si>
  <si>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</si>
  <si>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</si>
  <si>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</si>
  <si>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</si>
  <si>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</si>
  <si>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</si>
  <si>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</si>
  <si>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</si>
  <si>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</si>
  <si>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</si>
  <si>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</si>
  <si>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</si>
  <si>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</si>
  <si>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</si>
  <si>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</si>
  <si>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</si>
  <si>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</si>
  <si>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</si>
  <si>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</si>
  <si>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</si>
  <si>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</si>
  <si>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</si>
  <si>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</si>
  <si>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</si>
  <si>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</si>
  <si>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</si>
  <si>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</si>
  <si>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</si>
  <si>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</si>
  <si>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</si>
  <si>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</si>
  <si>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</si>
  <si>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</si>
  <si>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</si>
  <si>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</si>
  <si>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</si>
  <si>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</si>
  <si>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</si>
  <si>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</si>
  <si>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</si>
  <si>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</si>
  <si>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</si>
  <si>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</si>
  <si>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</si>
  <si>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</si>
  <si>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</si>
  <si>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</si>
  <si>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</si>
  <si>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</si>
  <si>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</si>
  <si>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</si>
  <si>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</si>
  <si>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</si>
  <si>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</si>
  <si>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</si>
  <si>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</si>
  <si>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</si>
  <si>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</si>
  <si>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</si>
  <si>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</si>
  <si>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</si>
  <si>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</si>
  <si>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</si>
  <si>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</si>
  <si>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</si>
  <si>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</si>
  <si>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</si>
  <si>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</si>
  <si>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</si>
  <si>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</si>
  <si>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</si>
  <si>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</si>
  <si>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</si>
  <si>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</si>
  <si>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</si>
  <si>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</si>
  <si>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</si>
  <si>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</si>
  <si>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</si>
  <si>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</si>
  <si>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</si>
  <si>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</si>
  <si>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</si>
  <si>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</si>
  <si>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</si>
  <si>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</si>
  <si>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</si>
  <si>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</si>
  <si>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</si>
  <si>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</si>
  <si>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</si>
  <si>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</si>
  <si>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</si>
  <si>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</si>
  <si>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</si>
  <si>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</si>
  <si>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</si>
  <si>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</si>
  <si>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</si>
  <si>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</si>
  <si>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</si>
  <si>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</si>
  <si>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</si>
  <si>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</si>
  <si>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</si>
  <si>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</si>
  <si>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</si>
  <si>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</si>
  <si>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</si>
  <si>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</si>
  <si>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</si>
  <si>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</si>
  <si>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</si>
  <si>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</si>
  <si>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</si>
  <si>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</si>
  <si>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</si>
  <si>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</si>
  <si>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</si>
  <si>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</si>
  <si>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</si>
  <si>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</si>
  <si>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</si>
  <si>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</si>
  <si>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</si>
  <si>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</si>
  <si>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</si>
  <si>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</si>
  <si>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</si>
  <si>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</si>
  <si>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</si>
  <si>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</si>
  <si>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</si>
  <si>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</si>
  <si>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</si>
  <si>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</si>
  <si>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</si>
  <si>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</si>
  <si>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</si>
  <si>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</si>
  <si>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</si>
  <si>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</si>
  <si>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</si>
  <si>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</si>
  <si>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</si>
  <si>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</si>
  <si>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</si>
  <si>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</si>
  <si>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</si>
  <si>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</si>
  <si>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</si>
  <si>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</si>
  <si>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</si>
  <si>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</si>
  <si>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</si>
  <si>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</si>
  <si>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</si>
  <si>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</si>
  <si>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</si>
  <si>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</si>
  <si>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</si>
  <si>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</si>
  <si>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</si>
  <si>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</si>
  <si>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</si>
  <si>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</si>
  <si>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</si>
  <si>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</si>
  <si>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</si>
  <si>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</si>
  <si>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</si>
  <si>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</si>
  <si>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</si>
  <si>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</si>
  <si>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</si>
  <si>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</si>
  <si>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</si>
  <si>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</si>
  <si>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</si>
  <si>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</si>
  <si>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</si>
  <si>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</si>
  <si>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</si>
  <si>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</si>
  <si>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</si>
  <si>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</si>
  <si>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</si>
  <si>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</si>
  <si>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</si>
  <si>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</si>
  <si>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</si>
  <si>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</si>
  <si>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</si>
  <si>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</si>
  <si>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</si>
  <si>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</si>
  <si>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</si>
  <si>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</si>
  <si>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</si>
  <si>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</si>
  <si>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</si>
  <si>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</si>
  <si>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</si>
  <si>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</si>
  <si>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</si>
  <si>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</si>
  <si>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</si>
  <si>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</si>
  <si>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</si>
  <si>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</si>
  <si>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</si>
  <si>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</si>
  <si>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</si>
  <si>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</si>
  <si>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</si>
  <si>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</si>
  <si>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</si>
  <si>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</si>
  <si>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</si>
  <si>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</si>
  <si>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</si>
  <si>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</si>
  <si>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</si>
  <si>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</si>
  <si>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</si>
  <si>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</si>
  <si>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</si>
  <si>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</si>
  <si>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</si>
  <si>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</si>
  <si>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</si>
  <si>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</si>
  <si>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</si>
  <si>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</si>
  <si>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</si>
  <si>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</si>
  <si>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</si>
  <si>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</si>
  <si>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</si>
  <si>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</si>
  <si>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</si>
  <si>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</si>
  <si>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</si>
  <si>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</si>
  <si>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</si>
  <si>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</si>
  <si>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</si>
  <si>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</si>
  <si>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</si>
  <si>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</si>
  <si>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</si>
  <si>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</si>
  <si>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</si>
  <si>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</si>
  <si>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</si>
  <si>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</si>
  <si>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</si>
  <si>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</si>
  <si>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</si>
  <si>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</si>
  <si>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</si>
  <si>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</si>
  <si>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</si>
  <si>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</si>
  <si>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</si>
  <si>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</si>
  <si>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</si>
  <si>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</si>
  <si>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</si>
  <si>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</si>
  <si>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</si>
  <si>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</si>
  <si>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</si>
  <si>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</si>
  <si>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</si>
  <si>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</si>
  <si>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</si>
  <si>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</si>
  <si>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</si>
  <si>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</si>
  <si>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</si>
  <si>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</si>
  <si>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</si>
  <si>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</si>
  <si>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</si>
  <si>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</si>
  <si>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</si>
  <si>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</si>
  <si>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</si>
  <si>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</si>
  <si>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</si>
  <si>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</si>
  <si>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</si>
  <si>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</si>
  <si>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</si>
  <si>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</si>
  <si>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</si>
  <si>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</si>
  <si>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</si>
  <si>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</si>
  <si>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</si>
  <si>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</si>
  <si>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</si>
  <si>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</si>
  <si>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</si>
  <si>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</si>
  <si>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</si>
  <si>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</si>
  <si>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</si>
  <si>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</si>
  <si>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</si>
  <si>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</si>
  <si>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</si>
  <si>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</si>
  <si>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</si>
  <si>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</si>
  <si>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</si>
  <si>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</si>
  <si>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</si>
  <si>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</si>
  <si>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</si>
  <si>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</si>
  <si>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</si>
  <si>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</si>
  <si>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</si>
  <si>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</si>
  <si>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</si>
  <si>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</si>
  <si>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</si>
  <si>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</si>
  <si>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</si>
  <si>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</si>
  <si>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</si>
  <si>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</si>
  <si>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</si>
  <si>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</si>
  <si>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</si>
  <si>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</si>
  <si>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</si>
  <si>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</si>
  <si>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</si>
  <si>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</si>
  <si>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</si>
  <si>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</si>
  <si>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</si>
  <si>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</si>
  <si>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</si>
  <si>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</si>
  <si>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</si>
  <si>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</si>
  <si>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</si>
  <si>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</si>
  <si>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</si>
  <si>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</si>
  <si>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</si>
  <si>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</si>
  <si>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</si>
  <si>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</si>
  <si>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</si>
  <si>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</si>
  <si>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</si>
  <si>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</si>
  <si>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</si>
  <si>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</si>
  <si>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</si>
  <si>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</si>
  <si>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</si>
  <si>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</si>
  <si>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</si>
  <si>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</si>
  <si>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</si>
  <si>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</si>
  <si>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</si>
  <si>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</si>
  <si>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</si>
  <si>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</si>
  <si>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</si>
  <si>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</si>
  <si>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</si>
  <si>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</si>
  <si>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</si>
  <si>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</si>
  <si>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</si>
  <si>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</si>
  <si>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</si>
  <si>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</si>
  <si>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</si>
  <si>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</si>
  <si>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</si>
  <si>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</si>
  <si>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</si>
  <si>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</si>
  <si>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</si>
  <si>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</si>
  <si>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</si>
  <si>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</si>
  <si>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</si>
  <si>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</si>
  <si>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</si>
  <si>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</si>
  <si>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</si>
  <si>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</si>
  <si>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</si>
  <si>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</si>
  <si>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</si>
  <si>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</si>
  <si>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</si>
  <si>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</si>
  <si>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</si>
  <si>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</si>
  <si>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</si>
  <si>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</si>
  <si>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</si>
  <si>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</si>
  <si>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</si>
  <si>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</si>
  <si>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</si>
  <si>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</si>
  <si>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</si>
  <si>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</si>
  <si>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</si>
  <si>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</si>
  <si>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</si>
  <si>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</si>
  <si>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</si>
  <si>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</si>
  <si>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</si>
  <si>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</si>
  <si>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</si>
  <si>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</si>
  <si>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</si>
  <si>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</si>
  <si>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</si>
  <si>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</si>
  <si>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</si>
  <si>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</si>
  <si>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</si>
  <si>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</si>
  <si>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</si>
  <si>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</si>
  <si>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</si>
  <si>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</si>
  <si>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</si>
  <si>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</si>
  <si>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</si>
  <si>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</si>
  <si>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</si>
  <si>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</si>
  <si>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</si>
  <si>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</si>
  <si>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</si>
  <si>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</si>
  <si>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</si>
  <si>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</si>
  <si>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</si>
  <si>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</si>
  <si>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</si>
  <si>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</si>
  <si>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</si>
  <si>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</si>
  <si>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</si>
  <si>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</si>
  <si>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</si>
  <si>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</si>
  <si>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</si>
  <si>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</si>
  <si>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</si>
  <si>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</si>
  <si>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</si>
  <si>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</si>
  <si>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</si>
  <si>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</si>
  <si>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</si>
  <si>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</si>
  <si>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</si>
  <si>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</si>
  <si>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</si>
  <si>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</si>
  <si>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</si>
  <si>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</si>
  <si>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</si>
  <si>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</si>
  <si>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</si>
  <si>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</si>
  <si>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</si>
  <si>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</si>
  <si>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</si>
  <si>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</si>
  <si>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</si>
  <si>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</si>
  <si>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</si>
  <si>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</si>
  <si>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</si>
  <si>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</si>
  <si>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</si>
  <si>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</si>
  <si>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</si>
  <si>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</si>
  <si>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</si>
  <si>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</si>
  <si>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</si>
  <si>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</si>
  <si>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</si>
  <si>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</si>
  <si>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</si>
  <si>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</si>
  <si>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</si>
  <si>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</si>
  <si>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</si>
  <si>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</si>
  <si>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</si>
  <si>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</si>
  <si>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</si>
  <si>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</si>
  <si>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</si>
  <si>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</si>
  <si>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</si>
  <si>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</si>
  <si>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</si>
  <si>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</si>
  <si>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</si>
  <si>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</si>
  <si>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</si>
  <si>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</si>
  <si>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</si>
  <si>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</si>
  <si>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</si>
  <si>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</si>
  <si>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</si>
  <si>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</si>
  <si>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</si>
  <si>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</si>
  <si>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</si>
  <si>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</si>
  <si>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</si>
  <si>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</si>
  <si>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</si>
  <si>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</si>
  <si>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</si>
  <si>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</si>
  <si>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</si>
  <si>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</si>
  <si>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</si>
  <si>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</si>
  <si>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</si>
  <si>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</si>
  <si>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</si>
  <si>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</si>
  <si>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</si>
  <si>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</si>
  <si>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</si>
  <si>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</si>
  <si>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</si>
  <si>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</si>
  <si>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</si>
  <si>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</si>
  <si>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</si>
  <si>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</si>
  <si>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</si>
  <si>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</si>
  <si>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</si>
  <si>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</si>
  <si>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</si>
  <si>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</si>
  <si>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</si>
  <si>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</si>
  <si>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</si>
  <si>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</si>
  <si>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</si>
  <si>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</si>
  <si>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</si>
  <si>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</si>
  <si>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</si>
  <si>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</si>
  <si>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</si>
  <si>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</si>
  <si>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</si>
  <si>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</si>
  <si>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</si>
  <si>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</si>
  <si>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</si>
  <si>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</si>
  <si>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</si>
  <si>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</si>
  <si>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</si>
  <si>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</si>
  <si>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</si>
  <si>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</si>
  <si>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</si>
  <si>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</si>
  <si>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</si>
  <si>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</si>
  <si>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</si>
  <si>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</si>
  <si>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</si>
  <si>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</si>
  <si>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</si>
  <si>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</si>
  <si>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</si>
  <si>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</si>
  <si>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</si>
  <si>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</si>
  <si>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</si>
  <si>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</si>
  <si>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</si>
  <si>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</si>
  <si>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</si>
  <si>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</si>
  <si>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</si>
  <si>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</si>
  <si>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</si>
  <si>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</si>
  <si>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</si>
  <si>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</si>
  <si>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</si>
  <si>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</si>
  <si>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</si>
  <si>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</si>
  <si>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</si>
  <si>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</si>
  <si>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</si>
  <si>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</si>
  <si>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</si>
  <si>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</si>
  <si>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</si>
  <si>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</si>
  <si>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</si>
  <si>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</si>
  <si>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</si>
  <si>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</si>
  <si>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</si>
  <si>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</si>
  <si>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</si>
  <si>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</si>
  <si>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</si>
  <si>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</si>
  <si>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</si>
  <si>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</si>
  <si>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</si>
  <si>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</si>
  <si>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</si>
  <si>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</si>
  <si>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</si>
  <si>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</si>
  <si>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</si>
  <si>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</si>
  <si>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</si>
  <si>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</si>
  <si>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</si>
  <si>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</si>
  <si>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</si>
  <si>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</si>
  <si>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</si>
  <si>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</si>
  <si>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</si>
  <si>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</si>
  <si>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</si>
  <si>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</si>
  <si>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</si>
  <si>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</si>
  <si>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</si>
  <si>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</si>
  <si>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</si>
  <si>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</si>
  <si>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</si>
  <si>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</si>
  <si>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</si>
  <si>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</si>
  <si>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</si>
  <si>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</si>
  <si>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</si>
  <si>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</si>
  <si>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</si>
  <si>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</si>
  <si>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</si>
  <si>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</si>
  <si>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</si>
  <si>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</si>
  <si>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</si>
  <si>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</si>
  <si>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</si>
  <si>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</si>
  <si>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</si>
  <si>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</si>
  <si>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</si>
  <si>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</si>
  <si>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</si>
  <si>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</si>
  <si>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</si>
  <si>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</si>
  <si>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</si>
  <si>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</si>
  <si>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</si>
  <si>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</si>
  <si>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</si>
  <si>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</si>
  <si>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</si>
  <si>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</si>
  <si>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</si>
  <si>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</si>
  <si>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</si>
  <si>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</si>
  <si>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</si>
  <si>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</si>
  <si>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</si>
  <si>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</si>
  <si>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</si>
  <si>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</si>
  <si>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</si>
  <si>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</si>
  <si>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</si>
  <si>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</si>
  <si>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</si>
  <si>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</si>
  <si>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</si>
  <si>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</si>
  <si>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</si>
  <si>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</si>
  <si>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</si>
  <si>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</si>
  <si>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</si>
  <si>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</si>
  <si>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</si>
  <si>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</si>
  <si>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</si>
  <si>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</si>
  <si>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</si>
  <si>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</si>
  <si>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</si>
  <si>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</si>
  <si>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</si>
  <si>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</si>
  <si>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</si>
  <si>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</si>
  <si>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</si>
  <si>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</si>
  <si>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</si>
  <si>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</si>
  <si>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</si>
  <si>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</si>
  <si>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</si>
  <si>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</si>
  <si>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</si>
  <si>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</si>
  <si>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</si>
  <si>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</si>
  <si>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</si>
  <si>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</si>
  <si>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</si>
  <si>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</si>
  <si>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</si>
  <si>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</si>
  <si>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</si>
  <si>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</si>
  <si>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</si>
  <si>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</si>
  <si>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</si>
  <si>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</si>
  <si>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</si>
  <si>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</si>
  <si>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</si>
  <si>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</si>
  <si>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</si>
  <si>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</si>
  <si>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</si>
  <si>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</si>
  <si>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</si>
  <si>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</si>
  <si>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</si>
  <si>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</si>
  <si>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</si>
  <si>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</si>
  <si>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</si>
  <si>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</si>
  <si>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</si>
  <si>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</si>
  <si>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</si>
  <si>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</si>
  <si>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</si>
  <si>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</si>
  <si>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</si>
  <si>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</si>
  <si>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</si>
  <si>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</si>
  <si>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</si>
  <si>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</si>
  <si>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</si>
  <si>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</si>
  <si>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</si>
  <si>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</si>
  <si>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</si>
  <si>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</si>
  <si>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</si>
  <si>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</si>
  <si>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</si>
  <si>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</si>
  <si>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</si>
  <si>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</si>
  <si>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</si>
  <si>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</si>
  <si>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</si>
  <si>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</si>
  <si>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</si>
  <si>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</si>
  <si>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</si>
  <si>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</si>
  <si>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</si>
  <si>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</si>
  <si>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</si>
  <si>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</si>
  <si>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</si>
  <si>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</si>
  <si>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</si>
  <si>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</si>
  <si>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</si>
  <si>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</si>
  <si>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</si>
  <si>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</si>
  <si>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</si>
  <si>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</si>
  <si>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</si>
  <si>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</si>
  <si>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</si>
  <si>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</si>
  <si>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</si>
  <si>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</si>
  <si>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</si>
  <si>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</si>
  <si>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</si>
  <si>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</si>
  <si>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</si>
  <si>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</si>
  <si>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</si>
  <si>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</si>
  <si>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</si>
  <si>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</si>
  <si>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</si>
  <si>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</si>
  <si>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</si>
  <si>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</si>
  <si>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</si>
  <si>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</si>
  <si>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</si>
  <si>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</si>
  <si>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</si>
  <si>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</si>
  <si>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</si>
  <si>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</si>
  <si>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</si>
  <si>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</si>
  <si>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</si>
  <si>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</si>
  <si>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</si>
  <si>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</si>
  <si>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</si>
  <si>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</si>
  <si>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</si>
  <si>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</si>
  <si>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</si>
  <si>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</si>
  <si>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</si>
  <si>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</si>
  <si>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</si>
  <si>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</si>
  <si>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</si>
  <si>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</si>
  <si>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</si>
  <si>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</si>
  <si>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</si>
  <si>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</si>
  <si>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</si>
  <si>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</si>
  <si>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</si>
  <si>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</si>
  <si>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</si>
  <si>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</si>
  <si>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</si>
  <si>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</si>
  <si>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</si>
  <si>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</si>
  <si>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</si>
  <si>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</si>
  <si>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</si>
  <si>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</si>
  <si>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</si>
  <si>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</si>
  <si>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</si>
  <si>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</si>
  <si>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</si>
  <si>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</si>
  <si>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</si>
  <si>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</si>
  <si>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</si>
  <si>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</si>
  <si>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</si>
  <si>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</si>
  <si>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</si>
  <si>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</si>
  <si>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</si>
  <si>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</si>
  <si>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</si>
  <si>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</si>
  <si>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</si>
  <si>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</si>
  <si>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</si>
  <si>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</si>
  <si>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</si>
  <si>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</si>
  <si>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</si>
  <si>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</si>
  <si>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</si>
  <si>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</si>
  <si>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</si>
  <si>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</si>
  <si>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</si>
  <si>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</si>
  <si>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</si>
  <si>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</si>
  <si>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</si>
  <si>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</si>
  <si>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</si>
  <si>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</si>
  <si>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</si>
  <si>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</si>
  <si>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</si>
  <si>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</si>
  <si>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</si>
  <si>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</si>
  <si>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</si>
  <si>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</si>
  <si>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</si>
  <si>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</si>
  <si>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</si>
  <si>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</si>
  <si>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</si>
  <si>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</si>
  <si>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</si>
  <si>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</si>
  <si>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</si>
  <si>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</si>
  <si>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</si>
  <si>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</si>
  <si>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</si>
  <si>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</si>
  <si>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</si>
  <si>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</si>
  <si>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</si>
  <si>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</si>
  <si>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</si>
  <si>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</si>
  <si>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</si>
  <si>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</si>
  <si>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</si>
  <si>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</si>
  <si>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</si>
  <si>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</si>
  <si>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</si>
  <si>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</si>
  <si>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</si>
  <si>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</si>
  <si>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</si>
  <si>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</si>
  <si>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</si>
  <si>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</si>
  <si>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</si>
  <si>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</si>
  <si>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</si>
  <si>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</si>
  <si>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</si>
  <si>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</si>
  <si>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</si>
  <si>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</si>
  <si>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</si>
  <si>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</si>
  <si>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</si>
  <si>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</si>
  <si>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</si>
  <si>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</si>
  <si>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</si>
  <si>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</si>
  <si>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</si>
  <si>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</si>
  <si>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</si>
  <si>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</si>
  <si>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</si>
  <si>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</si>
  <si>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</si>
  <si>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</si>
  <si>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</si>
  <si>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</si>
  <si>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</si>
  <si>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</si>
  <si>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</si>
  <si>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</si>
  <si>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</si>
  <si>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</si>
  <si>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</si>
  <si>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</si>
  <si>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</si>
  <si>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</si>
  <si>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</si>
  <si>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</si>
  <si>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</si>
  <si>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</si>
  <si>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</si>
  <si>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</si>
  <si>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</si>
  <si>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</si>
  <si>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</si>
  <si>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</si>
  <si>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</si>
  <si>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</si>
  <si>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</si>
  <si>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</si>
  <si>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</si>
  <si>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</si>
  <si>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</si>
  <si>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</si>
  <si>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</si>
  <si>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</si>
  <si>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</si>
  <si>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</si>
  <si>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</si>
  <si>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</si>
  <si>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</si>
  <si>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</si>
  <si>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</si>
  <si>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</si>
  <si>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</si>
  <si>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</si>
  <si>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</si>
  <si>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</si>
  <si>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</si>
  <si>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</si>
  <si>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</si>
  <si>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</si>
  <si>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</si>
  <si>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</si>
  <si>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</si>
  <si>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</si>
  <si>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</si>
  <si>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</si>
  <si>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</si>
  <si>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</si>
  <si>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</si>
  <si>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</si>
  <si>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</si>
  <si>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</si>
  <si>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</si>
  <si>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</si>
  <si>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</si>
  <si>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</si>
  <si>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</si>
  <si>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</si>
  <si>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</si>
  <si>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</si>
  <si>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</si>
  <si>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</si>
  <si>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</si>
  <si>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</si>
  <si>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</si>
  <si>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</si>
  <si>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</si>
  <si>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</si>
  <si>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</si>
  <si>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</si>
  <si>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</si>
  <si>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</si>
  <si>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</si>
  <si>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</si>
  <si>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</si>
  <si>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</si>
  <si>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</si>
  <si>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</si>
  <si>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</si>
  <si>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</si>
  <si>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</si>
  <si>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</si>
  <si>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</si>
  <si>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</si>
  <si>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</si>
  <si>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</si>
  <si>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</si>
  <si>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</si>
  <si>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</si>
  <si>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</si>
  <si>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</si>
  <si>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</si>
  <si>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</si>
  <si>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</si>
  <si>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</si>
  <si>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</si>
  <si>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</si>
  <si>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</si>
  <si>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</si>
  <si>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</si>
  <si>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</si>
  <si>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</si>
  <si>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</si>
  <si>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</si>
  <si>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</si>
  <si>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</si>
  <si>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</si>
  <si>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</si>
  <si>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</si>
  <si>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</si>
  <si>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</si>
  <si>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</si>
  <si>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</si>
  <si>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</si>
  <si>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</si>
  <si>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</si>
  <si>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</si>
  <si>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</si>
  <si>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</si>
  <si>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</si>
  <si>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</si>
  <si>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</si>
  <si>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</si>
  <si>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</si>
  <si>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</si>
  <si>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</si>
  <si>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</si>
  <si>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</si>
  <si>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</si>
  <si>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</si>
  <si>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</si>
  <si>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</si>
  <si>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</si>
  <si>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</si>
  <si>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</si>
  <si>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</si>
  <si>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</si>
  <si>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</si>
  <si>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</si>
  <si>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</si>
  <si>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</si>
  <si>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</si>
  <si>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</si>
  <si>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</si>
  <si>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</si>
  <si>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</si>
  <si>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</si>
  <si>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</si>
  <si>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</si>
  <si>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</si>
  <si>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</si>
  <si>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</si>
  <si>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</si>
  <si>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</si>
  <si>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</si>
  <si>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</si>
  <si>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</si>
  <si>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</si>
  <si>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</si>
  <si>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</si>
  <si>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</si>
  <si>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</si>
  <si>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</si>
  <si>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</si>
  <si>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</si>
  <si>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</si>
  <si>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</si>
  <si>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</si>
  <si>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</si>
  <si>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</si>
  <si>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</si>
  <si>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</si>
  <si>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</si>
  <si>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</si>
  <si>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</si>
  <si>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</si>
  <si>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</si>
  <si>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</si>
  <si>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</si>
  <si>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</si>
  <si>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</si>
  <si>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</si>
  <si>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</si>
  <si>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</si>
  <si>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</si>
  <si>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</si>
  <si>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</si>
  <si>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</si>
  <si>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</si>
  <si>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</si>
  <si>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</si>
  <si>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</si>
  <si>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</si>
  <si>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</si>
  <si>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</si>
  <si>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</si>
  <si>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</si>
  <si>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</si>
  <si>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</si>
  <si>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</si>
  <si>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</si>
  <si>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</si>
  <si>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</si>
  <si>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</si>
  <si>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</si>
  <si>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</si>
  <si>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</si>
  <si>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</si>
  <si>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</si>
  <si>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</si>
  <si>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</si>
  <si>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</si>
  <si>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</si>
  <si>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</si>
  <si>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</si>
  <si>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</si>
  <si>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</si>
  <si>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</si>
  <si>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</si>
  <si>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</si>
  <si>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</si>
  <si>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</si>
  <si>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</si>
  <si>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</si>
  <si>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</si>
  <si>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</si>
  <si>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</si>
  <si>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</si>
  <si>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</si>
  <si>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</si>
  <si>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</si>
  <si>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</si>
  <si>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</si>
  <si>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</si>
  <si>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</si>
  <si>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</si>
  <si>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</si>
  <si>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</si>
  <si>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</si>
  <si>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</si>
  <si>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</si>
  <si>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</si>
  <si>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</si>
  <si>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</si>
  <si>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</si>
  <si>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</si>
  <si>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</si>
  <si>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</si>
  <si>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</si>
  <si>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</si>
  <si>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</si>
  <si>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</si>
  <si>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</si>
  <si>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</si>
  <si>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</si>
  <si>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</si>
  <si>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</si>
  <si>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</si>
  <si>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</si>
  <si>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</si>
  <si>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</si>
  <si>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</si>
  <si>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</si>
  <si>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</si>
  <si>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</si>
  <si>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</si>
  <si>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</si>
  <si>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</si>
  <si>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</si>
  <si>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</si>
  <si>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</si>
  <si>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</si>
  <si>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</si>
  <si>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</si>
  <si>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</si>
  <si>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</si>
  <si>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</si>
  <si>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</si>
  <si>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</si>
  <si>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</si>
  <si>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</si>
  <si>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</si>
  <si>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</si>
  <si>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</si>
  <si>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</si>
  <si>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</si>
  <si>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</si>
  <si>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</si>
  <si>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</si>
  <si>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</si>
  <si>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</si>
  <si>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</si>
  <si>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</si>
  <si>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</si>
  <si>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</si>
  <si>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</si>
  <si>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</si>
  <si>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</si>
  <si>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</si>
  <si>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</si>
  <si>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</si>
  <si>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</si>
  <si>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</si>
  <si>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</si>
  <si>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</si>
  <si>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</si>
  <si>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</si>
  <si>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</si>
  <si>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</si>
  <si>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</si>
  <si>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</si>
  <si>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</si>
  <si>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</si>
  <si>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</si>
  <si>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</si>
  <si>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</si>
  <si>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</si>
  <si>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</si>
  <si>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</si>
  <si>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</si>
  <si>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</si>
  <si>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</si>
  <si>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</si>
  <si>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</si>
  <si>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</si>
  <si>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</si>
  <si>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</si>
  <si>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</si>
  <si>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</si>
  <si>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</si>
  <si>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</si>
  <si>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</si>
  <si>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</si>
  <si>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</si>
  <si>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</si>
  <si>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</si>
  <si>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</si>
  <si>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</si>
  <si>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</si>
  <si>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</si>
  <si>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</si>
  <si>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</si>
  <si>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</si>
  <si>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</si>
  <si>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</si>
  <si>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</si>
  <si>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</si>
  <si>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</si>
  <si>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</si>
  <si>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</si>
  <si>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</si>
  <si>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</si>
  <si>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</si>
  <si>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</si>
  <si>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</si>
  <si>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</si>
  <si>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</si>
  <si>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</si>
  <si>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</si>
  <si>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</si>
  <si>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</si>
  <si>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</si>
  <si>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</si>
  <si>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</si>
  <si>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</si>
  <si>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</si>
  <si>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</si>
  <si>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</si>
  <si>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</si>
  <si>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</si>
  <si>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</si>
  <si>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</si>
  <si>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</si>
  <si>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</si>
  <si>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</si>
  <si>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</si>
  <si>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</si>
  <si>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</si>
  <si>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</si>
  <si>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</si>
  <si>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</si>
  <si>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</si>
  <si>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</si>
  <si>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</si>
  <si>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</si>
  <si>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</si>
  <si>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</si>
  <si>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</si>
  <si>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</si>
  <si>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</si>
  <si>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</si>
  <si>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</si>
  <si>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</si>
  <si>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</si>
  <si>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</si>
  <si>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</si>
  <si>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</si>
  <si>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</si>
  <si>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</si>
  <si>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</si>
  <si>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</si>
  <si>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</si>
  <si>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</si>
  <si>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</si>
  <si>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</si>
  <si>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</si>
  <si>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</si>
  <si>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</si>
  <si>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</si>
  <si>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</si>
  <si>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</si>
  <si>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</si>
  <si>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</si>
  <si>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</si>
  <si>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</si>
  <si>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</si>
  <si>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</si>
  <si>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</si>
  <si>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</si>
  <si>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</si>
  <si>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</si>
  <si>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</si>
  <si>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</si>
  <si>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</si>
  <si>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</si>
  <si>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</si>
  <si>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</si>
  <si>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</si>
  <si>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</si>
  <si>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</si>
  <si>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</si>
  <si>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</si>
  <si>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</si>
  <si>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</si>
  <si>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</si>
  <si>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</si>
  <si>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</si>
  <si>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</si>
  <si>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</si>
  <si>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</si>
  <si>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</si>
  <si>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</si>
  <si>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</si>
  <si>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</si>
  <si>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</si>
  <si>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</si>
  <si>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</si>
  <si>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</si>
  <si>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</si>
  <si>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</si>
  <si>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</si>
  <si>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</si>
  <si>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</si>
  <si>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</si>
  <si>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</si>
  <si>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</si>
  <si>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</si>
  <si>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</si>
  <si>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</si>
  <si>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</si>
  <si>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</si>
  <si>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</si>
  <si>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</si>
  <si>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</si>
  <si>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</si>
  <si>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</si>
  <si>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</si>
  <si>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</si>
  <si>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</si>
  <si>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</si>
  <si>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</si>
  <si>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</si>
  <si>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</si>
  <si>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</si>
  <si>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</si>
  <si>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</si>
  <si>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</si>
  <si>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</si>
  <si>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</si>
  <si>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</si>
  <si>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</si>
  <si>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</si>
  <si>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</si>
  <si>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</si>
  <si>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</si>
  <si>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</si>
  <si>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</si>
  <si>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</si>
  <si>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</si>
  <si>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</si>
  <si>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</si>
  <si>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</si>
  <si>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</si>
  <si>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</si>
  <si>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</si>
  <si>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</si>
  <si>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</si>
  <si>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</si>
  <si>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</si>
  <si>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</si>
  <si>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</si>
  <si>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</si>
  <si>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</si>
  <si>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</si>
  <si>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</si>
  <si>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</si>
  <si>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</si>
  <si>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</si>
  <si>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</si>
  <si>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</si>
  <si>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</si>
  <si>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</si>
  <si>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</si>
  <si>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</si>
  <si>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</si>
  <si>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</si>
  <si>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</si>
  <si>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</si>
  <si>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</si>
  <si>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</si>
  <si>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</si>
  <si>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</si>
  <si>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</si>
  <si>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</si>
  <si>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</si>
  <si>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</si>
  <si>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</si>
  <si>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</si>
  <si>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</si>
  <si>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</si>
  <si>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</si>
  <si>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</si>
  <si>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</si>
  <si>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</si>
  <si>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</si>
  <si>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</si>
  <si>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</si>
  <si>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</si>
  <si>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</si>
  <si>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</si>
  <si>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</si>
  <si>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</si>
  <si>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</si>
  <si>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</si>
  <si>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</si>
  <si>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</si>
  <si>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</si>
  <si>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</si>
  <si>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</si>
  <si>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</si>
  <si>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</si>
  <si>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</si>
  <si>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</si>
  <si>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</si>
  <si>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</si>
  <si>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</si>
  <si>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</si>
  <si>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</si>
  <si>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</si>
  <si>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</si>
  <si>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</si>
  <si>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</si>
  <si>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</si>
  <si>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</si>
  <si>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</si>
  <si>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</si>
  <si>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</si>
  <si>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</si>
  <si>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</si>
  <si>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</si>
  <si>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</si>
  <si>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</si>
  <si>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</si>
  <si>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</si>
  <si>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</si>
  <si>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</si>
  <si>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</si>
  <si>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</si>
  <si>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</si>
  <si>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</si>
  <si>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</si>
  <si>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</si>
  <si>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</si>
  <si>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</si>
  <si>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</si>
  <si>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</si>
  <si>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</si>
  <si>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</si>
  <si>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</si>
  <si>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</si>
  <si>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</si>
  <si>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</si>
  <si>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</si>
  <si>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</si>
  <si>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</si>
  <si>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</si>
  <si>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</si>
  <si>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</si>
  <si>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</si>
  <si>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</si>
  <si>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</si>
  <si>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</si>
  <si>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</si>
  <si>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</si>
  <si>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</si>
  <si>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</si>
  <si>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</si>
  <si>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</si>
  <si>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</si>
  <si>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</si>
  <si>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</si>
  <si>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</si>
  <si>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</si>
  <si>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</si>
  <si>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</si>
  <si>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</si>
  <si>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</si>
  <si>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</si>
  <si>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</si>
  <si>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</si>
  <si>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</si>
  <si>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</si>
  <si>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</si>
  <si>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</si>
  <si>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</si>
  <si>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</si>
  <si>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</si>
  <si>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</si>
  <si>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</si>
  <si>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</si>
  <si>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</si>
  <si>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</si>
  <si>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</si>
  <si>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</si>
  <si>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</si>
  <si>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</si>
  <si>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</si>
  <si>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</si>
  <si>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</si>
  <si>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</si>
  <si>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</si>
  <si>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</si>
  <si>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</si>
  <si>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</si>
  <si>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</si>
  <si>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</si>
  <si>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</si>
  <si>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</si>
  <si>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</si>
  <si>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</si>
  <si>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</si>
  <si>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</si>
  <si>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</si>
  <si>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</si>
  <si>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</si>
  <si>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</si>
  <si>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</si>
  <si>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</si>
  <si>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</si>
  <si>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</si>
  <si>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</si>
  <si>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</si>
  <si>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</si>
  <si>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</si>
  <si>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</si>
  <si>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</si>
  <si>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</si>
  <si>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</si>
  <si>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</si>
  <si>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</si>
  <si>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</si>
  <si>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</si>
  <si>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</si>
  <si>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</si>
  <si>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</si>
  <si>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</si>
  <si>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</si>
  <si>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</si>
  <si>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</si>
  <si>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</si>
  <si>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</si>
  <si>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</si>
  <si>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</si>
  <si>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</si>
  <si>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</si>
  <si>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</si>
  <si>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</si>
  <si>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</si>
  <si>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</si>
  <si>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</si>
  <si>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</si>
  <si>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</si>
  <si>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</si>
  <si>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</si>
  <si>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</si>
  <si>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</si>
  <si>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</si>
  <si>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</si>
  <si>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</si>
  <si>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</si>
  <si>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</si>
  <si>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</si>
  <si>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</si>
  <si>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</si>
  <si>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</si>
  <si>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</si>
  <si>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</si>
  <si>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</si>
  <si>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</si>
  <si>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</si>
  <si>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</si>
  <si>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</si>
  <si>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</si>
  <si>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</si>
  <si>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</si>
  <si>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</si>
  <si>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</si>
  <si>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</si>
  <si>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</si>
  <si>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</si>
  <si>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</si>
  <si>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</si>
  <si>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</si>
  <si>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</si>
  <si>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</si>
  <si>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</si>
  <si>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</si>
  <si>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</si>
  <si>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</si>
  <si>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</si>
  <si>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</si>
  <si>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</si>
  <si>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</si>
  <si>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</si>
  <si>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</si>
  <si>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</si>
  <si>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</si>
  <si>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</si>
  <si>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</si>
  <si>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</si>
  <si>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</si>
  <si>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</si>
  <si>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</si>
  <si>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</si>
  <si>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</si>
  <si>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</si>
  <si>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</si>
  <si>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</si>
  <si>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</si>
  <si>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</si>
  <si>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</si>
  <si>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</si>
  <si>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</si>
  <si>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</si>
  <si>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</si>
  <si>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</si>
  <si>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</si>
  <si>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</si>
  <si>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</si>
  <si>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</si>
  <si>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</si>
  <si>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</si>
  <si>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</si>
  <si>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</si>
  <si>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</si>
  <si>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</si>
  <si>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</si>
  <si>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</si>
  <si>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</si>
  <si>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</si>
  <si>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</si>
  <si>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</si>
  <si>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</si>
  <si>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</si>
  <si>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</si>
  <si>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</si>
  <si>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</si>
  <si>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</si>
  <si>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</si>
  <si>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</si>
  <si>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</si>
  <si>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</si>
  <si>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</si>
  <si>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</si>
  <si>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</si>
  <si>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</si>
  <si>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</si>
  <si>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</si>
  <si>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</si>
  <si>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</si>
  <si>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</si>
  <si>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</si>
  <si>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</si>
  <si>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</si>
  <si>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</si>
  <si>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</si>
  <si>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</si>
  <si>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</si>
  <si>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</si>
  <si>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</si>
  <si>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</si>
  <si>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</si>
  <si>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</si>
  <si>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</si>
  <si>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</si>
  <si>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</si>
  <si>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</si>
  <si>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</si>
  <si>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</si>
  <si>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</si>
  <si>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</si>
  <si>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</si>
  <si>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</si>
  <si>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</si>
  <si>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</si>
  <si>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</si>
  <si>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</si>
  <si>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</si>
  <si>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</si>
  <si>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</si>
  <si>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</si>
  <si>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</si>
  <si>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</si>
  <si>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</si>
  <si>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</si>
  <si>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</si>
  <si>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</si>
  <si>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</si>
  <si>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</si>
  <si>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</si>
  <si>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</si>
  <si>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</si>
  <si>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</si>
  <si>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</si>
  <si>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</si>
  <si>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</si>
  <si>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</si>
  <si>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</si>
  <si>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</si>
  <si>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</si>
  <si>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</si>
  <si>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</si>
  <si>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</si>
  <si>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</si>
  <si>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</si>
  <si>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</si>
  <si>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</si>
  <si>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</si>
  <si>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</si>
  <si>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</si>
  <si>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</si>
  <si>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</si>
  <si>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</si>
  <si>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</si>
  <si>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</si>
  <si>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</si>
  <si>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</si>
  <si>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</si>
  <si>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</si>
  <si>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</si>
  <si>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</si>
  <si>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</si>
  <si>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</si>
  <si>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</si>
  <si>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</si>
  <si>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</si>
  <si>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</si>
  <si>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</si>
  <si>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</si>
  <si>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</si>
  <si>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</si>
  <si>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</si>
  <si>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</si>
  <si>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</si>
  <si>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</si>
  <si>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</si>
  <si>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</si>
  <si>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</si>
  <si>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</si>
  <si>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</si>
  <si>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</si>
  <si>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</si>
  <si>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</si>
  <si>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</si>
  <si>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</si>
  <si>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</si>
  <si>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</si>
  <si>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</si>
  <si>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</si>
  <si>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</si>
  <si>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</si>
  <si>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</si>
  <si>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</si>
  <si>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</si>
  <si>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</si>
  <si>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</si>
  <si>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</si>
  <si>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</si>
  <si>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</si>
  <si>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</si>
  <si>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</si>
  <si>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</si>
  <si>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</si>
  <si>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</si>
  <si>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</si>
  <si>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</si>
  <si>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</si>
  <si>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</si>
  <si>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</si>
  <si>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</si>
  <si>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</si>
  <si>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</si>
  <si>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</si>
  <si>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</si>
  <si>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</si>
  <si>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</si>
  <si>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</si>
  <si>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</si>
  <si>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</si>
  <si>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</si>
  <si>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</si>
  <si>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</si>
  <si>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</si>
  <si>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</si>
  <si>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</si>
  <si>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</si>
  <si>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</si>
  <si>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</si>
  <si>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</si>
  <si>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</si>
  <si>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</si>
  <si>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</si>
  <si>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</si>
  <si>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</si>
  <si>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</si>
  <si>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</si>
  <si>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</si>
  <si>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</si>
  <si>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</si>
  <si>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</si>
  <si>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</si>
  <si>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</si>
  <si>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</si>
  <si>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</si>
  <si>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</si>
  <si>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</si>
  <si>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</si>
  <si>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</si>
  <si>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</si>
  <si>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</si>
  <si>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</si>
  <si>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</si>
  <si>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</si>
  <si>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</si>
  <si>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</si>
  <si>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</si>
  <si>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</si>
  <si>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</si>
  <si>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</si>
  <si>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</si>
  <si>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</si>
  <si>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</si>
  <si>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</si>
  <si>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</si>
  <si>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</si>
  <si>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</si>
  <si>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</si>
  <si>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</si>
  <si>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</si>
  <si>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</si>
  <si>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</si>
  <si>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</si>
  <si>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</si>
  <si>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</si>
  <si>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</si>
  <si>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</si>
  <si>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</si>
  <si>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</si>
  <si>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</si>
  <si>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</si>
  <si>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</si>
  <si>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</si>
  <si>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</si>
  <si>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</si>
  <si>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</si>
  <si>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</si>
  <si>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</si>
  <si>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</si>
  <si>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</si>
  <si>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</si>
  <si>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</si>
  <si>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</si>
  <si>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</si>
  <si>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</si>
  <si>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</si>
  <si>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</si>
  <si>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</si>
  <si>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</si>
  <si>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</si>
  <si>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</si>
  <si>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</si>
  <si>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</si>
  <si>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</si>
  <si>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</si>
  <si>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</si>
  <si>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</si>
  <si>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</si>
  <si>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</si>
  <si>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</si>
  <si>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</si>
  <si>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</si>
  <si>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</si>
  <si>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</si>
  <si>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</si>
  <si>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</si>
  <si>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</si>
  <si>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</si>
  <si>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</si>
  <si>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</si>
  <si>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</si>
  <si>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</si>
  <si>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</si>
  <si>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</si>
  <si>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</si>
  <si>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</si>
  <si>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</si>
  <si>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</si>
  <si>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</si>
  <si>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</si>
  <si>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</si>
  <si>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</si>
  <si>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</si>
  <si>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</si>
  <si>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</si>
  <si>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</si>
  <si>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</si>
  <si>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</si>
  <si>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</si>
  <si>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</si>
  <si>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</si>
  <si>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</si>
  <si>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</si>
  <si>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</si>
  <si>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</si>
  <si>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</si>
  <si>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</si>
  <si>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</si>
  <si>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</si>
  <si>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</si>
  <si>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</si>
  <si>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</si>
  <si>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</si>
  <si>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</si>
  <si>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</si>
  <si>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</si>
  <si>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</si>
  <si>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</si>
  <si>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</si>
  <si>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</si>
  <si>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</si>
  <si>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</si>
  <si>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</si>
  <si>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</si>
  <si>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</si>
  <si>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</si>
  <si>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</si>
  <si>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</si>
  <si>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</si>
  <si>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</si>
  <si>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</si>
  <si>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</si>
  <si>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</si>
  <si>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</si>
  <si>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</si>
  <si>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</si>
  <si>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</si>
  <si>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</si>
  <si>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</si>
  <si>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</si>
  <si>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</si>
  <si>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</si>
  <si>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</si>
  <si>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</si>
  <si>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</si>
  <si>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</si>
  <si>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</si>
  <si>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</si>
  <si>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</si>
  <si>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</si>
  <si>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</si>
  <si>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</si>
  <si>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</si>
  <si>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</si>
  <si>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</si>
  <si>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</si>
  <si>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</si>
  <si>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</si>
  <si>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</si>
  <si>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</si>
  <si>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</si>
  <si>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</si>
  <si>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</si>
  <si>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</si>
  <si>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</si>
  <si>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</si>
  <si>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</si>
  <si>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</si>
  <si>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</si>
  <si>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</si>
  <si>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</si>
  <si>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</si>
  <si>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</si>
  <si>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</si>
  <si>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</si>
  <si>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</si>
  <si>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</si>
  <si>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</si>
  <si>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</si>
  <si>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</si>
  <si>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</si>
  <si>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</si>
  <si>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</si>
  <si>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</si>
  <si>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</si>
  <si>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</si>
  <si>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</si>
  <si>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</si>
  <si>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</si>
  <si>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</si>
  <si>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</si>
  <si>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</si>
  <si>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</si>
  <si>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</si>
  <si>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</si>
  <si>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</si>
  <si>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</si>
  <si>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</si>
  <si>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</si>
  <si>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</si>
  <si>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</si>
  <si>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</si>
  <si>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</si>
  <si>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</si>
  <si>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</si>
  <si>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</si>
  <si>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</si>
  <si>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</si>
  <si>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</si>
  <si>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</si>
  <si>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</si>
  <si>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</si>
  <si>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</si>
  <si>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</si>
  <si>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</si>
  <si>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</si>
  <si>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</si>
  <si>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</si>
  <si>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</si>
  <si>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</si>
  <si>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</si>
  <si>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</si>
  <si>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</si>
  <si>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</si>
  <si>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</si>
  <si>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</si>
  <si>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</si>
  <si>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</si>
  <si>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</si>
  <si>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</si>
  <si>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</si>
  <si>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</si>
  <si>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</si>
  <si>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</si>
  <si>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</si>
  <si>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</si>
  <si>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</si>
  <si>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</si>
  <si>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</si>
  <si>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</si>
  <si>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</si>
  <si>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</si>
  <si>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</si>
  <si>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</si>
  <si>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</si>
  <si>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</si>
  <si>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</si>
  <si>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</si>
  <si>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</si>
  <si>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</si>
  <si>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</si>
  <si>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</si>
  <si>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</si>
  <si>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</si>
  <si>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</si>
  <si>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</si>
  <si>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</si>
  <si>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</si>
  <si>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</si>
  <si>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</si>
  <si>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</si>
  <si>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</si>
  <si>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</si>
  <si>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</si>
  <si>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</si>
  <si>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</si>
  <si>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</si>
  <si>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</si>
  <si>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</si>
  <si>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</si>
  <si>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</si>
  <si>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</si>
  <si>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</si>
  <si>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</si>
  <si>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</si>
  <si>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</si>
  <si>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</si>
  <si>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</si>
  <si>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</si>
  <si>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</si>
  <si>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</si>
  <si>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</si>
  <si>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</si>
  <si>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</si>
  <si>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</si>
  <si>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</si>
  <si>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</si>
  <si>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</si>
  <si>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</si>
  <si>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</si>
  <si>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</si>
  <si>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</si>
  <si>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</si>
  <si>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</si>
  <si>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</si>
  <si>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</si>
  <si>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</si>
  <si>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</si>
  <si>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</si>
  <si>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</si>
  <si>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</si>
  <si>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</si>
  <si>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</si>
  <si>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</si>
  <si>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</si>
  <si>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</si>
  <si>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</si>
  <si>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</si>
  <si>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</si>
  <si>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</si>
  <si>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</si>
  <si>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</si>
  <si>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</si>
  <si>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</si>
  <si>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</si>
  <si>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</si>
  <si>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</si>
  <si>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</si>
  <si>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</si>
  <si>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</si>
  <si>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</si>
  <si>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</si>
  <si>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</si>
  <si>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</si>
  <si>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</si>
  <si>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</si>
  <si>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</si>
  <si>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</si>
  <si>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</si>
  <si>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</si>
  <si>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</si>
  <si>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</si>
  <si>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</si>
  <si>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</si>
  <si>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</si>
  <si>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</si>
  <si>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</si>
  <si>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</si>
  <si>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</si>
  <si>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</si>
  <si>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</si>
  <si>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</si>
  <si>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</si>
  <si>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</si>
  <si>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</si>
  <si>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</si>
  <si>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</si>
  <si>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</si>
  <si>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</si>
  <si>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</si>
  <si>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</si>
  <si>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</si>
  <si>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</si>
  <si>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</si>
  <si>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</si>
  <si>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</si>
  <si>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</si>
  <si>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</si>
  <si>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</si>
  <si>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</si>
  <si>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</si>
  <si>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</si>
  <si>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</si>
  <si>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</si>
  <si>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</si>
  <si>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</si>
  <si>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</si>
  <si>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</si>
  <si>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</si>
  <si>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</si>
  <si>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</si>
  <si>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</si>
  <si>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</si>
  <si>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</si>
  <si>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</si>
  <si>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</si>
  <si>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</si>
  <si>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</si>
  <si>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</si>
  <si>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</si>
  <si>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</si>
  <si>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</si>
  <si>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</si>
  <si>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</si>
  <si>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</si>
  <si>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</si>
  <si>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</si>
  <si>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</si>
  <si>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</si>
  <si>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</si>
  <si>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</si>
  <si>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</si>
  <si>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</si>
  <si>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</si>
  <si>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</si>
  <si>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</si>
  <si>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</si>
  <si>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</si>
  <si>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</si>
  <si>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</si>
  <si>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</si>
  <si>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</si>
  <si>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</si>
  <si>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</si>
  <si>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</si>
  <si>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</si>
  <si>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</si>
  <si>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</si>
  <si>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</si>
  <si>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</si>
  <si>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</si>
  <si>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</si>
  <si>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</si>
  <si>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</si>
  <si>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</si>
  <si>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</si>
  <si>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</si>
  <si>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</si>
  <si>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</si>
  <si>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</si>
  <si>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</si>
  <si>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</si>
  <si>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</si>
  <si>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</si>
  <si>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</si>
  <si>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</si>
  <si>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</si>
  <si>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</si>
  <si>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</si>
  <si>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</si>
  <si>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</si>
  <si>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</si>
  <si>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</si>
  <si>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</si>
  <si>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</si>
  <si>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</si>
  <si>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</si>
  <si>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</si>
  <si>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</si>
  <si>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</si>
  <si>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</si>
  <si>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</si>
  <si>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</si>
  <si>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</si>
  <si>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</si>
  <si>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</si>
  <si>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</si>
  <si>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</si>
  <si>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</si>
  <si>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</si>
  <si>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</si>
  <si>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</si>
  <si>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</si>
  <si>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</si>
  <si>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</si>
  <si>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</si>
  <si>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</si>
  <si>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</si>
  <si>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</si>
  <si>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</si>
  <si>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</si>
  <si>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</si>
  <si>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</si>
  <si>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</si>
  <si>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</si>
  <si>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</si>
  <si>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</si>
  <si>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</si>
  <si>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</si>
  <si>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</si>
  <si>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</si>
  <si>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</si>
  <si>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</si>
  <si>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</si>
  <si>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</si>
  <si>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</si>
  <si>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</si>
  <si>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</si>
  <si>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</si>
  <si>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</si>
  <si>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</si>
  <si>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</si>
  <si>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</si>
  <si>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</si>
  <si>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</si>
  <si>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</si>
  <si>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</si>
  <si>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</si>
  <si>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</si>
  <si>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</si>
  <si>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</si>
  <si>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</si>
  <si>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</si>
  <si>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</si>
  <si>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</si>
  <si>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</si>
  <si>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</si>
  <si>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</si>
  <si>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</si>
  <si>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</si>
  <si>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</si>
  <si>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</si>
  <si>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</si>
  <si>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</si>
  <si>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</si>
  <si>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</si>
  <si>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</si>
  <si>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</si>
  <si>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</si>
  <si>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</si>
  <si>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</si>
  <si>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</si>
  <si>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</si>
  <si>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</si>
  <si>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</si>
  <si>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</si>
  <si>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</si>
  <si>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</si>
  <si>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</si>
  <si>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</si>
  <si>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</si>
  <si>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</si>
  <si>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</si>
  <si>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</si>
  <si>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</si>
  <si>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</si>
  <si>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</si>
  <si>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</si>
  <si>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</si>
  <si>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</si>
  <si>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</si>
  <si>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</si>
  <si>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</si>
  <si>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</si>
  <si>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</si>
  <si>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</si>
  <si>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</si>
  <si>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</si>
  <si>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</si>
  <si>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</si>
  <si>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</si>
  <si>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</si>
  <si>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</si>
  <si>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</si>
  <si>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</si>
  <si>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</si>
  <si>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</si>
  <si>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</si>
  <si>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</si>
  <si>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</si>
  <si>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</si>
  <si>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</si>
  <si>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</si>
  <si>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</si>
  <si>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</si>
  <si>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</si>
  <si>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</si>
  <si>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</si>
  <si>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</si>
  <si>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</si>
  <si>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</si>
  <si>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</si>
  <si>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</si>
  <si>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</si>
  <si>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</si>
  <si>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</si>
  <si>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</si>
  <si>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</si>
  <si>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</si>
  <si>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</si>
  <si>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</si>
  <si>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</si>
  <si>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</si>
  <si>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</si>
  <si>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</si>
  <si>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</si>
  <si>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</si>
  <si>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</si>
  <si>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</si>
  <si>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</si>
  <si>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</si>
  <si>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</si>
  <si>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</si>
  <si>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</si>
  <si>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</si>
  <si>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</si>
  <si>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</si>
  <si>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</si>
  <si>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</si>
  <si>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</si>
  <si>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</si>
  <si>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</si>
  <si>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</si>
  <si>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</si>
  <si>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</si>
  <si>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</si>
  <si>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</si>
  <si>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</si>
  <si>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</si>
  <si>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</si>
  <si>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</si>
  <si>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</si>
  <si>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</si>
  <si>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</si>
  <si>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</si>
  <si>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</si>
  <si>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</si>
  <si>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</si>
  <si>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</si>
  <si>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</si>
  <si>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</si>
  <si>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</si>
  <si>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</si>
  <si>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</si>
  <si>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</si>
  <si>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</si>
  <si>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</si>
  <si>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</si>
  <si>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</si>
  <si>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</si>
  <si>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</si>
  <si>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</si>
  <si>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</si>
  <si>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</si>
  <si>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</si>
  <si>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</si>
  <si>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</si>
  <si>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</si>
  <si>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</si>
  <si>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</si>
  <si>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</si>
  <si>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</si>
  <si>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</si>
  <si>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</si>
  <si>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</si>
  <si>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</si>
  <si>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</si>
  <si>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</si>
  <si>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</si>
  <si>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</si>
  <si>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</si>
  <si>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</si>
  <si>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</si>
  <si>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</si>
  <si>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</si>
  <si>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</si>
  <si>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</si>
  <si>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</si>
  <si>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</si>
  <si>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</si>
  <si>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</si>
  <si>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</si>
  <si>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</si>
  <si>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</si>
  <si>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</si>
  <si>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</si>
  <si>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</si>
  <si>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</si>
  <si>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</si>
  <si>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</si>
  <si>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</si>
  <si>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</si>
  <si>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</si>
  <si>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</si>
  <si>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</si>
  <si>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</si>
  <si>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</si>
  <si>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</si>
  <si>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</si>
  <si>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</si>
  <si>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</si>
  <si>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</si>
  <si>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</si>
  <si>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</si>
  <si>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</si>
  <si>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</si>
  <si>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</si>
  <si>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</si>
  <si>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</si>
  <si>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</si>
  <si>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</si>
  <si>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</si>
  <si>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</si>
  <si>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</si>
  <si>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</si>
  <si>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</si>
  <si>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</si>
  <si>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</si>
  <si>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</si>
  <si>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</si>
  <si>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</si>
  <si>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</si>
  <si>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</si>
  <si>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</si>
  <si>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</si>
  <si>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</si>
  <si>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</si>
  <si>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</si>
  <si>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</si>
  <si>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</si>
  <si>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</si>
  <si>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</si>
  <si>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</si>
  <si>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</si>
  <si>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</si>
  <si>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</si>
  <si>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</si>
  <si>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</si>
  <si>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</si>
  <si>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</si>
  <si>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</si>
  <si>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</si>
  <si>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</si>
  <si>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</si>
  <si>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</si>
  <si>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</si>
  <si>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</si>
  <si>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</si>
  <si>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</si>
  <si>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</si>
  <si>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</si>
  <si>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</si>
  <si>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</si>
  <si>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</si>
  <si>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</si>
  <si>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</si>
  <si>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</si>
  <si>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</si>
  <si>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</si>
  <si>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</si>
  <si>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</si>
  <si>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</si>
  <si>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</si>
  <si>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</si>
  <si>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</si>
  <si>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</si>
  <si>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</si>
  <si>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</si>
  <si>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</si>
  <si>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</si>
  <si>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</si>
  <si>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</si>
  <si>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</si>
  <si>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</si>
  <si>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</si>
  <si>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</si>
  <si>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</si>
  <si>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</si>
  <si>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</si>
  <si>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</si>
  <si>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</si>
  <si>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</si>
  <si>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</si>
  <si>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</si>
  <si>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</si>
  <si>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</si>
  <si>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</si>
  <si>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</si>
  <si>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</si>
  <si>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</si>
  <si>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</si>
  <si>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</si>
  <si>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</si>
  <si>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</si>
  <si>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</si>
  <si>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</si>
  <si>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</si>
  <si>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</si>
  <si>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</si>
  <si>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</si>
  <si>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</si>
  <si>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</si>
  <si>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</si>
  <si>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</si>
  <si>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</si>
  <si>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</si>
  <si>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</si>
  <si>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</si>
  <si>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</si>
  <si>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</si>
  <si>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</si>
  <si>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</si>
  <si>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</si>
  <si>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</si>
  <si>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</si>
  <si>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</si>
  <si>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</si>
  <si>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</si>
  <si>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</si>
  <si>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</si>
  <si>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</si>
  <si>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</si>
  <si>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</si>
  <si>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</si>
  <si>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</si>
  <si>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</si>
  <si>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</si>
  <si>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</si>
  <si>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</si>
  <si>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</si>
  <si>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</si>
  <si>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</si>
  <si>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</si>
  <si>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</si>
  <si>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</si>
  <si>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</si>
  <si>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</si>
  <si>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</si>
  <si>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</si>
  <si>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</si>
  <si>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</si>
  <si>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</si>
  <si>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</si>
  <si>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</si>
  <si>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</si>
  <si>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</si>
  <si>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</si>
  <si>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</si>
  <si>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</si>
  <si>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</si>
  <si>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</si>
  <si>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</si>
  <si>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</si>
  <si>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</si>
  <si>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</si>
  <si>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</si>
  <si>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</si>
  <si>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</si>
  <si>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</si>
  <si>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</si>
  <si>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</si>
  <si>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</si>
  <si>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</si>
  <si>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</si>
  <si>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</si>
  <si>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</si>
  <si>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</si>
  <si>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</si>
  <si>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</si>
  <si>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</si>
  <si>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</si>
  <si>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</si>
  <si>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</si>
  <si>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</si>
  <si>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</si>
  <si>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</si>
  <si>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</si>
  <si>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</si>
  <si>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</si>
  <si>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</si>
  <si>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</si>
  <si>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</si>
  <si>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</si>
  <si>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</si>
  <si>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</si>
  <si>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</si>
  <si>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</si>
  <si>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</si>
  <si>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</si>
  <si>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</si>
  <si>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</si>
  <si>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</si>
  <si>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</si>
  <si>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</si>
  <si>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</si>
  <si>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</si>
  <si>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</si>
  <si>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</si>
  <si>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</si>
  <si>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</si>
  <si>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</si>
  <si>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</si>
  <si>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</si>
  <si>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</si>
  <si>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</si>
  <si>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</si>
  <si>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</si>
  <si>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</si>
  <si>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</si>
  <si>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</si>
  <si>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</si>
  <si>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</si>
  <si>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</si>
  <si>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</si>
  <si>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</si>
  <si>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</si>
  <si>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</si>
  <si>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</si>
  <si>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</si>
  <si>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</si>
  <si>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</si>
  <si>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</si>
  <si>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</si>
  <si>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</si>
  <si>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</si>
  <si>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</si>
  <si>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</si>
  <si>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</si>
  <si>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</si>
  <si>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</si>
  <si>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</si>
  <si>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郑燚</t>
  </si>
  <si>
    <t>王萌</t>
  </si>
  <si>
    <t>抵押</t>
  </si>
  <si>
    <t>房地产抵押价值</t>
  </si>
  <si>
    <t>其他：</t>
  </si>
  <si>
    <t>企业</t>
  </si>
  <si>
    <t>出让</t>
  </si>
  <si>
    <t>商业</t>
    <phoneticPr fontId="6" type="noConversion"/>
  </si>
  <si>
    <t>否</t>
  </si>
  <si>
    <t>原件</t>
  </si>
  <si>
    <t>商业项目</t>
  </si>
  <si>
    <t>商场</t>
  </si>
  <si>
    <t>现房</t>
  </si>
  <si>
    <t>通路</t>
  </si>
  <si>
    <t>通电</t>
  </si>
  <si>
    <t>通讯</t>
  </si>
  <si>
    <t>通上水</t>
  </si>
  <si>
    <t>通下水</t>
  </si>
  <si>
    <t>燃气</t>
  </si>
  <si>
    <t>平整</t>
  </si>
  <si>
    <t>宿迁市城镇土地使用税税率表</t>
    <phoneticPr fontId="3" type="noConversion"/>
  </si>
  <si>
    <t>是</t>
  </si>
  <si>
    <t>地上</t>
  </si>
  <si>
    <t>序号</t>
  </si>
  <si>
    <t>楼层</t>
    <phoneticPr fontId="143" type="noConversion"/>
  </si>
  <si>
    <t>典型户型商业</t>
  </si>
  <si>
    <t>典型户型商业</t>
    <phoneticPr fontId="7" type="noConversion"/>
  </si>
  <si>
    <t>商业剩余</t>
    <phoneticPr fontId="7" type="noConversion"/>
  </si>
  <si>
    <t>成新度</t>
  </si>
  <si>
    <t>收益法</t>
  </si>
  <si>
    <t>钢混</t>
  </si>
  <si>
    <t>非生产用房</t>
  </si>
  <si>
    <t>收益还原</t>
  </si>
  <si>
    <t>售价</t>
  </si>
  <si>
    <t>比较法-商业</t>
  </si>
  <si>
    <t>正常</t>
  </si>
  <si>
    <t>商业</t>
    <phoneticPr fontId="31" type="noConversion"/>
  </si>
  <si>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</si>
  <si>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</si>
  <si>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</si>
  <si>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</si>
  <si>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</si>
  <si>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</si>
  <si>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</si>
  <si>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</si>
  <si>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</si>
  <si>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</si>
  <si>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</si>
  <si>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</si>
  <si>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综合体商业</t>
    <phoneticPr fontId="31" type="noConversion"/>
  </si>
  <si>
    <t>商业街商业</t>
  </si>
  <si>
    <t>商业街商业</t>
    <phoneticPr fontId="31" type="noConversion"/>
  </si>
  <si>
    <t>独栋商业楼</t>
    <phoneticPr fontId="31" type="noConversion"/>
  </si>
  <si>
    <t>住宅底商</t>
    <phoneticPr fontId="31" type="noConversion"/>
  </si>
  <si>
    <t>钢</t>
    <phoneticPr fontId="31" type="noConversion"/>
  </si>
  <si>
    <t>钢混</t>
    <phoneticPr fontId="31" type="noConversion"/>
  </si>
  <si>
    <t>混合</t>
    <phoneticPr fontId="31" type="noConversion"/>
  </si>
  <si>
    <t>砖</t>
    <phoneticPr fontId="31" type="noConversion"/>
  </si>
  <si>
    <t>精装修</t>
  </si>
  <si>
    <t>精装修</t>
    <phoneticPr fontId="31" type="noConversion"/>
  </si>
  <si>
    <t>普通装修</t>
  </si>
  <si>
    <t>普通装修</t>
    <phoneticPr fontId="31" type="noConversion"/>
  </si>
  <si>
    <t>毛坯</t>
  </si>
  <si>
    <t>毛坯</t>
    <phoneticPr fontId="31" type="noConversion"/>
  </si>
  <si>
    <t>六通</t>
    <phoneticPr fontId="31" type="noConversion"/>
  </si>
  <si>
    <t>五通</t>
    <phoneticPr fontId="31" type="noConversion"/>
  </si>
  <si>
    <t>四通</t>
    <phoneticPr fontId="31" type="noConversion"/>
  </si>
  <si>
    <t>三通</t>
    <phoneticPr fontId="31" type="noConversion"/>
  </si>
  <si>
    <t>七通</t>
    <phoneticPr fontId="31" type="noConversion"/>
  </si>
  <si>
    <t>综合性商业</t>
  </si>
  <si>
    <t>综合性商业</t>
    <phoneticPr fontId="31" type="noConversion"/>
  </si>
  <si>
    <t>专业性市场</t>
    <phoneticPr fontId="31" type="noConversion"/>
  </si>
  <si>
    <t>社区零售商业</t>
    <phoneticPr fontId="31" type="noConversion"/>
  </si>
  <si>
    <t>挑高层高</t>
  </si>
  <si>
    <t>挑高层高</t>
    <phoneticPr fontId="31" type="noConversion"/>
  </si>
  <si>
    <t>标准层高</t>
    <phoneticPr fontId="31" type="noConversion"/>
  </si>
  <si>
    <t>1层</t>
  </si>
  <si>
    <t>项目局部</t>
  </si>
  <si>
    <t>2层</t>
  </si>
  <si>
    <t>3层</t>
  </si>
  <si>
    <t>4层</t>
  </si>
  <si>
    <t>成本法</t>
  </si>
  <si>
    <t>30-40（含）</t>
  </si>
  <si>
    <t>按租金收入计税</t>
  </si>
  <si>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</si>
  <si>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</si>
  <si>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</si>
  <si>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</si>
  <si>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</si>
  <si>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</si>
  <si>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市场状况</t>
  </si>
  <si>
    <t>土地使用年限（年）</t>
  </si>
  <si>
    <t>区位状况</t>
  </si>
  <si>
    <t>公共配套设施</t>
  </si>
  <si>
    <t>区域基础设施水平</t>
  </si>
  <si>
    <t>实物状况</t>
  </si>
  <si>
    <t>项目建筑规模（㎡）</t>
  </si>
  <si>
    <t>建筑结构</t>
  </si>
  <si>
    <t>公共部分装修</t>
  </si>
  <si>
    <t>成新率</t>
  </si>
  <si>
    <t>市政基础设施</t>
  </si>
  <si>
    <t>内部装修</t>
  </si>
  <si>
    <t>内部装修维护状况</t>
  </si>
  <si>
    <t>用世.水韵城</t>
    <phoneticPr fontId="143" type="noConversion"/>
  </si>
  <si>
    <t>恒昌.乐活广场</t>
    <phoneticPr fontId="143" type="noConversion"/>
  </si>
  <si>
    <t>宿迁市宿城区运河路与西湖路交汇处</t>
    <phoneticPr fontId="143" type="noConversion"/>
  </si>
  <si>
    <t>中商.中央广场</t>
    <phoneticPr fontId="143" type="noConversion"/>
  </si>
  <si>
    <t>宿迁市宿城区幸福南路88号</t>
    <phoneticPr fontId="143" type="noConversion"/>
  </si>
  <si>
    <t>金鹰国际花园</t>
    <phoneticPr fontId="143" type="noConversion"/>
  </si>
  <si>
    <t>宿迁市金鹰购物中心北150米</t>
    <phoneticPr fontId="143" type="noConversion"/>
  </si>
  <si>
    <t>江苏省宿迁市宿城区用世.用世.水韵城项目D1-203号等108套商业用途房地产</t>
    <phoneticPr fontId="143" type="noConversion"/>
  </si>
  <si>
    <t>30-40（含）</t>
    <phoneticPr fontId="143" type="noConversion"/>
  </si>
  <si>
    <t>权益状况</t>
  </si>
  <si>
    <t>权益状况</t>
    <phoneticPr fontId="143" type="noConversion"/>
  </si>
  <si>
    <t>容积率</t>
    <phoneticPr fontId="143" type="noConversion"/>
  </si>
  <si>
    <t>商业繁华度</t>
    <phoneticPr fontId="143" type="noConversion"/>
  </si>
  <si>
    <t>周边有宝龙生活广场、金鹰购物中心、中商.中央广场、恒昌.乐活广场等商业项目，居住社区成熟度较商业繁华度好；</t>
    <phoneticPr fontId="143" type="noConversion"/>
  </si>
  <si>
    <t>交通便捷度</t>
    <phoneticPr fontId="143" type="noConversion"/>
  </si>
  <si>
    <t>估价对象周边路网密集度较好、停车较便捷、周边有91、92、107、201、307、313、810路等多条公共线路经过，交通状况好；</t>
    <phoneticPr fontId="143" type="noConversion"/>
  </si>
  <si>
    <t>估价对象周边1公里内的公共服务配套设施齐备，有购物场所（宝龙生活广场、金鹰购物中心、中商.中央广场、恒昌.乐活广场）、超市（苏果超市、大润发超市等）医院（宿迁协和医院、宿迁人民医院等）、银行（中国农业银行、中国工商银行、江苏银行等）、学校（红黄蓝幼儿园、宿迁市实验小学、宿迁市实验中学等）、餐饮（欢乐牧场、汉釜宫、千叶寿司、北疆饭店等）；</t>
    <phoneticPr fontId="143" type="noConversion"/>
  </si>
  <si>
    <t>自然及人文环境</t>
    <phoneticPr fontId="143" type="noConversion"/>
  </si>
  <si>
    <t>周边有河滨公园、宿迁市博物馆新馆等，环境状况好；</t>
    <phoneticPr fontId="143" type="noConversion"/>
  </si>
  <si>
    <t>临街状况</t>
    <phoneticPr fontId="143" type="noConversion"/>
  </si>
  <si>
    <t>单面临街</t>
    <phoneticPr fontId="143" type="noConversion"/>
  </si>
  <si>
    <t>可视性</t>
    <phoneticPr fontId="143" type="noConversion"/>
  </si>
  <si>
    <t>好</t>
    <phoneticPr fontId="143" type="noConversion"/>
  </si>
  <si>
    <t>好</t>
    <phoneticPr fontId="143" type="noConversion"/>
  </si>
  <si>
    <t>较好</t>
    <phoneticPr fontId="143" type="noConversion"/>
  </si>
  <si>
    <t>人流量</t>
    <phoneticPr fontId="143" type="noConversion"/>
  </si>
  <si>
    <t>1层</t>
    <phoneticPr fontId="143" type="noConversion"/>
  </si>
  <si>
    <t>商业类型</t>
    <phoneticPr fontId="143" type="noConversion"/>
  </si>
  <si>
    <t>综合体商业</t>
    <phoneticPr fontId="143" type="noConversion"/>
  </si>
  <si>
    <t>商业街商业</t>
    <phoneticPr fontId="143" type="noConversion"/>
  </si>
  <si>
    <t>住宅底商</t>
    <phoneticPr fontId="143" type="noConversion"/>
  </si>
  <si>
    <t>普通装修</t>
    <phoneticPr fontId="143" type="noConversion"/>
  </si>
  <si>
    <t>业态</t>
    <phoneticPr fontId="143" type="noConversion"/>
  </si>
  <si>
    <t>综合性商业</t>
    <phoneticPr fontId="143" type="noConversion"/>
  </si>
  <si>
    <t>专业性市场</t>
    <phoneticPr fontId="143" type="noConversion"/>
  </si>
  <si>
    <t>社区零售商业</t>
    <phoneticPr fontId="143" type="noConversion"/>
  </si>
  <si>
    <t>层高</t>
    <phoneticPr fontId="143" type="noConversion"/>
  </si>
  <si>
    <t>挑高层高</t>
    <phoneticPr fontId="143" type="noConversion"/>
  </si>
  <si>
    <t>进深比</t>
    <phoneticPr fontId="143" type="noConversion"/>
  </si>
  <si>
    <t>较好</t>
    <phoneticPr fontId="143" type="noConversion"/>
  </si>
  <si>
    <t>普通装修</t>
    <phoneticPr fontId="143" type="noConversion"/>
  </si>
  <si>
    <t>毛坯</t>
    <phoneticPr fontId="143" type="noConversion"/>
  </si>
  <si>
    <t>商业</t>
    <phoneticPr fontId="143" type="noConversion"/>
  </si>
  <si>
    <t>周边有中商.中央广场、宝龙生活广场、用世.水韵城等项目，商业繁华度较好；</t>
    <phoneticPr fontId="143" type="noConversion"/>
  </si>
  <si>
    <t>周边路网密集，行车出入便捷，周边有91、92、107、201路等公共线路经过，交通状况好；</t>
    <phoneticPr fontId="143" type="noConversion"/>
  </si>
  <si>
    <t>周边2公里内的公共服务配套设施较齐备，有购物场所（中商.中央广场、宝龙生活广场、用世.水韵城等）、医院（宿迁市人民医院）、银行（中国工商银行）、学校（宿迁市实验小学、宿迁市实验中学）、餐饮等公共服务配套设施，公共配套设施情况好；</t>
    <phoneticPr fontId="143" type="noConversion"/>
  </si>
  <si>
    <t>周边有滨河公园及宿迁市博物馆新馆人文设施，自然及人文环境好；</t>
    <phoneticPr fontId="143" type="noConversion"/>
  </si>
  <si>
    <t>周边有恒昌.乐活广场、宝龙生活广场、用世.水韵城等项目，商业繁华度较好；</t>
    <phoneticPr fontId="143" type="noConversion"/>
  </si>
  <si>
    <t>周边有恒昌.乐活广场、宝龙生活广场、用世.水韵城、金鹰购物广场等项目，商业繁华度好；</t>
    <phoneticPr fontId="143" type="noConversion"/>
  </si>
  <si>
    <t>单套建筑面积（平方米）</t>
    <phoneticPr fontId="143" type="noConversion"/>
  </si>
  <si>
    <t>交易情况</t>
  </si>
  <si>
    <t>100/</t>
  </si>
  <si>
    <t>销售价格（元/平方米）</t>
  </si>
  <si>
    <t>比较价值（元/平方米）</t>
  </si>
  <si>
    <t>中信信托有限责任公司</t>
    <phoneticPr fontId="6" type="noConversion"/>
  </si>
  <si>
    <t>武汉统建</t>
    <phoneticPr fontId="6" type="noConversion"/>
  </si>
  <si>
    <t>湖北省武汉市</t>
    <phoneticPr fontId="6" type="noConversion"/>
  </si>
  <si>
    <t>项目名称</t>
  </si>
  <si>
    <t>商铺坐落</t>
  </si>
  <si>
    <t>资产类别</t>
  </si>
  <si>
    <t>商铺面积</t>
  </si>
  <si>
    <t>已办证</t>
  </si>
  <si>
    <t>需确认办证</t>
  </si>
  <si>
    <t>不能办证</t>
  </si>
  <si>
    <t>商铺</t>
  </si>
  <si>
    <t>底商</t>
  </si>
  <si>
    <t>请录依据文件名称：</t>
    <phoneticPr fontId="3" type="noConversion"/>
  </si>
  <si>
    <t>押一</t>
  </si>
  <si>
    <t>1-2层</t>
  </si>
  <si>
    <t>武汉市江岸区后湖大道与建设大道延长线交汇处</t>
    <phoneticPr fontId="3" type="noConversion"/>
  </si>
  <si>
    <t>挑高层高</t>
    <phoneticPr fontId="25" type="noConversion"/>
  </si>
  <si>
    <t>标准层高</t>
  </si>
  <si>
    <t>标准层高</t>
    <phoneticPr fontId="25" type="noConversion"/>
  </si>
  <si>
    <t>同安家园未售资产统计表</t>
  </si>
  <si>
    <t>销售单价
（元/㎡）</t>
  </si>
  <si>
    <t xml:space="preserve">销售总价
（万元） </t>
  </si>
  <si>
    <t>同安家园</t>
    <phoneticPr fontId="3" type="noConversion"/>
  </si>
  <si>
    <t>同安家园四期57栋商2</t>
  </si>
  <si>
    <t>同安家园四期57栋商6</t>
  </si>
  <si>
    <t>同安家园四期58栋商6</t>
  </si>
  <si>
    <t>同安家园四期58栋商7</t>
  </si>
  <si>
    <t>同安家园四期58栋商9</t>
  </si>
  <si>
    <t>同安家园五期59、60栋商2</t>
  </si>
  <si>
    <t>同安家园五期59、60栋商4</t>
  </si>
  <si>
    <t>同安家园五期59、60栋商5</t>
  </si>
  <si>
    <t>同安家园五期59、60栋商6</t>
  </si>
  <si>
    <t>同安家园五期59、60栋商7</t>
  </si>
  <si>
    <t>同安家园五期59、60栋商8</t>
  </si>
  <si>
    <t>同安五期11#商铺(六本物业)</t>
  </si>
  <si>
    <t>同安家园18栋一层(田园之星)</t>
  </si>
  <si>
    <t>同安家园59、60栋一层商12</t>
    <phoneticPr fontId="143" type="noConversion"/>
  </si>
  <si>
    <t>同安家园59、60栋二层商12</t>
    <phoneticPr fontId="143" type="noConversion"/>
  </si>
  <si>
    <t>同安家园59、60栋二层商1</t>
    <phoneticPr fontId="143" type="noConversion"/>
  </si>
  <si>
    <t>同安家园59、60栋三层商1</t>
    <phoneticPr fontId="143" type="noConversion"/>
  </si>
  <si>
    <t>同安家园59、60栋一层商1</t>
    <phoneticPr fontId="143" type="noConversion"/>
  </si>
  <si>
    <t>同安家园2#商业体一层(艳阳天)</t>
    <phoneticPr fontId="143" type="noConversion"/>
  </si>
  <si>
    <t>同安家园2#商业体二层(艳阳天)</t>
    <phoneticPr fontId="143" type="noConversion"/>
  </si>
  <si>
    <t>同安家园2#商业体三层(艳阳天)</t>
    <phoneticPr fontId="143" type="noConversion"/>
  </si>
  <si>
    <t>同安家园2#商业体四层(艳阳天)</t>
    <phoneticPr fontId="143" type="noConversion"/>
  </si>
  <si>
    <t>武汉市江岸区兴业路169号</t>
    <phoneticPr fontId="3" type="noConversion"/>
  </si>
  <si>
    <t>新地盛世东方</t>
    <phoneticPr fontId="3" type="noConversion"/>
  </si>
  <si>
    <t>武汉市江岸区后湖五路</t>
    <phoneticPr fontId="3" type="noConversion"/>
  </si>
  <si>
    <t>武汉市江岸区后湖大道158号</t>
    <phoneticPr fontId="3" type="noConversion"/>
  </si>
  <si>
    <r>
      <t>案例：</t>
    </r>
    <r>
      <rPr>
        <sz val="9"/>
        <color rgb="FF000000"/>
        <rFont val="Arial"/>
        <family val="2"/>
      </rPr>
      <t>A</t>
    </r>
  </si>
  <si>
    <r>
      <t>案例：</t>
    </r>
    <r>
      <rPr>
        <sz val="9"/>
        <color rgb="FF000000"/>
        <rFont val="Arial"/>
        <family val="2"/>
      </rPr>
      <t>B</t>
    </r>
  </si>
  <si>
    <r>
      <t>案例：</t>
    </r>
    <r>
      <rPr>
        <sz val="9"/>
        <color rgb="FF000000"/>
        <rFont val="Arial"/>
        <family val="2"/>
      </rPr>
      <t>C</t>
    </r>
  </si>
  <si>
    <r>
      <t>30-40</t>
    </r>
    <r>
      <rPr>
        <sz val="9"/>
        <color rgb="FF000000"/>
        <rFont val="华文细黑"/>
        <family val="3"/>
        <charset val="134"/>
      </rPr>
      <t>（含）</t>
    </r>
  </si>
  <si>
    <t>容积率</t>
  </si>
  <si>
    <t>商业繁华度</t>
  </si>
  <si>
    <t>交通便捷度</t>
  </si>
  <si>
    <t>自然及人文环境</t>
  </si>
  <si>
    <t>临街状况</t>
  </si>
  <si>
    <t>可视性</t>
  </si>
  <si>
    <t>人流量</t>
  </si>
  <si>
    <t>楼层</t>
  </si>
  <si>
    <r>
      <t>1</t>
    </r>
    <r>
      <rPr>
        <sz val="9"/>
        <color rgb="FF000000"/>
        <rFont val="华文细黑"/>
        <family val="3"/>
        <charset val="134"/>
      </rPr>
      <t>层</t>
    </r>
  </si>
  <si>
    <t>商业类型</t>
  </si>
  <si>
    <t>业态</t>
  </si>
  <si>
    <t>层高</t>
  </si>
  <si>
    <t>单套建筑面积（平方米）</t>
  </si>
  <si>
    <t>进深比</t>
  </si>
  <si>
    <t>同安家园</t>
    <phoneticPr fontId="143" type="noConversion"/>
  </si>
  <si>
    <t>湖北省武汉市江岸区同安家园项目57栋商2号等16套商业用房房地产</t>
    <phoneticPr fontId="143" type="noConversion"/>
  </si>
  <si>
    <t>海赋江城天韵</t>
    <phoneticPr fontId="143" type="noConversion"/>
  </si>
  <si>
    <t>武汉市江岸区兴业路169号</t>
    <phoneticPr fontId="143" type="noConversion"/>
  </si>
  <si>
    <t>汉口城市广场</t>
    <phoneticPr fontId="143" type="noConversion"/>
  </si>
  <si>
    <t>武汉市江岸区后湖大道与建设大道延长线交汇处</t>
    <phoneticPr fontId="143" type="noConversion"/>
  </si>
  <si>
    <t>新地盛世东方</t>
    <phoneticPr fontId="143" type="noConversion"/>
  </si>
  <si>
    <t>武汉市江岸区后湖五路</t>
    <phoneticPr fontId="143" type="noConversion"/>
  </si>
  <si>
    <t>周边有海赋江城天韵、汉口城市广场、新地盛世东方、zama park等项目，商业繁华度较好；</t>
    <phoneticPr fontId="143" type="noConversion"/>
  </si>
  <si>
    <t>周边有同安家园、汉口城市广场、新地盛世东方、zama park等项目，商业繁华度较好；</t>
    <phoneticPr fontId="143" type="noConversion"/>
  </si>
  <si>
    <t>周边有海赋江城天韵、同安家园、新地盛世东方、zama park等项目，商业繁华度较好；</t>
    <phoneticPr fontId="143" type="noConversion"/>
  </si>
  <si>
    <t>周边有海赋江城天韵、汉口城市广场、同安家园、zama park等项目，商业繁华度较好；</t>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</si>
  <si>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号线后湖大道站，交通状况较好；</t>
    </r>
    <phoneticPr fontId="143" type="noConversion"/>
  </si>
  <si>
    <r>
      <t>1-2</t>
    </r>
    <r>
      <rPr>
        <sz val="9"/>
        <color rgb="FF000000"/>
        <rFont val="华文细黑"/>
        <family val="3"/>
        <charset val="134"/>
      </rPr>
      <t>层</t>
    </r>
    <phoneticPr fontId="143" type="noConversion"/>
  </si>
  <si>
    <t>标准层高</t>
    <phoneticPr fontId="143" type="noConversion"/>
  </si>
  <si>
    <r>
      <t>1</t>
    </r>
    <r>
      <rPr>
        <b/>
        <sz val="10"/>
        <color rgb="FFFF0000"/>
        <rFont val="宋体"/>
        <family val="3"/>
        <charset val="134"/>
      </rPr>
      <t>层</t>
    </r>
    <phoneticPr fontId="25" type="noConversion"/>
  </si>
  <si>
    <r>
      <t>1-2</t>
    </r>
    <r>
      <rPr>
        <b/>
        <sz val="10"/>
        <color rgb="FFFF0000"/>
        <rFont val="宋体"/>
        <family val="3"/>
        <charset val="134"/>
      </rPr>
      <t>层</t>
    </r>
    <phoneticPr fontId="25" type="noConversion"/>
  </si>
  <si>
    <r>
      <t>2</t>
    </r>
    <r>
      <rPr>
        <b/>
        <sz val="10"/>
        <color rgb="FFFF0000"/>
        <rFont val="宋体"/>
        <family val="3"/>
        <charset val="134"/>
      </rPr>
      <t>层</t>
    </r>
    <phoneticPr fontId="25" type="noConversion"/>
  </si>
  <si>
    <r>
      <t>3</t>
    </r>
    <r>
      <rPr>
        <b/>
        <sz val="10"/>
        <color rgb="FFFF0000"/>
        <rFont val="宋体"/>
        <family val="3"/>
        <charset val="134"/>
      </rPr>
      <t>层</t>
    </r>
    <phoneticPr fontId="25" type="noConversion"/>
  </si>
  <si>
    <r>
      <t>4</t>
    </r>
    <r>
      <rPr>
        <b/>
        <sz val="10"/>
        <color rgb="FFFF0000"/>
        <rFont val="宋体"/>
        <family val="3"/>
        <charset val="134"/>
      </rPr>
      <t>层</t>
    </r>
    <phoneticPr fontId="25" type="noConversion"/>
  </si>
  <si>
    <r>
      <t>1</t>
    </r>
    <r>
      <rPr>
        <b/>
        <sz val="11"/>
        <color rgb="FFFF0000"/>
        <rFont val="宋体"/>
        <family val="3"/>
        <charset val="134"/>
      </rPr>
      <t>层</t>
    </r>
    <phoneticPr fontId="31" type="noConversion"/>
  </si>
  <si>
    <r>
      <t>1-2</t>
    </r>
    <r>
      <rPr>
        <b/>
        <sz val="11"/>
        <color rgb="FFFF0000"/>
        <rFont val="宋体"/>
        <family val="3"/>
        <charset val="134"/>
      </rPr>
      <t>层</t>
    </r>
    <phoneticPr fontId="31" type="noConversion"/>
  </si>
  <si>
    <r>
      <t>2</t>
    </r>
    <r>
      <rPr>
        <b/>
        <sz val="11"/>
        <color rgb="FFFF0000"/>
        <rFont val="宋体"/>
        <family val="3"/>
        <charset val="134"/>
      </rPr>
      <t>层</t>
    </r>
    <phoneticPr fontId="31" type="noConversion"/>
  </si>
  <si>
    <r>
      <t>3</t>
    </r>
    <r>
      <rPr>
        <b/>
        <sz val="11"/>
        <color rgb="FFFF0000"/>
        <rFont val="宋体"/>
        <family val="3"/>
        <charset val="134"/>
      </rPr>
      <t>层</t>
    </r>
    <phoneticPr fontId="31" type="noConversion"/>
  </si>
  <si>
    <t>同安家园</t>
    <phoneticPr fontId="143" type="noConversion"/>
  </si>
  <si>
    <t>0014853</t>
    <phoneticPr fontId="143" type="noConversion"/>
  </si>
  <si>
    <t>江岸区后湖乡新益村统建·同安家园五期59、60号楼裙楼栋1-2层商5</t>
    <phoneticPr fontId="143" type="noConversion"/>
  </si>
  <si>
    <t>0014949</t>
    <phoneticPr fontId="143" type="noConversion"/>
  </si>
  <si>
    <t>江岸区后湖乡新益村统建·同安家园五期59、60号楼裙楼栋1-2层商6</t>
  </si>
  <si>
    <t>0014873</t>
    <phoneticPr fontId="143" type="noConversion"/>
  </si>
  <si>
    <t>江岸区后湖乡新益村统建·同安家园五期59、60号楼裙楼栋1-2层商7</t>
  </si>
  <si>
    <t>0014950</t>
    <phoneticPr fontId="143" type="noConversion"/>
  </si>
  <si>
    <t>江岸区后湖乡新益村统建·同安家园五期59、60号楼裙楼栋1-2层商8</t>
  </si>
  <si>
    <t>0014874</t>
    <phoneticPr fontId="143" type="noConversion"/>
  </si>
  <si>
    <t>江岸区后湖乡新益村统建·同安家园五期59、60号楼裙楼栋1-2层商2</t>
    <phoneticPr fontId="143" type="noConversion"/>
  </si>
  <si>
    <t>0014842</t>
    <phoneticPr fontId="143" type="noConversion"/>
  </si>
  <si>
    <t>江岸区新益村统建同安家园四期57栋1层商2</t>
    <phoneticPr fontId="143" type="noConversion"/>
  </si>
  <si>
    <t>0014844</t>
    <phoneticPr fontId="143" type="noConversion"/>
  </si>
  <si>
    <t>江岸区新益村统建同安家园四期57栋1-2层商6</t>
    <phoneticPr fontId="143" type="noConversion"/>
  </si>
  <si>
    <t>0014876</t>
    <phoneticPr fontId="143" type="noConversion"/>
  </si>
  <si>
    <t>江岸区新益村统建同安家园四期58栋1-2层商6</t>
    <phoneticPr fontId="143" type="noConversion"/>
  </si>
  <si>
    <t>0014840</t>
    <phoneticPr fontId="143" type="noConversion"/>
  </si>
  <si>
    <t>江岸区新益村统建同安家园四期58栋1-2层商7</t>
  </si>
  <si>
    <t>0014871</t>
    <phoneticPr fontId="143" type="noConversion"/>
  </si>
  <si>
    <t>江岸区新益村统建同安家园四期58栋1-2层商9</t>
    <phoneticPr fontId="143" type="noConversion"/>
  </si>
  <si>
    <t>0014835</t>
    <phoneticPr fontId="143" type="noConversion"/>
  </si>
  <si>
    <t>江岸区后湖大道105号统建·同安家园五期59、60号楼裙楼栋1-2层商12室（房产证+土地证）</t>
    <phoneticPr fontId="143" type="noConversion"/>
  </si>
  <si>
    <t>2016008936</t>
    <phoneticPr fontId="143" type="noConversion"/>
  </si>
  <si>
    <t>土地使用证：S1749</t>
    <phoneticPr fontId="143" type="noConversion"/>
  </si>
  <si>
    <t>2015029218</t>
    <phoneticPr fontId="143" type="noConversion"/>
  </si>
  <si>
    <t>土地使用证：S10408</t>
    <phoneticPr fontId="143" type="noConversion"/>
  </si>
  <si>
    <t>江岸区后湖大道105号统建·同安家园五期59、60号楼裙楼栋1-2层商11室（房产证+土地证）</t>
    <phoneticPr fontId="143" type="noConversion"/>
  </si>
  <si>
    <t>2016008934</t>
    <phoneticPr fontId="143" type="noConversion"/>
  </si>
  <si>
    <t>土地使用证：S1750</t>
    <phoneticPr fontId="143" type="noConversion"/>
  </si>
  <si>
    <t>2015037774</t>
    <phoneticPr fontId="143" type="noConversion"/>
  </si>
  <si>
    <t>土地使用证：S679</t>
    <phoneticPr fontId="143" type="noConversion"/>
  </si>
  <si>
    <t>小计</t>
    <phoneticPr fontId="143" type="noConversion"/>
  </si>
  <si>
    <r>
      <t>江岸区后湖大道105号统建·同安家园五期59、60号楼裙楼栋3层商1室（</t>
    </r>
    <r>
      <rPr>
        <sz val="11"/>
        <color theme="1"/>
        <rFont val="宋体"/>
        <family val="3"/>
        <charset val="134"/>
        <scheme val="minor"/>
      </rPr>
      <t>2</t>
    </r>
    <r>
      <rPr>
        <sz val="11"/>
        <color theme="1"/>
        <rFont val="宋体"/>
        <family val="3"/>
        <charset val="134"/>
        <scheme val="minor"/>
      </rPr>
      <t>层）（房产证+土地证）</t>
    </r>
    <phoneticPr fontId="143" type="noConversion"/>
  </si>
  <si>
    <r>
      <t>江岸区后湖大道105号统建·同安家园五期59、60号楼裙楼栋3层商1室（</t>
    </r>
    <r>
      <rPr>
        <sz val="11"/>
        <color theme="1"/>
        <rFont val="宋体"/>
        <family val="3"/>
        <charset val="134"/>
        <scheme val="minor"/>
      </rPr>
      <t>3</t>
    </r>
    <r>
      <rPr>
        <sz val="11"/>
        <color theme="1"/>
        <rFont val="宋体"/>
        <family val="3"/>
        <charset val="134"/>
        <scheme val="minor"/>
      </rPr>
      <t>层）（房产证+土地证）</t>
    </r>
    <phoneticPr fontId="143" type="noConversion"/>
  </si>
  <si>
    <r>
      <t>江岸区后湖大道105号统建·同安家园五期59、60号楼裙楼栋3层商1室（</t>
    </r>
    <r>
      <rPr>
        <sz val="11"/>
        <color theme="1"/>
        <rFont val="宋体"/>
        <family val="3"/>
        <charset val="134"/>
        <scheme val="minor"/>
      </rPr>
      <t>1层</t>
    </r>
    <r>
      <rPr>
        <sz val="11"/>
        <color theme="1"/>
        <rFont val="宋体"/>
        <family val="3"/>
        <charset val="134"/>
        <scheme val="minor"/>
      </rPr>
      <t>）（房产证+土地证）</t>
    </r>
    <phoneticPr fontId="143" type="noConversion"/>
  </si>
  <si>
    <t>江岸区后湖大道105号统建·同安家园五期59、60号楼裙楼栋1-4层商6室（1层）（房产证+土地证）</t>
    <phoneticPr fontId="143" type="noConversion"/>
  </si>
  <si>
    <r>
      <t>江岸区后湖大道105号统建·同安家园五期59、60号楼裙楼栋1-4层商6室（</t>
    </r>
    <r>
      <rPr>
        <sz val="11"/>
        <color theme="1"/>
        <rFont val="宋体"/>
        <family val="3"/>
        <charset val="134"/>
        <scheme val="minor"/>
      </rPr>
      <t>2</t>
    </r>
    <r>
      <rPr>
        <sz val="11"/>
        <color theme="1"/>
        <rFont val="宋体"/>
        <family val="3"/>
        <charset val="134"/>
        <scheme val="minor"/>
      </rPr>
      <t>层）（房产证+土地证）</t>
    </r>
    <phoneticPr fontId="143" type="noConversion"/>
  </si>
  <si>
    <r>
      <t>江岸区后湖大道105号统建·同安家园五期59、60号楼裙楼栋1-4层商6室（</t>
    </r>
    <r>
      <rPr>
        <sz val="11"/>
        <color theme="1"/>
        <rFont val="宋体"/>
        <family val="3"/>
        <charset val="134"/>
        <scheme val="minor"/>
      </rPr>
      <t>3</t>
    </r>
    <r>
      <rPr>
        <sz val="11"/>
        <color theme="1"/>
        <rFont val="宋体"/>
        <family val="3"/>
        <charset val="134"/>
        <scheme val="minor"/>
      </rPr>
      <t>层）（房产证+土地证）</t>
    </r>
    <phoneticPr fontId="143" type="noConversion"/>
  </si>
  <si>
    <r>
      <t>江岸区后湖大道105号统建·同安家园五期59、60号楼裙楼栋1-4层商6室（</t>
    </r>
    <r>
      <rPr>
        <sz val="11"/>
        <color theme="1"/>
        <rFont val="宋体"/>
        <family val="3"/>
        <charset val="134"/>
        <scheme val="minor"/>
      </rPr>
      <t>4</t>
    </r>
    <r>
      <rPr>
        <sz val="11"/>
        <color theme="1"/>
        <rFont val="宋体"/>
        <family val="3"/>
        <charset val="134"/>
        <scheme val="minor"/>
      </rPr>
      <t>层）（房产证+土地证）</t>
    </r>
    <phoneticPr fontId="143" type="noConversion"/>
  </si>
  <si>
    <t>江岸区后湖大道105号统建·同安家园五期59、60号楼裙楼栋1-2层商4室</t>
    <phoneticPr fontId="143" type="noConversion"/>
  </si>
  <si>
    <t>位置</t>
    <phoneticPr fontId="143" type="noConversion"/>
  </si>
  <si>
    <t>不动产权证号</t>
    <phoneticPr fontId="143" type="noConversion"/>
  </si>
  <si>
    <t>房屋所有权证证号</t>
    <phoneticPr fontId="143" type="noConversion"/>
  </si>
  <si>
    <t>国有土地使用证证号</t>
    <phoneticPr fontId="143" type="noConversion"/>
  </si>
  <si>
    <t>建筑面积</t>
    <phoneticPr fontId="143" type="noConversion"/>
  </si>
  <si>
    <t>分摊土地面积</t>
    <phoneticPr fontId="143" type="noConversion"/>
  </si>
  <si>
    <t>鄂（2018）武汉市江岸不动产权第0014853号</t>
    <phoneticPr fontId="143" type="noConversion"/>
  </si>
  <si>
    <t>鄂（2018）武汉市江岸不动产权第0014949号</t>
    <phoneticPr fontId="143" type="noConversion"/>
  </si>
  <si>
    <t>鄂（2018）武汉市江岸不动产权第0014950号</t>
    <phoneticPr fontId="143" type="noConversion"/>
  </si>
  <si>
    <t>鄂（2018）武汉市江岸不动产权第0014873号</t>
    <phoneticPr fontId="143" type="noConversion"/>
  </si>
  <si>
    <t>鄂（2018）武汉市江岸不动产权第0014874号</t>
    <phoneticPr fontId="143" type="noConversion"/>
  </si>
  <si>
    <t>鄂（2018）武汉市江岸不动产权第0014842号</t>
    <phoneticPr fontId="143" type="noConversion"/>
  </si>
  <si>
    <t>鄂（2018）武汉市江岸不动产权第0014844号</t>
    <phoneticPr fontId="143" type="noConversion"/>
  </si>
  <si>
    <t>鄂（2018）武汉市江岸不动产权第0014876号</t>
    <phoneticPr fontId="143" type="noConversion"/>
  </si>
  <si>
    <t>鄂（2018）武汉市江岸不动产权第0014840号</t>
    <phoneticPr fontId="143" type="noConversion"/>
  </si>
  <si>
    <t>鄂（2018）武汉市江岸不动产权第0014871号</t>
    <phoneticPr fontId="143" type="noConversion"/>
  </si>
  <si>
    <t>鄂（2018）武汉市江岸不动产权第0014835号</t>
    <phoneticPr fontId="143" type="noConversion"/>
  </si>
  <si>
    <t>武房权证市字第2016008936号</t>
    <phoneticPr fontId="143" type="noConversion"/>
  </si>
  <si>
    <t>武房权证市字第2015029218号</t>
    <phoneticPr fontId="143" type="noConversion"/>
  </si>
  <si>
    <t>武房权证市字第2016008934号</t>
    <phoneticPr fontId="143" type="noConversion"/>
  </si>
  <si>
    <t>武房权证市字第2015037774号</t>
    <phoneticPr fontId="143" type="noConversion"/>
  </si>
  <si>
    <t>江岸区后湖大道105号统建·同安家园五期59、60号楼裙楼栋1-2层商12室</t>
    <phoneticPr fontId="143" type="noConversion"/>
  </si>
  <si>
    <r>
      <t>江岸区后湖大道105号统建·同安家园五期59、60号楼裙楼栋3层商1室（</t>
    </r>
    <r>
      <rPr>
        <sz val="11"/>
        <color theme="1"/>
        <rFont val="宋体"/>
        <family val="3"/>
        <charset val="134"/>
        <scheme val="minor"/>
      </rPr>
      <t>1层</t>
    </r>
    <r>
      <rPr>
        <sz val="11"/>
        <color theme="1"/>
        <rFont val="宋体"/>
        <family val="3"/>
        <charset val="134"/>
        <scheme val="minor"/>
      </rPr>
      <t>）</t>
    </r>
    <phoneticPr fontId="143" type="noConversion"/>
  </si>
  <si>
    <r>
      <t>江岸区后湖大道105号统建·同安家园五期59、60号楼裙楼栋3层商1室（</t>
    </r>
    <r>
      <rPr>
        <sz val="11"/>
        <color theme="1"/>
        <rFont val="宋体"/>
        <family val="3"/>
        <charset val="134"/>
        <scheme val="minor"/>
      </rPr>
      <t>2</t>
    </r>
    <r>
      <rPr>
        <sz val="11"/>
        <color theme="1"/>
        <rFont val="宋体"/>
        <family val="3"/>
        <charset val="134"/>
        <scheme val="minor"/>
      </rPr>
      <t>层）</t>
    </r>
    <phoneticPr fontId="143" type="noConversion"/>
  </si>
  <si>
    <r>
      <t>江岸区后湖大道105号统建·同安家园五期59、60号楼裙楼栋3层商1室（</t>
    </r>
    <r>
      <rPr>
        <sz val="11"/>
        <color theme="1"/>
        <rFont val="宋体"/>
        <family val="3"/>
        <charset val="134"/>
        <scheme val="minor"/>
      </rPr>
      <t>3</t>
    </r>
    <r>
      <rPr>
        <sz val="11"/>
        <color theme="1"/>
        <rFont val="宋体"/>
        <family val="3"/>
        <charset val="134"/>
        <scheme val="minor"/>
      </rPr>
      <t>层）</t>
    </r>
    <phoneticPr fontId="143" type="noConversion"/>
  </si>
  <si>
    <t>江岸区后湖大道105号统建·同安家园五期59、60号楼裙楼栋1-2层商11室</t>
    <phoneticPr fontId="143" type="noConversion"/>
  </si>
  <si>
    <t>江岸区后湖大道105号统建·同安家园五期59、60号楼裙楼栋1-4层商6室（1层）</t>
    <phoneticPr fontId="143" type="noConversion"/>
  </si>
  <si>
    <r>
      <t>江岸区后湖大道105号统建·同安家园五期59、60号楼裙楼栋1-4层商6室（</t>
    </r>
    <r>
      <rPr>
        <sz val="11"/>
        <color theme="1"/>
        <rFont val="宋体"/>
        <family val="3"/>
        <charset val="134"/>
        <scheme val="minor"/>
      </rPr>
      <t>2</t>
    </r>
    <r>
      <rPr>
        <sz val="11"/>
        <color theme="1"/>
        <rFont val="宋体"/>
        <family val="3"/>
        <charset val="134"/>
        <scheme val="minor"/>
      </rPr>
      <t>层）</t>
    </r>
    <phoneticPr fontId="143" type="noConversion"/>
  </si>
  <si>
    <r>
      <t>江岸区后湖大道105号统建·同安家园五期59、60号楼裙楼栋1-4层商6室（</t>
    </r>
    <r>
      <rPr>
        <sz val="11"/>
        <color theme="1"/>
        <rFont val="宋体"/>
        <family val="3"/>
        <charset val="134"/>
        <scheme val="minor"/>
      </rPr>
      <t>3</t>
    </r>
    <r>
      <rPr>
        <sz val="11"/>
        <color theme="1"/>
        <rFont val="宋体"/>
        <family val="3"/>
        <charset val="134"/>
        <scheme val="minor"/>
      </rPr>
      <t>层）</t>
    </r>
    <phoneticPr fontId="143" type="noConversion"/>
  </si>
  <si>
    <r>
      <t>江岸区后湖大道105号统建·同安家园五期59、60号楼裙楼栋1-4层商6室（</t>
    </r>
    <r>
      <rPr>
        <sz val="11"/>
        <color theme="1"/>
        <rFont val="宋体"/>
        <family val="3"/>
        <charset val="134"/>
        <scheme val="minor"/>
      </rPr>
      <t>4</t>
    </r>
    <r>
      <rPr>
        <sz val="11"/>
        <color theme="1"/>
        <rFont val="宋体"/>
        <family val="3"/>
        <charset val="134"/>
        <scheme val="minor"/>
      </rPr>
      <t>层）</t>
    </r>
    <phoneticPr fontId="143" type="noConversion"/>
  </si>
  <si>
    <t>岸国用（商2016）第1749号</t>
    <phoneticPr fontId="143" type="noConversion"/>
  </si>
  <si>
    <t>岸国用（商2016）第10408号</t>
    <phoneticPr fontId="143" type="noConversion"/>
  </si>
  <si>
    <t>岸国用（商2016）第1750号</t>
    <phoneticPr fontId="143" type="noConversion"/>
  </si>
  <si>
    <t>岸国用（商2016）第679号</t>
    <phoneticPr fontId="143" type="noConversion"/>
  </si>
  <si>
    <t>合计</t>
    <phoneticPr fontId="143" type="noConversion"/>
  </si>
  <si>
    <t>/</t>
    <phoneticPr fontId="143" type="noConversion"/>
  </si>
  <si>
    <t>/</t>
    <phoneticPr fontId="143" type="noConversion"/>
  </si>
  <si>
    <t>20-30（含）</t>
  </si>
  <si>
    <t>层高</t>
    <phoneticPr fontId="3" type="noConversion"/>
  </si>
  <si>
    <t>内部装修</t>
    <phoneticPr fontId="3" type="noConversion"/>
  </si>
  <si>
    <t>精装修</t>
    <phoneticPr fontId="25" type="noConversion"/>
  </si>
  <si>
    <t>普通装修</t>
    <phoneticPr fontId="25" type="noConversion"/>
  </si>
  <si>
    <t>毛坯</t>
    <phoneticPr fontId="25"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</si>
  <si>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号线后湖大道站，交通状况较好；</t>
    </r>
    <phoneticPr fontId="143" type="noConversion"/>
  </si>
  <si>
    <r>
      <t>估价对象周边路网密集度一般、停车较便捷、周边有</t>
    </r>
    <r>
      <rPr>
        <sz val="9"/>
        <color rgb="FF000000"/>
        <rFont val="Arial"/>
        <family val="2"/>
      </rPr>
      <t>265</t>
    </r>
    <r>
      <rPr>
        <sz val="9"/>
        <color rgb="FF000000"/>
        <rFont val="华文细黑"/>
        <family val="3"/>
        <charset val="134"/>
      </rPr>
      <t>、</t>
    </r>
    <r>
      <rPr>
        <sz val="9"/>
        <color rgb="FF000000"/>
        <rFont val="Arial"/>
        <family val="2"/>
      </rPr>
      <t>322</t>
    </r>
    <r>
      <rPr>
        <sz val="9"/>
        <color rgb="FF000000"/>
        <rFont val="华文细黑"/>
        <family val="3"/>
        <charset val="134"/>
      </rPr>
      <t>、</t>
    </r>
    <r>
      <rPr>
        <sz val="9"/>
        <color rgb="FF000000"/>
        <rFont val="Arial"/>
        <family val="2"/>
      </rPr>
      <t>332</t>
    </r>
    <r>
      <rPr>
        <sz val="9"/>
        <color rgb="FF000000"/>
        <rFont val="华文细黑"/>
        <family val="3"/>
        <charset val="134"/>
      </rPr>
      <t>、</t>
    </r>
    <r>
      <rPr>
        <sz val="9"/>
        <color rgb="FF000000"/>
        <rFont val="Arial"/>
        <family val="2"/>
      </rPr>
      <t>363</t>
    </r>
    <r>
      <rPr>
        <sz val="9"/>
        <color rgb="FF000000"/>
        <rFont val="华文细黑"/>
        <family val="3"/>
        <charset val="134"/>
      </rPr>
      <t>、</t>
    </r>
    <r>
      <rPr>
        <sz val="9"/>
        <color rgb="FF000000"/>
        <rFont val="Arial"/>
        <family val="2"/>
      </rPr>
      <t>516</t>
    </r>
    <r>
      <rPr>
        <sz val="9"/>
        <color rgb="FF000000"/>
        <rFont val="华文细黑"/>
        <family val="3"/>
        <charset val="134"/>
      </rPr>
      <t>、</t>
    </r>
    <r>
      <rPr>
        <sz val="9"/>
        <color rgb="FF000000"/>
        <rFont val="Arial"/>
        <family val="2"/>
      </rPr>
      <t>620</t>
    </r>
    <r>
      <rPr>
        <sz val="9"/>
        <color rgb="FF000000"/>
        <rFont val="华文细黑"/>
        <family val="3"/>
        <charset val="134"/>
      </rPr>
      <t>、</t>
    </r>
    <r>
      <rPr>
        <sz val="9"/>
        <color rgb="FF000000"/>
        <rFont val="Arial"/>
        <family val="2"/>
      </rPr>
      <t>716</t>
    </r>
    <r>
      <rPr>
        <sz val="9"/>
        <color rgb="FF000000"/>
        <rFont val="华文细黑"/>
        <family val="3"/>
        <charset val="134"/>
      </rPr>
      <t>路等多条公共线路经过，紧临轨道交通</t>
    </r>
    <r>
      <rPr>
        <sz val="9"/>
        <color rgb="FF000000"/>
        <rFont val="Arial"/>
        <family val="2"/>
      </rPr>
      <t>3</t>
    </r>
    <r>
      <rPr>
        <sz val="9"/>
        <color rgb="FF000000"/>
        <rFont val="华文细黑"/>
        <family val="3"/>
        <charset val="134"/>
      </rPr>
      <t>号线兴业路站，交通状况较好；</t>
    </r>
    <phoneticPr fontId="143" type="noConversion"/>
  </si>
  <si>
    <r>
      <t>估价对象周边</t>
    </r>
    <r>
      <rPr>
        <sz val="9"/>
        <color rgb="FF000000"/>
        <rFont val="Arial"/>
        <family val="2"/>
      </rPr>
      <t>1</t>
    </r>
    <r>
      <rPr>
        <sz val="9"/>
        <color rgb="FF000000"/>
        <rFont val="华文细黑"/>
        <family val="3"/>
        <charset val="134"/>
      </rPr>
      <t>公里内的公共服务配套设施齐备，有超市（中百超市、三峡超市、益佳超市等）、银行（工商银行、建设银行、招商银行等）、学校（一土幼儿园、武汉市育才同安小学、武汉十三中学等）、餐饮（川霸味道、黄记煌等），公共配套设施情况较好；</t>
    </r>
    <phoneticPr fontId="143" type="noConversion"/>
  </si>
  <si>
    <r>
      <t>20-30</t>
    </r>
    <r>
      <rPr>
        <sz val="9"/>
        <color rgb="FF000000"/>
        <rFont val="华文细黑"/>
        <family val="3"/>
        <charset val="134"/>
      </rPr>
      <t>（含）</t>
    </r>
    <phoneticPr fontId="143" type="noConversion"/>
  </si>
  <si>
    <t>周边有后湖公园等设施，自然环境状况较好，无博物馆、音乐厅等人文设施，自然及人文环境较好；</t>
    <phoneticPr fontId="143" type="noConversion"/>
  </si>
  <si>
    <t>周边有后湖公园等设施，自然环境状况较好，无博物馆、音乐厅等人文设施，自然及人文环境较好；</t>
    <phoneticPr fontId="143" type="noConversion"/>
  </si>
  <si>
    <t>江岸区后湖大道105号统建·同安家园五期59、60号楼裙楼栋3层商1室</t>
    <phoneticPr fontId="143" type="noConversion"/>
  </si>
  <si>
    <t>江岸区后湖大道105号统建·同安家园五期59、60号楼裙楼栋1-4层商6室</t>
    <phoneticPr fontId="143" type="noConversion"/>
  </si>
  <si>
    <t>合计</t>
    <phoneticPr fontId="143" type="noConversion"/>
  </si>
  <si>
    <t>海赋江城天韵</t>
    <phoneticPr fontId="3" type="noConversion"/>
  </si>
  <si>
    <t>汉口城市广场</t>
    <phoneticPr fontId="3" type="noConversion"/>
  </si>
</sst>
</file>

<file path=xl/styles.xml><?xml version="1.0" encoding="utf-8"?>
<styleSheet xmlns="http://schemas.openxmlformats.org/spreadsheetml/2006/main">
  <numFmts count="23">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
      <b/>
      <sz val="18"/>
      <name val="宋体"/>
      <family val="3"/>
      <charset val="134"/>
    </font>
    <font>
      <sz val="11"/>
      <color theme="1"/>
      <name val="宋体"/>
      <family val="3"/>
      <charset val="134"/>
      <scheme val="minor"/>
    </font>
    <font>
      <b/>
      <sz val="12"/>
      <color indexed="1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FFC000"/>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diagonal/>
    </border>
    <border>
      <left/>
      <right style="medium">
        <color rgb="FF404040"/>
      </right>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top style="medium">
        <color rgb="FF404040"/>
      </top>
      <bottom style="medium">
        <color indexed="64"/>
      </bottom>
      <diagonal/>
    </border>
    <border>
      <left/>
      <right style="medium">
        <color rgb="FF404040"/>
      </right>
      <top style="medium">
        <color rgb="FF404040"/>
      </top>
      <bottom style="medium">
        <color indexed="64"/>
      </bottom>
      <diagonal/>
    </border>
    <border>
      <left style="medium">
        <color rgb="FF404040"/>
      </left>
      <right style="medium">
        <color rgb="FF404040"/>
      </right>
      <top style="medium">
        <color indexed="64"/>
      </top>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7" fillId="0" borderId="0" applyFont="0" applyFill="0" applyBorder="0" applyAlignment="0" applyProtection="0">
      <alignment vertical="center"/>
    </xf>
  </cellStyleXfs>
  <cellXfs count="34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80" fillId="6" borderId="0" xfId="0" applyFont="1" applyFill="1" applyAlignment="1" applyProtection="1">
      <alignment vertical="center"/>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76" fontId="52" fillId="0" borderId="37" xfId="0" applyNumberFormat="1" applyFont="1" applyFill="1" applyBorder="1" applyAlignment="1" applyProtection="1">
      <alignment horizontal="center" vertical="center" wrapText="1"/>
      <protection locked="0"/>
    </xf>
    <xf numFmtId="49" fontId="221" fillId="17" borderId="23" xfId="0" applyNumberFormat="1" applyFont="1" applyFill="1" applyBorder="1" applyAlignment="1" applyProtection="1">
      <alignment horizontal="center" vertical="center" wrapText="1"/>
      <protection locked="0"/>
    </xf>
    <xf numFmtId="49" fontId="221" fillId="17" borderId="3" xfId="0" applyNumberFormat="1" applyFont="1" applyFill="1" applyBorder="1" applyAlignment="1" applyProtection="1">
      <alignment horizontal="center" vertical="center" wrapText="1"/>
      <protection locked="0"/>
    </xf>
    <xf numFmtId="0" fontId="132" fillId="17" borderId="3" xfId="0" applyNumberFormat="1" applyFont="1" applyFill="1" applyBorder="1" applyAlignment="1" applyProtection="1">
      <alignment horizontal="center" vertical="center" wrapText="1"/>
      <protection locked="0"/>
    </xf>
    <xf numFmtId="0" fontId="221" fillId="17" borderId="8" xfId="0" applyNumberFormat="1" applyFont="1" applyFill="1" applyBorder="1" applyAlignment="1" applyProtection="1">
      <alignment horizontal="center" vertical="center" wrapText="1"/>
    </xf>
    <xf numFmtId="0" fontId="221" fillId="17" borderId="4" xfId="0" applyNumberFormat="1" applyFont="1" applyFill="1" applyBorder="1" applyAlignment="1" applyProtection="1">
      <alignment horizontal="center" vertical="center" wrapText="1"/>
    </xf>
    <xf numFmtId="0" fontId="55" fillId="17" borderId="1" xfId="0" applyFont="1" applyFill="1" applyBorder="1" applyAlignment="1" applyProtection="1">
      <alignment horizontal="left" vertical="center" wrapText="1"/>
      <protection locked="0"/>
    </xf>
    <xf numFmtId="0" fontId="148" fillId="5" borderId="1"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0" fontId="254" fillId="0" borderId="162" xfId="0" applyFont="1" applyBorder="1" applyAlignment="1">
      <alignment vertical="center" wrapText="1"/>
    </xf>
    <xf numFmtId="0" fontId="254" fillId="0" borderId="161" xfId="0" applyFont="1" applyBorder="1" applyAlignment="1">
      <alignment horizontal="justify" vertical="center" wrapText="1"/>
    </xf>
    <xf numFmtId="0" fontId="254" fillId="0" borderId="161" xfId="0" applyFont="1" applyBorder="1" applyAlignment="1">
      <alignment vertical="top" wrapText="1"/>
    </xf>
    <xf numFmtId="0" fontId="254" fillId="0" borderId="161" xfId="0" applyFont="1" applyBorder="1" applyAlignment="1">
      <alignment vertical="center" wrapText="1"/>
    </xf>
    <xf numFmtId="57" fontId="254" fillId="0" borderId="161" xfId="0" applyNumberFormat="1" applyFont="1" applyBorder="1" applyAlignment="1">
      <alignment vertical="center" wrapText="1"/>
    </xf>
    <xf numFmtId="0" fontId="254" fillId="0" borderId="43" xfId="0" applyFont="1" applyBorder="1">
      <alignment vertical="center"/>
    </xf>
    <xf numFmtId="0" fontId="254" fillId="0" borderId="161" xfId="0" applyFont="1" applyBorder="1">
      <alignment vertical="center"/>
    </xf>
    <xf numFmtId="9" fontId="254" fillId="0" borderId="161" xfId="0" applyNumberFormat="1" applyFont="1" applyBorder="1" applyAlignment="1">
      <alignment horizontal="justify" vertical="center" wrapText="1"/>
    </xf>
    <xf numFmtId="0" fontId="254" fillId="0" borderId="161" xfId="0" applyFont="1" applyBorder="1" applyAlignment="1">
      <alignment horizontal="left" vertical="center" wrapText="1"/>
    </xf>
    <xf numFmtId="0" fontId="255" fillId="0" borderId="161" xfId="0" applyFont="1" applyBorder="1" applyAlignment="1">
      <alignment vertical="center" wrapText="1"/>
    </xf>
    <xf numFmtId="0" fontId="254" fillId="0" borderId="1" xfId="0" applyFont="1" applyBorder="1" applyAlignment="1">
      <alignment vertical="center" wrapText="1"/>
    </xf>
    <xf numFmtId="0" fontId="255" fillId="0" borderId="1" xfId="0" applyFont="1" applyBorder="1" applyAlignment="1">
      <alignment vertical="center" wrapText="1"/>
    </xf>
    <xf numFmtId="0" fontId="254" fillId="0" borderId="1" xfId="0" applyFont="1" applyBorder="1">
      <alignment vertical="center"/>
    </xf>
    <xf numFmtId="0" fontId="255" fillId="0" borderId="170" xfId="0" applyFont="1" applyBorder="1" applyAlignment="1">
      <alignment vertical="center" wrapText="1"/>
    </xf>
    <xf numFmtId="0" fontId="148" fillId="7" borderId="63" xfId="0" applyFont="1" applyFill="1" applyBorder="1" applyAlignment="1" applyProtection="1">
      <alignment vertical="center" wrapText="1"/>
      <protection locked="0"/>
    </xf>
    <xf numFmtId="0" fontId="56" fillId="7" borderId="64" xfId="0" applyFont="1" applyFill="1" applyBorder="1" applyAlignment="1" applyProtection="1">
      <alignment vertical="center" wrapText="1"/>
      <protection locked="0"/>
    </xf>
    <xf numFmtId="0" fontId="56" fillId="7" borderId="65" xfId="0" applyFont="1" applyFill="1" applyBorder="1" applyAlignment="1" applyProtection="1">
      <alignment horizontal="left" vertical="center" wrapText="1"/>
      <protection locked="0"/>
    </xf>
    <xf numFmtId="0" fontId="108" fillId="6" borderId="82" xfId="0" applyFont="1" applyFill="1" applyBorder="1" applyAlignment="1" applyProtection="1">
      <alignment horizontal="center" vertical="center" wrapText="1"/>
    </xf>
    <xf numFmtId="0" fontId="56" fillId="6" borderId="6" xfId="0" applyFont="1" applyFill="1" applyBorder="1" applyAlignment="1" applyProtection="1">
      <alignment vertical="center" wrapText="1"/>
    </xf>
    <xf numFmtId="0" fontId="56" fillId="6" borderId="6" xfId="0" applyFont="1" applyFill="1" applyBorder="1" applyAlignment="1" applyProtection="1">
      <alignment horizontal="left" vertical="center" wrapText="1"/>
      <protection locked="0"/>
    </xf>
    <xf numFmtId="0" fontId="56" fillId="6" borderId="10" xfId="0" applyFont="1" applyFill="1" applyBorder="1" applyAlignment="1" applyProtection="1">
      <alignment horizontal="center" vertical="center" wrapText="1"/>
    </xf>
    <xf numFmtId="0" fontId="105" fillId="5" borderId="24" xfId="0" applyFont="1" applyFill="1" applyBorder="1" applyAlignment="1" applyProtection="1">
      <alignment horizontal="center" wrapText="1"/>
      <protection locked="0"/>
    </xf>
    <xf numFmtId="0" fontId="105" fillId="6" borderId="23" xfId="0" applyFont="1" applyFill="1" applyBorder="1" applyAlignment="1" applyProtection="1">
      <alignment horizontal="left" wrapText="1"/>
      <protection locked="0"/>
    </xf>
    <xf numFmtId="0" fontId="56" fillId="7" borderId="24" xfId="0" applyFont="1" applyFill="1" applyBorder="1" applyAlignment="1" applyProtection="1">
      <alignment horizontal="center" vertical="center" wrapText="1"/>
      <protection locked="0"/>
    </xf>
    <xf numFmtId="0" fontId="105" fillId="6" borderId="24" xfId="0" applyFont="1" applyFill="1" applyBorder="1" applyAlignment="1" applyProtection="1">
      <alignment horizontal="center" wrapText="1"/>
    </xf>
    <xf numFmtId="49" fontId="56" fillId="6" borderId="23"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23" xfId="0" applyFont="1" applyFill="1" applyBorder="1" applyAlignment="1" applyProtection="1">
      <alignment vertical="center" wrapText="1"/>
      <protection locked="0"/>
    </xf>
    <xf numFmtId="195" fontId="56" fillId="6" borderId="24" xfId="0" applyNumberFormat="1" applyFont="1" applyFill="1" applyBorder="1" applyAlignment="1" applyProtection="1">
      <alignment horizontal="center" vertical="center" wrapText="1"/>
    </xf>
    <xf numFmtId="10" fontId="56" fillId="0" borderId="49" xfId="0" applyNumberFormat="1" applyFont="1" applyFill="1" applyBorder="1" applyAlignment="1" applyProtection="1">
      <alignment horizontal="center" vertical="center" wrapText="1"/>
      <protection locked="0"/>
    </xf>
    <xf numFmtId="0" fontId="56" fillId="6" borderId="84" xfId="0" applyFont="1" applyFill="1" applyBorder="1" applyAlignment="1" applyProtection="1">
      <alignment horizontal="center" vertical="center" wrapText="1"/>
    </xf>
    <xf numFmtId="0" fontId="120" fillId="6" borderId="0" xfId="0" applyFont="1" applyFill="1" applyAlignment="1" applyProtection="1">
      <alignment vertical="center" wrapText="1"/>
      <protection locked="0"/>
    </xf>
    <xf numFmtId="181" fontId="56" fillId="6" borderId="9"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center" vertical="center" wrapText="1"/>
    </xf>
    <xf numFmtId="0" fontId="56" fillId="5" borderId="21"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center" vertical="center" wrapText="1"/>
      <protection locked="0"/>
    </xf>
    <xf numFmtId="181" fontId="56" fillId="6" borderId="5"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6" fillId="6" borderId="49" xfId="0" applyFont="1" applyFill="1" applyBorder="1" applyAlignment="1" applyProtection="1">
      <alignment horizontal="center" vertical="center" wrapText="1"/>
    </xf>
    <xf numFmtId="0" fontId="5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44" fillId="0" borderId="1" xfId="0" applyFont="1" applyBorder="1" applyAlignment="1">
      <alignment horizontal="center"/>
    </xf>
    <xf numFmtId="0" fontId="144" fillId="0" borderId="1" xfId="0" applyFont="1" applyBorder="1" applyAlignment="1">
      <alignment horizontal="center" vertical="center"/>
    </xf>
    <xf numFmtId="0" fontId="144" fillId="0" borderId="1" xfId="0" applyFont="1" applyBorder="1" applyAlignment="1"/>
    <xf numFmtId="0" fontId="144" fillId="0" borderId="0" xfId="0" applyFont="1" applyAlignment="1"/>
    <xf numFmtId="0" fontId="0" fillId="0" borderId="1" xfId="0" applyBorder="1" applyAlignment="1">
      <alignment horizontal="center" vertical="center"/>
    </xf>
    <xf numFmtId="0" fontId="0" fillId="0" borderId="1" xfId="0" applyFont="1" applyBorder="1" applyAlignment="1">
      <alignment horizontal="center" vertical="center"/>
    </xf>
    <xf numFmtId="179" fontId="0" fillId="0" borderId="1" xfId="0" applyNumberFormat="1" applyBorder="1" applyAlignment="1">
      <alignment horizontal="center" vertical="center"/>
    </xf>
    <xf numFmtId="0" fontId="0" fillId="0" borderId="1" xfId="0" applyBorder="1" applyAlignment="1"/>
    <xf numFmtId="0" fontId="0" fillId="0" borderId="1" xfId="0" applyBorder="1" applyAlignment="1">
      <alignment horizontal="center"/>
    </xf>
    <xf numFmtId="49" fontId="63" fillId="0" borderId="1" xfId="0" applyNumberFormat="1" applyFont="1" applyFill="1" applyBorder="1" applyAlignment="1" applyProtection="1">
      <alignment horizontal="center" vertical="center"/>
      <protection locked="0"/>
    </xf>
    <xf numFmtId="0" fontId="63" fillId="0" borderId="1" xfId="0" applyNumberFormat="1" applyFont="1" applyFill="1" applyBorder="1" applyAlignment="1" applyProtection="1">
      <alignment horizontal="center" vertical="center"/>
      <protection locked="0"/>
    </xf>
    <xf numFmtId="179" fontId="144" fillId="0" borderId="1" xfId="0" applyNumberFormat="1" applyFont="1" applyBorder="1" applyAlignment="1">
      <alignment horizontal="center"/>
    </xf>
    <xf numFmtId="0" fontId="63" fillId="18" borderId="1" xfId="0" applyNumberFormat="1" applyFont="1" applyFill="1" applyBorder="1" applyAlignment="1" applyProtection="1">
      <alignment horizontal="center" vertical="center"/>
      <protection locked="0"/>
    </xf>
    <xf numFmtId="0" fontId="63" fillId="18" borderId="1" xfId="0" applyFont="1" applyFill="1" applyBorder="1" applyAlignment="1" applyProtection="1">
      <alignment horizontal="center" vertical="center"/>
      <protection locked="0"/>
    </xf>
    <xf numFmtId="0" fontId="50" fillId="18" borderId="1"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55" fillId="18" borderId="1" xfId="0" applyFont="1" applyFill="1" applyBorder="1" applyAlignment="1" applyProtection="1">
      <alignment horizontal="center" vertical="center"/>
    </xf>
    <xf numFmtId="0" fontId="50" fillId="18" borderId="0" xfId="0" applyFont="1" applyFill="1" applyProtection="1">
      <alignment vertical="center"/>
      <protection locked="0"/>
    </xf>
    <xf numFmtId="0" fontId="63" fillId="18" borderId="0" xfId="0" applyFont="1" applyFill="1" applyProtection="1">
      <alignment vertical="center"/>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197" fontId="144" fillId="0" borderId="13" xfId="13" applyNumberFormat="1" applyFont="1" applyFill="1" applyBorder="1" applyAlignment="1">
      <alignment horizontal="center" vertical="center" wrapText="1"/>
    </xf>
    <xf numFmtId="197" fontId="144" fillId="0" borderId="1" xfId="13" applyNumberFormat="1" applyFont="1" applyFill="1" applyBorder="1" applyAlignment="1">
      <alignment horizontal="center" vertical="center" wrapText="1"/>
    </xf>
    <xf numFmtId="0" fontId="144" fillId="0" borderId="1" xfId="0" applyFont="1" applyBorder="1" applyAlignment="1">
      <alignment vertical="center"/>
    </xf>
    <xf numFmtId="0" fontId="144" fillId="0" borderId="0" xfId="0" applyFont="1" applyAlignment="1">
      <alignment vertical="center"/>
    </xf>
    <xf numFmtId="0" fontId="0" fillId="5" borderId="1" xfId="0" applyFill="1" applyBorder="1" applyAlignment="1">
      <alignment horizontal="center" vertical="center"/>
    </xf>
    <xf numFmtId="179" fontId="0" fillId="5" borderId="1" xfId="0" applyNumberFormat="1" applyFill="1" applyBorder="1" applyAlignment="1">
      <alignment horizontal="center" vertical="center"/>
    </xf>
    <xf numFmtId="0" fontId="0" fillId="5" borderId="1" xfId="0" applyFill="1" applyBorder="1" applyAlignment="1">
      <alignment horizontal="center"/>
    </xf>
    <xf numFmtId="0" fontId="0" fillId="5" borderId="1" xfId="0" applyFill="1" applyBorder="1" applyAlignment="1">
      <alignment horizontal="center" vertical="center" wrapText="1"/>
    </xf>
    <xf numFmtId="0" fontId="0" fillId="0" borderId="1" xfId="0" applyFont="1" applyFill="1" applyBorder="1" applyAlignment="1">
      <alignment horizontal="center" vertical="center"/>
    </xf>
    <xf numFmtId="0" fontId="0" fillId="0" borderId="1" xfId="0" applyFill="1" applyBorder="1" applyAlignment="1">
      <alignment horizontal="center" vertical="center"/>
    </xf>
    <xf numFmtId="0" fontId="144" fillId="0" borderId="1" xfId="0" applyFont="1" applyFill="1" applyBorder="1" applyAlignment="1">
      <alignment horizontal="center" vertical="center"/>
    </xf>
    <xf numFmtId="0" fontId="258" fillId="0" borderId="1" xfId="0" applyFont="1" applyBorder="1" applyAlignment="1">
      <alignment horizontal="center"/>
    </xf>
    <xf numFmtId="0" fontId="99" fillId="5" borderId="1" xfId="0" applyFont="1" applyFill="1" applyBorder="1" applyAlignment="1">
      <alignment horizontal="center" vertical="center" wrapText="1"/>
    </xf>
    <xf numFmtId="177" fontId="0" fillId="5" borderId="1" xfId="0" applyNumberFormat="1" applyFill="1" applyBorder="1" applyAlignment="1">
      <alignment horizontal="center" vertical="center"/>
    </xf>
    <xf numFmtId="0" fontId="99" fillId="5" borderId="1" xfId="0" applyFont="1" applyFill="1" applyBorder="1" applyAlignment="1">
      <alignment horizontal="center" vertical="center"/>
    </xf>
    <xf numFmtId="0" fontId="259" fillId="0" borderId="162" xfId="0" applyFont="1" applyBorder="1" applyAlignment="1">
      <alignment vertical="center" wrapText="1"/>
    </xf>
    <xf numFmtId="0" fontId="259" fillId="0" borderId="161" xfId="0" applyFont="1" applyBorder="1" applyAlignment="1">
      <alignment vertical="center" wrapText="1"/>
    </xf>
    <xf numFmtId="57" fontId="260" fillId="0" borderId="161" xfId="0" applyNumberFormat="1" applyFont="1" applyBorder="1" applyAlignment="1">
      <alignment vertical="center" wrapText="1"/>
    </xf>
    <xf numFmtId="0" fontId="260" fillId="0" borderId="161" xfId="0" applyFont="1" applyBorder="1" applyAlignment="1">
      <alignment vertical="center" wrapText="1"/>
    </xf>
    <xf numFmtId="9" fontId="260" fillId="0" borderId="161" xfId="0" applyNumberFormat="1" applyFont="1" applyBorder="1" applyAlignment="1">
      <alignment vertical="center" wrapText="1"/>
    </xf>
    <xf numFmtId="179" fontId="108" fillId="17" borderId="1" xfId="0" applyNumberFormat="1" applyFont="1" applyFill="1" applyBorder="1" applyAlignment="1" applyProtection="1">
      <alignment horizontal="center" vertical="center" wrapText="1"/>
      <protection locked="0"/>
    </xf>
    <xf numFmtId="0" fontId="115" fillId="5" borderId="3" xfId="0" applyNumberFormat="1" applyFont="1" applyFill="1" applyBorder="1" applyAlignment="1" applyProtection="1">
      <alignment horizontal="center" vertical="center" wrapText="1"/>
      <protection locked="0"/>
    </xf>
    <xf numFmtId="0" fontId="115" fillId="5" borderId="5" xfId="0" applyNumberFormat="1" applyFont="1" applyFill="1" applyBorder="1" applyAlignment="1" applyProtection="1">
      <alignment horizontal="center" vertical="center" wrapText="1"/>
    </xf>
    <xf numFmtId="0" fontId="115" fillId="5" borderId="23" xfId="0" applyNumberFormat="1" applyFont="1" applyFill="1" applyBorder="1" applyAlignment="1" applyProtection="1">
      <alignment horizontal="center" vertical="center" wrapText="1"/>
      <protection locked="0"/>
    </xf>
    <xf numFmtId="0" fontId="115" fillId="5" borderId="24"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center" vertical="center" wrapText="1"/>
      <protection locked="0"/>
    </xf>
    <xf numFmtId="0" fontId="148" fillId="5" borderId="9" xfId="0" applyNumberFormat="1" applyFont="1" applyFill="1" applyBorder="1" applyAlignment="1" applyProtection="1">
      <alignment horizontal="center" vertical="center" wrapText="1"/>
      <protection locked="0"/>
    </xf>
    <xf numFmtId="0" fontId="148" fillId="5" borderId="25" xfId="0" applyNumberFormat="1" applyFont="1" applyFill="1" applyBorder="1" applyAlignment="1" applyProtection="1">
      <alignment horizontal="center" vertical="center" wrapText="1"/>
      <protection locked="0"/>
    </xf>
    <xf numFmtId="0" fontId="148" fillId="5" borderId="32" xfId="0" applyNumberFormat="1" applyFont="1" applyFill="1" applyBorder="1" applyAlignment="1" applyProtection="1">
      <alignment horizontal="center" vertical="center" wrapText="1"/>
      <protection locked="0"/>
    </xf>
    <xf numFmtId="0" fontId="115" fillId="5" borderId="44" xfId="0" applyNumberFormat="1" applyFont="1" applyFill="1" applyBorder="1" applyAlignment="1" applyProtection="1">
      <alignment horizontal="center" vertical="center" wrapText="1"/>
      <protection locked="0"/>
    </xf>
    <xf numFmtId="0" fontId="115" fillId="5" borderId="78" xfId="0" applyNumberFormat="1" applyFont="1" applyFill="1" applyBorder="1" applyAlignment="1" applyProtection="1">
      <alignment horizontal="center" vertical="center" wrapText="1"/>
      <protection locked="0"/>
    </xf>
    <xf numFmtId="0" fontId="148" fillId="5" borderId="23" xfId="0" applyNumberFormat="1" applyFont="1" applyFill="1" applyBorder="1" applyAlignment="1" applyProtection="1">
      <alignment horizontal="center" vertical="center" wrapText="1"/>
      <protection locked="0"/>
    </xf>
    <xf numFmtId="0" fontId="148" fillId="5" borderId="1" xfId="0" applyNumberFormat="1" applyFont="1" applyFill="1" applyBorder="1" applyAlignment="1" applyProtection="1">
      <alignment horizontal="center" vertical="center" wrapText="1"/>
      <protection locked="0"/>
    </xf>
    <xf numFmtId="0" fontId="148" fillId="5" borderId="11" xfId="0" applyNumberFormat="1" applyFont="1" applyFill="1" applyBorder="1" applyAlignment="1" applyProtection="1">
      <alignment horizontal="center" vertical="center" wrapText="1"/>
      <protection locked="0"/>
    </xf>
    <xf numFmtId="0" fontId="148" fillId="5" borderId="13" xfId="0" applyNumberFormat="1" applyFont="1" applyFill="1" applyBorder="1" applyAlignment="1" applyProtection="1">
      <alignment horizontal="center" vertical="center" wrapText="1"/>
      <protection locked="0"/>
    </xf>
    <xf numFmtId="176" fontId="115" fillId="5" borderId="44" xfId="0" applyNumberFormat="1" applyFont="1" applyFill="1" applyBorder="1" applyAlignment="1" applyProtection="1">
      <alignment horizontal="center" vertical="center" wrapText="1"/>
      <protection locked="0"/>
    </xf>
    <xf numFmtId="0" fontId="0" fillId="9" borderId="2" xfId="0" applyFill="1" applyBorder="1" applyAlignment="1"/>
    <xf numFmtId="49" fontId="0" fillId="9" borderId="2" xfId="0" applyNumberFormat="1" applyFill="1" applyBorder="1" applyAlignment="1"/>
    <xf numFmtId="179" fontId="0" fillId="9" borderId="2" xfId="0" applyNumberFormat="1" applyFill="1" applyBorder="1" applyAlignment="1">
      <alignment horizontal="center"/>
    </xf>
    <xf numFmtId="0" fontId="0" fillId="9" borderId="0" xfId="0" applyFill="1" applyAlignment="1"/>
    <xf numFmtId="0" fontId="0" fillId="9" borderId="1" xfId="0" applyFill="1" applyBorder="1" applyAlignment="1"/>
    <xf numFmtId="49" fontId="0" fillId="9" borderId="1" xfId="0" applyNumberFormat="1" applyFill="1" applyBorder="1" applyAlignment="1"/>
    <xf numFmtId="179" fontId="0" fillId="9" borderId="1" xfId="0" applyNumberFormat="1" applyFill="1" applyBorder="1" applyAlignment="1">
      <alignment horizontal="center"/>
    </xf>
    <xf numFmtId="0" fontId="0" fillId="5" borderId="0" xfId="0" applyFill="1" applyAlignment="1"/>
    <xf numFmtId="49" fontId="0" fillId="5" borderId="0" xfId="0" applyNumberFormat="1" applyFill="1" applyAlignment="1"/>
    <xf numFmtId="179" fontId="0" fillId="5" borderId="0" xfId="0" applyNumberFormat="1" applyFill="1" applyAlignment="1">
      <alignment horizontal="center"/>
    </xf>
    <xf numFmtId="0" fontId="99" fillId="9" borderId="1" xfId="0" applyFont="1" applyFill="1" applyBorder="1" applyAlignment="1"/>
    <xf numFmtId="0" fontId="0" fillId="0" borderId="36" xfId="0" applyBorder="1" applyAlignment="1">
      <alignment horizontal="center" vertical="center" wrapText="1"/>
    </xf>
    <xf numFmtId="179" fontId="0" fillId="9" borderId="0" xfId="0" applyNumberFormat="1" applyFill="1" applyBorder="1" applyAlignment="1">
      <alignment horizontal="center"/>
    </xf>
    <xf numFmtId="0" fontId="99" fillId="9" borderId="2" xfId="0" applyFont="1" applyFill="1" applyBorder="1" applyAlignment="1"/>
    <xf numFmtId="0" fontId="99" fillId="0" borderId="0" xfId="0" applyFont="1" applyAlignment="1"/>
    <xf numFmtId="49" fontId="99" fillId="7" borderId="5" xfId="0" applyNumberFormat="1" applyFont="1" applyFill="1" applyBorder="1" applyAlignment="1"/>
    <xf numFmtId="49" fontId="0" fillId="7" borderId="5" xfId="0" applyNumberFormat="1" applyFill="1" applyBorder="1" applyAlignment="1"/>
    <xf numFmtId="0" fontId="99" fillId="7" borderId="1" xfId="0" applyFont="1" applyFill="1" applyBorder="1" applyAlignment="1">
      <alignment wrapText="1"/>
    </xf>
    <xf numFmtId="49" fontId="99" fillId="7" borderId="1" xfId="0" applyNumberFormat="1" applyFont="1" applyFill="1" applyBorder="1" applyAlignment="1">
      <alignment wrapText="1"/>
    </xf>
    <xf numFmtId="0" fontId="0" fillId="7" borderId="1" xfId="0" applyFill="1" applyBorder="1" applyAlignment="1">
      <alignment wrapText="1"/>
    </xf>
    <xf numFmtId="179" fontId="0" fillId="7" borderId="1" xfId="0" applyNumberFormat="1" applyFill="1" applyBorder="1" applyAlignment="1">
      <alignment horizontal="center" wrapText="1"/>
    </xf>
    <xf numFmtId="49" fontId="0" fillId="7" borderId="1" xfId="0" applyNumberFormat="1" applyFill="1" applyBorder="1" applyAlignment="1">
      <alignment wrapText="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center" vertical="center" wrapText="1"/>
      <protection locked="0"/>
    </xf>
    <xf numFmtId="0" fontId="63" fillId="0" borderId="1" xfId="0" applyFont="1" applyFill="1" applyBorder="1" applyAlignment="1" applyProtection="1">
      <alignment horizontal="center" vertical="center" wrapText="1"/>
      <protection locked="0"/>
    </xf>
    <xf numFmtId="0" fontId="63" fillId="6" borderId="1"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protection locked="0"/>
    </xf>
    <xf numFmtId="0" fontId="63" fillId="0" borderId="1" xfId="0" applyNumberFormat="1" applyFont="1" applyBorder="1" applyAlignment="1" applyProtection="1">
      <alignment horizontal="center" vertical="center" wrapText="1"/>
      <protection locked="0"/>
    </xf>
    <xf numFmtId="0" fontId="55" fillId="6"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5" borderId="36" xfId="0" applyFill="1" applyBorder="1" applyAlignment="1">
      <alignment horizontal="center"/>
    </xf>
    <xf numFmtId="0" fontId="256" fillId="0" borderId="60" xfId="0" applyFont="1" applyBorder="1" applyAlignment="1">
      <alignment horizontal="center"/>
    </xf>
    <xf numFmtId="0" fontId="37" fillId="0" borderId="13" xfId="0" applyFont="1" applyBorder="1" applyAlignment="1">
      <alignment horizontal="center" vertical="center"/>
    </xf>
    <xf numFmtId="0" fontId="0" fillId="0" borderId="15" xfId="0" applyBorder="1" applyAlignment="1">
      <alignment horizontal="center" vertical="center"/>
    </xf>
    <xf numFmtId="0" fontId="0" fillId="0" borderId="15" xfId="0" applyBorder="1" applyAlignment="1"/>
    <xf numFmtId="0" fontId="0" fillId="0" borderId="13" xfId="0" applyBorder="1" applyAlignment="1">
      <alignment horizontal="center" vertical="center"/>
    </xf>
    <xf numFmtId="0" fontId="0" fillId="0" borderId="2" xfId="0" applyBorder="1" applyAlignment="1">
      <alignment horizontal="center" vertical="center"/>
    </xf>
    <xf numFmtId="0" fontId="0" fillId="0" borderId="22" xfId="0" applyBorder="1" applyAlignment="1">
      <alignment horizontal="center" vertical="center"/>
    </xf>
    <xf numFmtId="0" fontId="0" fillId="0" borderId="35" xfId="0" applyBorder="1" applyAlignment="1">
      <alignment horizontal="center" vertical="center"/>
    </xf>
    <xf numFmtId="0" fontId="0" fillId="0" borderId="7" xfId="0" applyBorder="1" applyAlignment="1">
      <alignment horizontal="center" vertical="center"/>
    </xf>
    <xf numFmtId="0" fontId="259" fillId="0" borderId="169" xfId="0" applyFont="1" applyBorder="1" applyAlignment="1">
      <alignment vertical="center" wrapText="1"/>
    </xf>
    <xf numFmtId="0" fontId="259" fillId="0" borderId="164" xfId="0" applyFont="1" applyBorder="1" applyAlignment="1">
      <alignment vertical="center" wrapText="1"/>
    </xf>
    <xf numFmtId="0" fontId="259" fillId="0" borderId="163" xfId="0" applyFont="1" applyBorder="1" applyAlignment="1">
      <alignment vertical="center" wrapText="1"/>
    </xf>
    <xf numFmtId="0" fontId="259" fillId="0" borderId="156" xfId="0" applyFont="1" applyBorder="1" applyAlignment="1">
      <alignment vertical="center" wrapText="1"/>
    </xf>
    <xf numFmtId="0" fontId="259" fillId="0" borderId="157" xfId="0" applyFont="1" applyBorder="1" applyAlignment="1">
      <alignment vertical="center" wrapText="1"/>
    </xf>
    <xf numFmtId="0" fontId="259" fillId="0" borderId="158" xfId="0" applyFont="1" applyBorder="1" applyAlignment="1">
      <alignment vertical="center" wrapText="1"/>
    </xf>
    <xf numFmtId="0" fontId="259" fillId="0" borderId="159" xfId="0" applyFont="1" applyBorder="1" applyAlignment="1">
      <alignment vertical="center" wrapText="1"/>
    </xf>
    <xf numFmtId="0" fontId="259" fillId="0" borderId="160" xfId="0" applyFont="1" applyBorder="1" applyAlignment="1">
      <alignment vertical="center" wrapText="1"/>
    </xf>
    <xf numFmtId="0" fontId="259" fillId="0" borderId="161" xfId="0" applyFont="1" applyBorder="1" applyAlignment="1">
      <alignment vertical="center" wrapText="1"/>
    </xf>
    <xf numFmtId="0" fontId="259" fillId="0" borderId="165" xfId="0" applyFont="1" applyBorder="1" applyAlignment="1">
      <alignment vertical="center" wrapText="1"/>
    </xf>
    <xf numFmtId="0" fontId="259" fillId="0" borderId="162" xfId="0" applyFont="1" applyBorder="1" applyAlignment="1">
      <alignment vertical="center" wrapText="1"/>
    </xf>
    <xf numFmtId="0" fontId="254" fillId="0" borderId="165" xfId="0" applyFont="1" applyBorder="1" applyAlignment="1">
      <alignment vertical="center" wrapText="1"/>
    </xf>
    <xf numFmtId="0" fontId="254" fillId="0" borderId="162" xfId="0" applyFont="1" applyBorder="1" applyAlignment="1">
      <alignment vertical="center" wrapText="1"/>
    </xf>
    <xf numFmtId="0" fontId="254" fillId="0" borderId="165" xfId="0" applyFont="1" applyBorder="1">
      <alignment vertical="center"/>
    </xf>
    <xf numFmtId="0" fontId="254" fillId="0" borderId="162" xfId="0" applyFont="1" applyBorder="1">
      <alignment vertical="center"/>
    </xf>
    <xf numFmtId="0" fontId="254" fillId="0" borderId="169" xfId="0" applyFont="1" applyBorder="1" applyAlignment="1">
      <alignment vertical="center" wrapText="1"/>
    </xf>
    <xf numFmtId="0" fontId="254" fillId="0" borderId="164" xfId="0" applyFont="1" applyBorder="1" applyAlignment="1">
      <alignment vertical="center" wrapText="1"/>
    </xf>
    <xf numFmtId="0" fontId="254" fillId="0" borderId="163" xfId="0" applyFont="1" applyBorder="1" applyAlignment="1">
      <alignment vertical="center" wrapText="1"/>
    </xf>
    <xf numFmtId="0" fontId="254" fillId="0" borderId="165" xfId="0" applyFont="1" applyBorder="1" applyAlignment="1">
      <alignment vertical="top" wrapText="1"/>
    </xf>
    <xf numFmtId="0" fontId="254" fillId="0" borderId="162" xfId="0" applyFont="1" applyBorder="1" applyAlignment="1">
      <alignment vertical="top" wrapText="1"/>
    </xf>
    <xf numFmtId="0" fontId="254" fillId="0" borderId="165" xfId="0" applyFont="1" applyBorder="1" applyAlignment="1"/>
    <xf numFmtId="0" fontId="254" fillId="0" borderId="162" xfId="0" applyFont="1" applyBorder="1" applyAlignment="1"/>
    <xf numFmtId="0" fontId="254" fillId="0" borderId="169" xfId="0" applyFont="1" applyBorder="1" applyAlignment="1">
      <alignment horizontal="center" vertical="center" wrapText="1"/>
    </xf>
    <xf numFmtId="0" fontId="254" fillId="0" borderId="164" xfId="0" applyFont="1" applyBorder="1" applyAlignment="1">
      <alignment horizontal="center" vertical="center" wrapText="1"/>
    </xf>
    <xf numFmtId="0" fontId="254" fillId="0" borderId="163" xfId="0" applyFont="1" applyBorder="1" applyAlignment="1">
      <alignment horizontal="center" vertical="center" wrapText="1"/>
    </xf>
    <xf numFmtId="0" fontId="254" fillId="0" borderId="1" xfId="0" applyFont="1" applyBorder="1">
      <alignment vertical="center"/>
    </xf>
    <xf numFmtId="0" fontId="254" fillId="0" borderId="1" xfId="0" applyFont="1" applyBorder="1" applyAlignment="1">
      <alignment vertical="center" wrapText="1"/>
    </xf>
    <xf numFmtId="0" fontId="254" fillId="0" borderId="1" xfId="0" applyFont="1" applyBorder="1" applyAlignment="1">
      <alignment horizontal="center" vertical="center" wrapText="1"/>
    </xf>
    <xf numFmtId="0" fontId="254" fillId="0" borderId="156" xfId="0" applyFont="1" applyBorder="1">
      <alignment vertical="center"/>
    </xf>
    <xf numFmtId="0" fontId="254" fillId="0" borderId="157" xfId="0" applyFont="1" applyBorder="1">
      <alignment vertical="center"/>
    </xf>
    <xf numFmtId="0" fontId="254" fillId="0" borderId="158" xfId="0" applyFont="1" applyBorder="1">
      <alignment vertical="center"/>
    </xf>
    <xf numFmtId="0" fontId="254" fillId="0" borderId="159" xfId="0" applyFont="1" applyBorder="1">
      <alignment vertical="center"/>
    </xf>
    <xf numFmtId="0" fontId="254" fillId="0" borderId="160" xfId="0" applyFont="1" applyBorder="1">
      <alignment vertical="center"/>
    </xf>
    <xf numFmtId="0" fontId="254" fillId="0" borderId="161" xfId="0" applyFont="1" applyBorder="1">
      <alignment vertical="center"/>
    </xf>
    <xf numFmtId="0" fontId="254" fillId="0" borderId="166" xfId="0" applyFont="1" applyBorder="1">
      <alignment vertical="center"/>
    </xf>
    <xf numFmtId="0" fontId="254" fillId="0" borderId="167" xfId="0" applyFont="1" applyBorder="1">
      <alignment vertical="center"/>
    </xf>
    <xf numFmtId="0" fontId="254" fillId="0" borderId="27" xfId="0" applyFont="1" applyBorder="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168" xfId="0" applyFont="1" applyBorder="1" applyAlignment="1">
      <alignment horizontal="center" vertical="center" wrapText="1"/>
    </xf>
    <xf numFmtId="179" fontId="0" fillId="0" borderId="1" xfId="0" applyNumberFormat="1" applyBorder="1" applyAlignment="1"/>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 sqref="B1:B1048576"/>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湖北省武汉市房地产抵押价值预评估</v>
      </c>
    </row>
    <row r="3" spans="1:2" s="1588" customFormat="1">
      <c r="A3" s="1586" t="s">
        <v>1221</v>
      </c>
      <c r="B3" s="1587" t="str">
        <f>'预评函-封皮'!B40</f>
        <v>中信信托有限责任公司</v>
      </c>
    </row>
    <row r="4" spans="1:2" s="1588" customFormat="1">
      <c r="A4" s="1586" t="s">
        <v>1222</v>
      </c>
      <c r="B4" s="1587" t="str">
        <f ca="1">'预评函-封皮'!B46</f>
        <v>郑燚（注册号：1120070131)、王萌（注册号：1120130048)</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受贵公司委托，我公司对湖北省武汉市房地产抵押价值进行了预评估。</v>
      </c>
    </row>
    <row r="7" spans="1:2" s="1588" customFormat="1">
      <c r="A7" s="1586" t="s">
        <v>1264</v>
      </c>
      <c r="B7" s="1587" t="str">
        <f>'预评函-1'!A7</f>
        <v>估价对象为湖北省武汉市房地产，为武汉统建所有。根据，估价对象（分摊）出让国有建设用地使用权面积为1832.22平方米，建筑面积为14099.39平方米。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估价对象为湖北省武汉市房地产,属武汉统建开发建设的商业项目，该项目尚在开发建设中。根据，估价对象（分摊）出让国有建设用地使用权面积为1832.22平方米，规划建筑面积为14099.39平方米。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8" customFormat="1">
      <c r="A12" s="1586" t="s">
        <v>1226</v>
      </c>
      <c r="B12" s="1587" t="str">
        <f>'预评函-1'!A15</f>
        <v>2018年4月19日（评估专业人员实地查勘之日）</v>
      </c>
    </row>
    <row r="13" spans="1:2" s="1588" customFormat="1">
      <c r="A13" s="1586" t="s">
        <v>1227</v>
      </c>
      <c r="B13" s="1587" t="str">
        <f>'预评函-1'!A18</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本次估价的“房地产抵押价值”是指估价对象在价值时点的“房地产价值”扣减估价师于价值时点所知悉的法定优先受偿款后的余额。</v>
      </c>
    </row>
    <row r="16" spans="1:2" s="1588" customFormat="1">
      <c r="A16" s="1586" t="s">
        <v>1230</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1231</v>
      </c>
      <c r="B17" s="1587" t="str">
        <f>'预评函-1'!A22</f>
        <v/>
      </c>
    </row>
    <row r="18" spans="1:2" s="1582" customFormat="1" ht="15" thickBot="1">
      <c r="A18" s="1589" t="s">
        <v>1232</v>
      </c>
      <c r="B18" s="1590" t="str">
        <f>'预评函-1'!A24</f>
        <v>本次评估采用的主估价方法为收益法和比较法。</v>
      </c>
    </row>
    <row r="19" spans="1:2" s="1585" customFormat="1" ht="15" thickTop="1">
      <c r="A19" s="1583" t="s">
        <v>1233</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1234</v>
      </c>
      <c r="B20" s="1587">
        <f ca="1">'预评函-2'!D5</f>
        <v>2221</v>
      </c>
    </row>
    <row r="21" spans="1:2" s="1588" customFormat="1">
      <c r="A21" s="1586" t="s">
        <v>1235</v>
      </c>
      <c r="B21" s="1587">
        <f ca="1">'预评函-2'!D7</f>
        <v>28093</v>
      </c>
    </row>
    <row r="22" spans="1:2" s="1588" customFormat="1">
      <c r="A22" s="1586" t="s">
        <v>1236</v>
      </c>
      <c r="B22" s="1587" t="str">
        <f ca="1">'预评函-2'!D6</f>
        <v>贰仟贰佰贰拾壹万元整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2221</v>
      </c>
    </row>
    <row r="31" spans="1:2" s="1588" customFormat="1">
      <c r="A31" s="1586" t="s">
        <v>1274</v>
      </c>
      <c r="B31" s="1587">
        <f ca="1">'预评函-2'!D15</f>
        <v>1575</v>
      </c>
    </row>
    <row r="32" spans="1:2" s="1588" customFormat="1">
      <c r="A32" s="1586" t="s">
        <v>1241</v>
      </c>
      <c r="B32" s="1587" t="str">
        <f ca="1">'预评函-2'!D14</f>
        <v>贰仟贰佰贰拾壹万元整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湖北省武汉市房地产</v>
      </c>
    </row>
    <row r="42" spans="1:2" s="1588" customFormat="1">
      <c r="A42" s="1586" t="s">
        <v>1288</v>
      </c>
      <c r="B42" s="1587" t="str">
        <f>'预评函-3'!B2</f>
        <v>建筑面积</v>
      </c>
    </row>
    <row r="43" spans="1:2" s="1588" customFormat="1">
      <c r="A43" s="1586" t="s">
        <v>1289</v>
      </c>
      <c r="B43" s="1587">
        <f>'预评函-3'!B4</f>
        <v>14099.390000000001</v>
      </c>
    </row>
    <row r="44" spans="1:2" s="1588" customFormat="1">
      <c r="A44" s="1586" t="s">
        <v>1273</v>
      </c>
      <c r="B44" s="1587" t="str">
        <f>'预评函-3'!C2</f>
        <v>(分摊)土地面积</v>
      </c>
    </row>
    <row r="45" spans="1:2" s="1588" customFormat="1">
      <c r="A45" s="1586" t="s">
        <v>1245</v>
      </c>
      <c r="B45" s="1587">
        <f>'预评函-3'!C4</f>
        <v>1832.22</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#REF!</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房地产抵押价值</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估价师知悉的法定优先受偿款</v>
      </c>
    </row>
    <row r="58" spans="1:2" s="1585" customFormat="1" ht="15" thickTop="1">
      <c r="A58" s="1583" t="s">
        <v>1251</v>
      </c>
      <c r="B58" s="1584" t="str">
        <f>'预评函-4'!A12</f>
        <v>2.本《评估意见函》仅供金融机构进行内部审核使用，不做其他目的之用。</v>
      </c>
    </row>
    <row r="59" spans="1:2" s="1588" customFormat="1">
      <c r="A59" s="1586" t="s">
        <v>1252</v>
      </c>
      <c r="B59" s="1587" t="str">
        <f>'预评函-4'!A13</f>
        <v>3.抵押双方在办理抵押登记手续时，应使用本公司出具的正式《房地产评估报告》，特提醒报告使用者注意。</v>
      </c>
    </row>
    <row r="60" spans="1:2" s="1588" customFormat="1">
      <c r="A60" s="1586" t="s">
        <v>1253</v>
      </c>
      <c r="B60" s="1587" t="str">
        <f>'预评函-4'!A14</f>
        <v>4.本次评估估价师所知悉的法定优先受偿款情况说明如下：</v>
      </c>
    </row>
    <row r="61" spans="1:2" s="1588" customFormat="1">
      <c r="A61" s="1586" t="s">
        <v>1254</v>
      </c>
      <c r="B61" s="1587" t="str">
        <f>'预评函-4'!A15</f>
        <v>（1）根据估价对象《房屋所有权证》原件、《国有土地使用权》原件，截至价值时点，估价对象抵押权未见登记。</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故，本次评估不存在估价师知悉的法定优先受偿款</v>
      </c>
    </row>
    <row r="65" spans="1:2" s="1588" customFormat="1">
      <c r="A65" s="1586" t="s">
        <v>1257</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郑燚</v>
      </c>
    </row>
    <row r="71" spans="1:2">
      <c r="A71" s="1586" t="s">
        <v>1261</v>
      </c>
      <c r="B71" s="1587">
        <f ca="1">'预评函-4'!B4</f>
        <v>1120070131</v>
      </c>
    </row>
    <row r="72" spans="1:2">
      <c r="A72" s="1586" t="s">
        <v>1262</v>
      </c>
      <c r="B72" s="1595" t="str">
        <f>'预评函-4'!A5</f>
        <v>王萌</v>
      </c>
    </row>
    <row r="73" spans="1:2" s="1582" customFormat="1" ht="15" thickBot="1">
      <c r="A73" s="1589" t="s">
        <v>1263</v>
      </c>
      <c r="B73" s="1590">
        <f ca="1">'预评函-4'!B5</f>
        <v>1120130048</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1689</v>
      </c>
      <c r="C1" s="2004" t="s">
        <v>759</v>
      </c>
      <c r="D1" s="2005" t="s">
        <v>1690</v>
      </c>
      <c r="E1" s="2005" t="s">
        <v>1691</v>
      </c>
      <c r="F1" s="2005" t="s">
        <v>1692</v>
      </c>
      <c r="G1" s="2005" t="s">
        <v>1693</v>
      </c>
      <c r="H1" s="2005" t="s">
        <v>1694</v>
      </c>
      <c r="I1" s="2005" t="s">
        <v>1695</v>
      </c>
      <c r="J1" s="2005" t="s">
        <v>1696</v>
      </c>
      <c r="K1" s="2005" t="s">
        <v>1697</v>
      </c>
      <c r="L1" s="2005" t="s">
        <v>1698</v>
      </c>
      <c r="M1" s="2005" t="s">
        <v>1699</v>
      </c>
      <c r="N1" s="2005" t="s">
        <v>1700</v>
      </c>
      <c r="O1" s="2005" t="s">
        <v>1701</v>
      </c>
      <c r="P1" s="2006" t="s">
        <v>753</v>
      </c>
      <c r="Q1" s="2006" t="s">
        <v>1144</v>
      </c>
      <c r="R1" s="2005" t="s">
        <v>1138</v>
      </c>
      <c r="S1" s="2005" t="s">
        <v>1702</v>
      </c>
      <c r="T1" s="2007" t="s">
        <v>1703</v>
      </c>
      <c r="U1" s="2005" t="s">
        <v>1704</v>
      </c>
      <c r="V1" s="2005" t="s">
        <v>1705</v>
      </c>
      <c r="W1" s="2005" t="s">
        <v>755</v>
      </c>
    </row>
    <row r="2" spans="1:23">
      <c r="A2" s="2009" t="s">
        <v>22</v>
      </c>
      <c r="B2" s="2009" t="s">
        <v>1706</v>
      </c>
      <c r="C2" s="2010" t="s">
        <v>760</v>
      </c>
      <c r="D2" s="2011" t="s">
        <v>1707</v>
      </c>
      <c r="E2" s="2011" t="s">
        <v>1708</v>
      </c>
      <c r="F2" s="2011" t="s">
        <v>1709</v>
      </c>
      <c r="G2" s="2011">
        <v>40</v>
      </c>
      <c r="H2" s="2011" t="s">
        <v>1709</v>
      </c>
      <c r="I2" s="2011" t="s">
        <v>1710</v>
      </c>
      <c r="J2" s="2011" t="s">
        <v>1711</v>
      </c>
      <c r="K2" s="2011" t="s">
        <v>1712</v>
      </c>
      <c r="L2" s="2011" t="s">
        <v>1712</v>
      </c>
      <c r="M2" s="2011" t="s">
        <v>1712</v>
      </c>
      <c r="N2" s="2011" t="s">
        <v>1712</v>
      </c>
      <c r="O2" s="2011" t="s">
        <v>1712</v>
      </c>
      <c r="P2" s="2011" t="s">
        <v>1712</v>
      </c>
      <c r="Q2" s="2011" t="s">
        <v>1712</v>
      </c>
      <c r="R2" s="2011" t="s">
        <v>1140</v>
      </c>
      <c r="S2" s="2011" t="s">
        <v>1712</v>
      </c>
      <c r="T2" s="2011" t="s">
        <v>1713</v>
      </c>
      <c r="U2" s="2011" t="s">
        <v>1712</v>
      </c>
      <c r="V2" s="2011" t="s">
        <v>1714</v>
      </c>
      <c r="W2" s="2011" t="s">
        <v>1712</v>
      </c>
    </row>
    <row r="3" spans="1:23">
      <c r="A3" s="2009" t="s">
        <v>1715</v>
      </c>
      <c r="B3" s="2012" t="s">
        <v>1145</v>
      </c>
      <c r="C3" s="2013" t="s">
        <v>761</v>
      </c>
      <c r="D3" s="2011" t="s">
        <v>1716</v>
      </c>
      <c r="E3" s="2011" t="s">
        <v>16</v>
      </c>
      <c r="F3" s="2011" t="s">
        <v>1717</v>
      </c>
      <c r="G3" s="2011">
        <v>50</v>
      </c>
      <c r="H3" s="2011" t="s">
        <v>1717</v>
      </c>
      <c r="I3" s="2011" t="s">
        <v>1718</v>
      </c>
      <c r="J3" s="2011" t="s">
        <v>1719</v>
      </c>
      <c r="K3" s="2011" t="s">
        <v>1720</v>
      </c>
      <c r="L3" s="2011" t="s">
        <v>1720</v>
      </c>
      <c r="M3" s="2011" t="s">
        <v>1720</v>
      </c>
      <c r="N3" s="2011" t="s">
        <v>1720</v>
      </c>
      <c r="O3" s="2011" t="s">
        <v>1720</v>
      </c>
      <c r="P3" s="2011" t="s">
        <v>1720</v>
      </c>
      <c r="Q3" s="2011" t="s">
        <v>1720</v>
      </c>
      <c r="R3" s="2011" t="s">
        <v>1139</v>
      </c>
      <c r="S3" s="2011" t="s">
        <v>1720</v>
      </c>
      <c r="T3" s="2011" t="s">
        <v>1721</v>
      </c>
      <c r="U3" s="2011" t="s">
        <v>1720</v>
      </c>
      <c r="V3" s="2011" t="s">
        <v>1722</v>
      </c>
      <c r="W3" s="2011" t="s">
        <v>1720</v>
      </c>
    </row>
    <row r="4" spans="1:23">
      <c r="A4" s="2009" t="s">
        <v>1723</v>
      </c>
      <c r="B4" s="2009" t="s">
        <v>1724</v>
      </c>
      <c r="C4" s="2010" t="s">
        <v>762</v>
      </c>
      <c r="D4" s="2011" t="s">
        <v>868</v>
      </c>
      <c r="E4" s="2011" t="s">
        <v>1725</v>
      </c>
      <c r="F4" s="2011" t="s">
        <v>1726</v>
      </c>
      <c r="G4" s="2011">
        <v>70</v>
      </c>
      <c r="H4" s="2011" t="s">
        <v>1726</v>
      </c>
      <c r="I4" s="2011" t="s">
        <v>1727</v>
      </c>
      <c r="K4" s="2011" t="s">
        <v>1728</v>
      </c>
      <c r="L4" s="2011" t="s">
        <v>1728</v>
      </c>
      <c r="M4" s="2011" t="s">
        <v>1728</v>
      </c>
      <c r="N4" s="2011" t="s">
        <v>1728</v>
      </c>
      <c r="O4" s="2011" t="s">
        <v>1728</v>
      </c>
      <c r="P4" s="2011" t="s">
        <v>1728</v>
      </c>
      <c r="Q4" s="2011" t="s">
        <v>1728</v>
      </c>
      <c r="R4" s="2011" t="s">
        <v>1141</v>
      </c>
      <c r="S4" s="2011" t="s">
        <v>1728</v>
      </c>
      <c r="T4" s="2011" t="s">
        <v>1729</v>
      </c>
      <c r="U4" s="2011" t="s">
        <v>1728</v>
      </c>
      <c r="W4" s="2011" t="s">
        <v>1728</v>
      </c>
    </row>
    <row r="5" spans="1:23">
      <c r="A5" s="2009" t="s">
        <v>1730</v>
      </c>
      <c r="B5" s="2009" t="s">
        <v>1731</v>
      </c>
      <c r="C5" s="2010" t="s">
        <v>763</v>
      </c>
      <c r="F5" s="2011" t="s">
        <v>1732</v>
      </c>
      <c r="H5" s="2011" t="s">
        <v>1733</v>
      </c>
      <c r="I5" s="2011" t="s">
        <v>1734</v>
      </c>
      <c r="K5" s="2011" t="s">
        <v>1735</v>
      </c>
      <c r="L5" s="2011" t="s">
        <v>1735</v>
      </c>
      <c r="M5" s="2011" t="s">
        <v>1735</v>
      </c>
      <c r="N5" s="2011" t="s">
        <v>1735</v>
      </c>
      <c r="O5" s="2011" t="s">
        <v>1735</v>
      </c>
      <c r="P5" s="2011" t="s">
        <v>1735</v>
      </c>
      <c r="Q5" s="2011" t="s">
        <v>1735</v>
      </c>
      <c r="R5" s="2011" t="s">
        <v>1142</v>
      </c>
      <c r="S5" s="2011" t="s">
        <v>1735</v>
      </c>
      <c r="T5" s="2011" t="s">
        <v>1736</v>
      </c>
      <c r="U5" s="2011" t="s">
        <v>1735</v>
      </c>
      <c r="W5" s="2011" t="s">
        <v>1735</v>
      </c>
    </row>
    <row r="6" spans="1:23">
      <c r="A6" s="2009" t="s">
        <v>1737</v>
      </c>
      <c r="B6" s="2012" t="s">
        <v>1146</v>
      </c>
      <c r="C6" s="2015" t="s">
        <v>30</v>
      </c>
      <c r="F6" s="2011" t="s">
        <v>1733</v>
      </c>
      <c r="H6" s="2011" t="s">
        <v>1738</v>
      </c>
      <c r="I6" s="2011" t="s">
        <v>1739</v>
      </c>
      <c r="K6" s="2011" t="s">
        <v>1740</v>
      </c>
      <c r="L6" s="2011" t="s">
        <v>1740</v>
      </c>
      <c r="M6" s="2011" t="s">
        <v>1740</v>
      </c>
      <c r="N6" s="2011" t="s">
        <v>1740</v>
      </c>
      <c r="O6" s="2011" t="s">
        <v>1740</v>
      </c>
      <c r="P6" s="2011" t="s">
        <v>1740</v>
      </c>
      <c r="Q6" s="2011" t="s">
        <v>1740</v>
      </c>
      <c r="R6" s="2011" t="s">
        <v>1143</v>
      </c>
      <c r="S6" s="2011" t="s">
        <v>1740</v>
      </c>
      <c r="T6" s="2011"/>
      <c r="U6" s="2011" t="s">
        <v>1740</v>
      </c>
      <c r="W6" s="2011" t="s">
        <v>1740</v>
      </c>
    </row>
    <row r="7" spans="1:23">
      <c r="A7" s="2009" t="s">
        <v>1741</v>
      </c>
      <c r="B7" s="2012" t="s">
        <v>1147</v>
      </c>
      <c r="C7" s="2010" t="s">
        <v>31</v>
      </c>
      <c r="F7" s="2011" t="s">
        <v>1742</v>
      </c>
      <c r="H7" s="2011" t="s">
        <v>1743</v>
      </c>
      <c r="I7" s="2011" t="s">
        <v>1744</v>
      </c>
    </row>
    <row r="8" spans="1:23">
      <c r="A8" s="2009" t="s">
        <v>1745</v>
      </c>
      <c r="B8" s="2009" t="s">
        <v>1746</v>
      </c>
      <c r="C8" s="2010" t="s">
        <v>764</v>
      </c>
      <c r="F8" s="2011" t="s">
        <v>1747</v>
      </c>
      <c r="H8" s="2011"/>
      <c r="I8" s="2011" t="s">
        <v>1748</v>
      </c>
    </row>
    <row r="9" spans="1:23">
      <c r="A9" s="2009" t="s">
        <v>1749</v>
      </c>
      <c r="B9" s="2009" t="s">
        <v>1750</v>
      </c>
      <c r="C9" s="2010" t="s">
        <v>765</v>
      </c>
      <c r="F9" s="2011" t="s">
        <v>1751</v>
      </c>
      <c r="H9" s="2011"/>
    </row>
    <row r="10" spans="1:23">
      <c r="A10" s="2009" t="s">
        <v>1752</v>
      </c>
      <c r="B10" s="2009" t="s">
        <v>1753</v>
      </c>
      <c r="C10" s="2010" t="s">
        <v>766</v>
      </c>
      <c r="F10" s="2011" t="s">
        <v>16</v>
      </c>
    </row>
    <row r="11" spans="1:23">
      <c r="A11" s="2009" t="s">
        <v>1754</v>
      </c>
      <c r="B11" s="2009" t="s">
        <v>1755</v>
      </c>
      <c r="C11" s="2010" t="s">
        <v>767</v>
      </c>
    </row>
    <row r="12" spans="1:23">
      <c r="A12" s="2009" t="s">
        <v>1756</v>
      </c>
      <c r="B12" s="2009" t="s">
        <v>1757</v>
      </c>
      <c r="C12" s="2010" t="s">
        <v>768</v>
      </c>
    </row>
    <row r="13" spans="1:23">
      <c r="A13" s="2009" t="s">
        <v>1758</v>
      </c>
      <c r="B13" s="2009" t="s">
        <v>1759</v>
      </c>
      <c r="C13" s="2010" t="s">
        <v>769</v>
      </c>
    </row>
    <row r="14" spans="1:23">
      <c r="A14" s="2009" t="s">
        <v>1760</v>
      </c>
      <c r="B14" s="2009" t="s">
        <v>1761</v>
      </c>
      <c r="C14" s="2011" t="s">
        <v>16</v>
      </c>
    </row>
    <row r="15" spans="1:23">
      <c r="A15" s="2009" t="s">
        <v>1762</v>
      </c>
      <c r="B15" s="2009" t="s">
        <v>1763</v>
      </c>
      <c r="C15" s="2010"/>
    </row>
    <row r="16" spans="1:23">
      <c r="A16" s="2009" t="s">
        <v>1764</v>
      </c>
      <c r="B16" s="2009" t="s">
        <v>756</v>
      </c>
      <c r="C16" s="2010"/>
    </row>
    <row r="17" spans="1:3">
      <c r="A17" s="2009" t="s">
        <v>1765</v>
      </c>
      <c r="B17" s="2009" t="s">
        <v>757</v>
      </c>
      <c r="C17" s="2010"/>
    </row>
    <row r="18" spans="1:3">
      <c r="A18" s="2009" t="s">
        <v>1766</v>
      </c>
      <c r="B18" s="2009" t="s">
        <v>757</v>
      </c>
      <c r="C18" s="2010"/>
    </row>
    <row r="19" spans="1:3">
      <c r="A19" s="2009" t="s">
        <v>1767</v>
      </c>
      <c r="B19" s="2009" t="s">
        <v>757</v>
      </c>
      <c r="C19" s="2010"/>
    </row>
    <row r="20" spans="1:3">
      <c r="A20" s="2009" t="s">
        <v>1768</v>
      </c>
      <c r="B20" s="2009" t="s">
        <v>757</v>
      </c>
      <c r="C20" s="2010"/>
    </row>
    <row r="21" spans="1:3">
      <c r="A21" s="2009" t="s">
        <v>1769</v>
      </c>
      <c r="B21" s="2009" t="s">
        <v>757</v>
      </c>
      <c r="C21" s="2010"/>
    </row>
    <row r="22" spans="1:3">
      <c r="A22" s="2009" t="s">
        <v>1770</v>
      </c>
      <c r="B22" s="2009" t="s">
        <v>757</v>
      </c>
      <c r="C22" s="2010"/>
    </row>
    <row r="23" spans="1:3">
      <c r="A23" s="2009" t="s">
        <v>1771</v>
      </c>
      <c r="B23" s="2009" t="s">
        <v>757</v>
      </c>
      <c r="C23" s="2010"/>
    </row>
    <row r="24" spans="1:3">
      <c r="A24" s="2009" t="s">
        <v>1772</v>
      </c>
      <c r="B24" s="2009" t="s">
        <v>757</v>
      </c>
      <c r="C24" s="2010"/>
    </row>
    <row r="25" spans="1:3">
      <c r="A25" s="2009" t="s">
        <v>1773</v>
      </c>
      <c r="B25" s="2009" t="s">
        <v>757</v>
      </c>
      <c r="C25" s="2010"/>
    </row>
    <row r="26" spans="1:3">
      <c r="A26" s="2009" t="s">
        <v>1774</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128"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19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128"/>
      <c r="B54" s="2017" t="s">
        <v>864</v>
      </c>
      <c r="C54" s="2014" t="s">
        <v>1281</v>
      </c>
    </row>
    <row r="55" spans="1:4">
      <c r="A55" s="3128"/>
      <c r="B55" s="2017" t="s">
        <v>865</v>
      </c>
      <c r="C55" s="2014" t="s">
        <v>1282</v>
      </c>
    </row>
    <row r="56" spans="1:4">
      <c r="A56" s="3128"/>
      <c r="B56" s="2017" t="s">
        <v>866</v>
      </c>
      <c r="C56" s="2014" t="s">
        <v>1286</v>
      </c>
    </row>
    <row r="57" spans="1:4">
      <c r="A57" s="3128"/>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K12" sqref="K12"/>
    </sheetView>
  </sheetViews>
  <sheetFormatPr defaultColWidth="10" defaultRowHeight="18" customHeight="1"/>
  <cols>
    <col min="1" max="1" width="14.875" style="2027" customWidth="1"/>
    <col min="2" max="2" width="10" style="2027" customWidth="1"/>
    <col min="3" max="3" width="11.5" style="2027" customWidth="1"/>
    <col min="4" max="6" width="10" style="2027" customWidth="1"/>
    <col min="7" max="7" width="10.75" style="2027" customWidth="1"/>
    <col min="8" max="8" width="10" style="2027" customWidth="1"/>
    <col min="9" max="9" width="11.12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1775</v>
      </c>
      <c r="B1" s="3129" t="str">
        <f>IF(B10="北京市","北京市",C10)&amp;F10&amp;IF(结果表!G1="在建","出让国有建设用地使用权及在建建筑物",IF(结果表!G1="土地","出让国有建设用地使用权",))&amp;B9&amp;"预评估"</f>
        <v>湖北省武汉市房地产抵押价值预评估</v>
      </c>
      <c r="C1" s="3130"/>
      <c r="D1" s="3130"/>
      <c r="E1" s="3130"/>
      <c r="F1" s="3130"/>
      <c r="G1" s="3130"/>
      <c r="H1" s="3130"/>
      <c r="I1" s="3131"/>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湖北省武汉市房地产抵押价值</v>
      </c>
    </row>
    <row r="2" spans="1:19" ht="18" customHeight="1">
      <c r="A2" s="2021" t="s">
        <v>1776</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湖北省武汉市房地产</v>
      </c>
    </row>
    <row r="3" spans="1:19" ht="18" customHeight="1">
      <c r="A3" s="2030" t="s">
        <v>1777</v>
      </c>
      <c r="B3" s="2031">
        <v>43209</v>
      </c>
      <c r="C3" s="2032" t="s">
        <v>1778</v>
      </c>
      <c r="D3" s="2031">
        <f>B3</f>
        <v>43209</v>
      </c>
      <c r="E3" s="2021"/>
      <c r="F3" s="2021"/>
      <c r="G3" s="2021"/>
      <c r="H3" s="2021"/>
      <c r="I3" s="2021"/>
      <c r="J3" s="2021"/>
      <c r="K3" s="2022"/>
      <c r="L3" s="2023"/>
      <c r="M3" s="2023"/>
      <c r="N3" s="2024"/>
      <c r="O3" s="2025"/>
      <c r="P3" s="2024"/>
      <c r="Q3" s="2024"/>
      <c r="R3" s="2024"/>
      <c r="S3" s="2026"/>
    </row>
    <row r="4" spans="1:19" ht="18" customHeight="1" thickBot="1">
      <c r="A4" s="2033" t="s">
        <v>1779</v>
      </c>
      <c r="B4" s="2034" t="s">
        <v>3041</v>
      </c>
      <c r="C4" s="1034">
        <f ca="1">SUMIF(注册房地产估价师,B4,估价师及机构信息!B3:B24)</f>
        <v>1120070131</v>
      </c>
      <c r="D4" s="2034" t="s">
        <v>3042</v>
      </c>
      <c r="E4" s="1035">
        <f ca="1">SUMIF(注册房地产估价师,D4,估价师及机构信息!B3:B24)</f>
        <v>1120130048</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郑燚（注册号：1120070131)、王萌（注册号：1120130048)</v>
      </c>
      <c r="L4" s="2023"/>
      <c r="M4" s="2023"/>
      <c r="N4" s="2024"/>
      <c r="O4" s="2025"/>
      <c r="P4" s="2024"/>
      <c r="Q4" s="2024"/>
      <c r="R4" s="2024"/>
      <c r="S4" s="2026"/>
    </row>
    <row r="5" spans="1:19" ht="18" customHeight="1" thickTop="1" thickBot="1">
      <c r="A5" s="2039" t="s">
        <v>1780</v>
      </c>
      <c r="B5" s="2934" t="s">
        <v>3198</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Top="1">
      <c r="A6" s="2042" t="s">
        <v>1781</v>
      </c>
      <c r="B6" s="2934" t="s">
        <v>3198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1782</v>
      </c>
      <c r="B7" s="2935" t="s">
        <v>3199</v>
      </c>
      <c r="C7" s="2043"/>
      <c r="D7" s="2044"/>
      <c r="E7" s="2029"/>
      <c r="F7" s="2037"/>
      <c r="G7" s="2037"/>
      <c r="H7" s="2037"/>
      <c r="I7" s="2037"/>
      <c r="J7" s="2037"/>
      <c r="K7" s="2046"/>
      <c r="L7" s="2023"/>
      <c r="M7" s="2023"/>
      <c r="N7" s="2024"/>
      <c r="O7" s="2025"/>
      <c r="P7" s="2024"/>
      <c r="Q7" s="2024"/>
      <c r="R7" s="2024"/>
    </row>
    <row r="8" spans="1:19" ht="18" customHeight="1">
      <c r="A8" s="2042" t="s">
        <v>1783</v>
      </c>
      <c r="B8" s="2047" t="s">
        <v>3043</v>
      </c>
      <c r="C8" s="2048"/>
      <c r="D8" s="3132" t="s">
        <v>1784</v>
      </c>
      <c r="E8" s="2049" t="s">
        <v>3044</v>
      </c>
      <c r="F8" s="2050"/>
      <c r="G8" s="2021"/>
      <c r="H8" s="2021"/>
      <c r="I8" s="2021"/>
      <c r="J8" s="2037"/>
      <c r="K8" s="2038"/>
      <c r="L8" s="2023"/>
      <c r="M8" s="2023"/>
      <c r="N8" s="2024"/>
      <c r="O8" s="2025"/>
      <c r="P8" s="2024"/>
      <c r="Q8" s="2024"/>
      <c r="R8" s="2024"/>
    </row>
    <row r="9" spans="1:19" ht="18" customHeight="1" thickBot="1">
      <c r="A9" s="2035" t="s">
        <v>1785</v>
      </c>
      <c r="B9" s="2051" t="s">
        <v>3044</v>
      </c>
      <c r="C9" s="2052"/>
      <c r="D9" s="3133"/>
      <c r="E9" s="2051" t="s">
        <v>70</v>
      </c>
      <c r="F9" s="2053"/>
      <c r="G9" s="2054"/>
      <c r="H9" s="2054"/>
      <c r="I9" s="2054"/>
      <c r="J9" s="2037"/>
      <c r="K9" s="2046"/>
      <c r="L9" s="2023"/>
      <c r="M9" s="2023"/>
      <c r="N9" s="2024"/>
      <c r="O9" s="2025"/>
      <c r="P9" s="2024"/>
      <c r="Q9" s="2024"/>
      <c r="R9" s="2024"/>
    </row>
    <row r="10" spans="1:19" ht="26.25" customHeight="1" thickTop="1">
      <c r="A10" s="2055" t="s">
        <v>1786</v>
      </c>
      <c r="B10" s="2056" t="s">
        <v>3045</v>
      </c>
      <c r="C10" s="2936" t="s">
        <v>3200</v>
      </c>
      <c r="D10" s="2041"/>
      <c r="E10" s="2057" t="s">
        <v>1787</v>
      </c>
      <c r="F10" s="2954"/>
      <c r="G10" s="2058"/>
      <c r="H10" s="2059"/>
      <c r="I10" s="2041"/>
      <c r="J10" s="2037"/>
      <c r="K10" s="2046"/>
      <c r="L10" s="2023"/>
      <c r="M10" s="2023"/>
      <c r="N10" s="2024"/>
      <c r="O10" s="2025"/>
      <c r="P10" s="2024"/>
      <c r="Q10" s="2024"/>
      <c r="R10" s="2024"/>
    </row>
    <row r="11" spans="1:19" ht="18" customHeight="1">
      <c r="A11" s="2060" t="s">
        <v>1788</v>
      </c>
      <c r="B11" s="2061" t="s">
        <v>3046</v>
      </c>
      <c r="C11" s="2935" t="s">
        <v>3199</v>
      </c>
      <c r="D11" s="2062"/>
      <c r="E11" s="2037"/>
      <c r="F11" s="2037"/>
      <c r="G11" s="2037"/>
      <c r="H11" s="2037"/>
      <c r="I11" s="2037"/>
      <c r="J11" s="2037"/>
      <c r="K11" s="2046"/>
      <c r="L11" s="2023"/>
      <c r="M11" s="2023"/>
      <c r="N11" s="2024"/>
      <c r="O11" s="2025"/>
      <c r="P11" s="2024"/>
      <c r="Q11" s="2024"/>
      <c r="R11" s="2024"/>
    </row>
    <row r="12" spans="1:19" ht="18" customHeight="1">
      <c r="A12" s="2063" t="s">
        <v>1789</v>
      </c>
      <c r="B12" s="2061" t="s">
        <v>3047</v>
      </c>
      <c r="C12" s="2064" t="s">
        <v>1790</v>
      </c>
      <c r="D12" s="2065" t="s">
        <v>1791</v>
      </c>
      <c r="E12" s="2065" t="s">
        <v>1792</v>
      </c>
      <c r="F12" s="2065" t="s">
        <v>1793</v>
      </c>
      <c r="G12" s="2065" t="s">
        <v>1794</v>
      </c>
      <c r="H12" s="2065" t="s">
        <v>1795</v>
      </c>
      <c r="I12" s="2065" t="s">
        <v>1796</v>
      </c>
      <c r="J12" s="2037"/>
      <c r="K12" s="2046"/>
      <c r="L12" s="2023"/>
      <c r="M12" s="2023"/>
      <c r="N12" s="2024"/>
      <c r="O12" s="2025"/>
      <c r="P12" s="2024"/>
      <c r="Q12" s="2024"/>
      <c r="R12" s="2024"/>
    </row>
    <row r="13" spans="1:19" ht="18" customHeight="1">
      <c r="A13" s="2066"/>
      <c r="B13" s="2067"/>
      <c r="C13" s="2068" t="s">
        <v>1797</v>
      </c>
      <c r="D13" s="2069"/>
      <c r="E13" s="2069">
        <v>52903</v>
      </c>
      <c r="F13" s="2069"/>
      <c r="G13" s="2069"/>
      <c r="H13" s="2069"/>
      <c r="I13" s="1044"/>
      <c r="J13" s="2037"/>
      <c r="K13" s="2046"/>
      <c r="L13" s="2023"/>
      <c r="M13" s="2023"/>
      <c r="N13" s="2024"/>
      <c r="O13" s="2025"/>
      <c r="P13" s="2024"/>
      <c r="Q13" s="2024"/>
      <c r="R13" s="2024"/>
    </row>
    <row r="14" spans="1:19" ht="18" customHeight="1">
      <c r="A14" s="2066"/>
      <c r="B14" s="2067"/>
      <c r="C14" s="2068" t="s">
        <v>1798</v>
      </c>
      <c r="D14" s="1047"/>
      <c r="E14" s="1047">
        <v>40</v>
      </c>
      <c r="F14" s="1047"/>
      <c r="G14" s="1047"/>
      <c r="H14" s="1047"/>
      <c r="I14" s="1047"/>
      <c r="J14" s="2037"/>
      <c r="K14" s="2070"/>
      <c r="L14" s="2023"/>
      <c r="M14" s="2023"/>
      <c r="N14" s="2024"/>
      <c r="O14" s="2025"/>
      <c r="P14" s="2024"/>
      <c r="Q14" s="2024"/>
      <c r="R14" s="2024"/>
    </row>
    <row r="15" spans="1:19" ht="18" customHeight="1">
      <c r="A15" s="2055"/>
      <c r="B15" s="2071"/>
      <c r="C15" s="2068" t="s">
        <v>1799</v>
      </c>
      <c r="D15" s="1046" t="str">
        <f>IF(B12="出让",IF(D13="","",ROUNDDOWN(MIN((D13-$D$3)/365,D14),2)),D14)</f>
        <v/>
      </c>
      <c r="E15" s="1046">
        <f>IF(B12="出让",IF(E13="","",ROUNDDOWN(MIN((E13-$D$3)/365,E14),2)),E14)</f>
        <v>26.55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2"/>
      <c r="L15" s="2073"/>
      <c r="M15" s="2073"/>
      <c r="N15" s="2074"/>
      <c r="O15" s="2073"/>
      <c r="P15" s="2074"/>
      <c r="Q15" s="2024"/>
      <c r="R15" s="2024"/>
    </row>
    <row r="16" spans="1:19" ht="30.75" customHeight="1">
      <c r="A16" s="2057" t="s">
        <v>1800</v>
      </c>
      <c r="B16" s="3139" t="s">
        <v>3048</v>
      </c>
      <c r="C16" s="3140"/>
      <c r="D16" s="3141"/>
      <c r="E16" s="2075" t="s">
        <v>1801</v>
      </c>
      <c r="F16" s="3142"/>
      <c r="G16" s="3143"/>
      <c r="H16" s="3143"/>
      <c r="I16" s="3144"/>
      <c r="J16" s="2024"/>
      <c r="K16" s="2072"/>
      <c r="L16" s="2073"/>
      <c r="M16" s="2073"/>
      <c r="N16" s="2074"/>
      <c r="O16" s="2073"/>
      <c r="P16" s="2074"/>
      <c r="Q16" s="2024"/>
      <c r="R16" s="2024"/>
    </row>
    <row r="17" spans="1:22" ht="18" customHeight="1">
      <c r="A17" s="2076" t="s">
        <v>1802</v>
      </c>
      <c r="B17" s="2030" t="s">
        <v>1803</v>
      </c>
      <c r="C17" s="1051">
        <f>'数据-汇总表'!E3</f>
        <v>14099.390000000001</v>
      </c>
      <c r="D17" s="2077" t="s">
        <v>1804</v>
      </c>
      <c r="E17" s="3145"/>
      <c r="F17" s="3146"/>
      <c r="G17" s="3146"/>
      <c r="H17" s="3146"/>
      <c r="I17" s="3147"/>
      <c r="J17" s="2024"/>
      <c r="K17" s="2078"/>
      <c r="L17" s="2073"/>
      <c r="M17" s="2073"/>
      <c r="N17" s="2074"/>
      <c r="O17" s="2073"/>
      <c r="P17" s="2074"/>
      <c r="Q17" s="2024"/>
      <c r="R17" s="2024"/>
      <c r="S17" s="2024"/>
      <c r="T17" s="2024"/>
      <c r="U17" s="2024"/>
      <c r="V17" s="2024"/>
    </row>
    <row r="18" spans="1:22" ht="36" customHeight="1" thickBot="1">
      <c r="A18" s="2079" t="s">
        <v>1805</v>
      </c>
      <c r="B18" s="2033" t="s">
        <v>1806</v>
      </c>
      <c r="C18" s="1439">
        <f>'数据-汇总表'!D3</f>
        <v>1832.22</v>
      </c>
      <c r="D18" s="2080" t="s">
        <v>1804</v>
      </c>
      <c r="E18" s="3148"/>
      <c r="F18" s="3149"/>
      <c r="G18" s="3149"/>
      <c r="H18" s="3149"/>
      <c r="I18" s="3150"/>
      <c r="J18" s="2024"/>
      <c r="K18" s="2078"/>
      <c r="L18" s="2073"/>
      <c r="M18" s="2073"/>
      <c r="N18" s="2074"/>
      <c r="O18" s="2073"/>
      <c r="P18" s="2074"/>
      <c r="Q18" s="2024"/>
      <c r="R18" s="2024"/>
      <c r="S18" s="2024"/>
      <c r="T18" s="2024"/>
      <c r="U18" s="2024"/>
      <c r="V18" s="2024"/>
    </row>
    <row r="19" spans="1:22" ht="37.5" customHeight="1" thickTop="1" thickBot="1">
      <c r="A19" s="372" t="s">
        <v>1807</v>
      </c>
      <c r="B19" s="351" t="s">
        <v>1808</v>
      </c>
      <c r="C19" s="2081" t="s">
        <v>3049</v>
      </c>
      <c r="D19" s="2082" t="s">
        <v>1809</v>
      </c>
      <c r="E19" s="2083" t="s">
        <v>70</v>
      </c>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1810</v>
      </c>
      <c r="B20" s="3135" t="s">
        <v>1811</v>
      </c>
      <c r="C20" s="3136"/>
      <c r="D20" s="3137" t="s">
        <v>1812</v>
      </c>
      <c r="E20" s="3138"/>
      <c r="F20" s="2087" t="s">
        <v>1813</v>
      </c>
      <c r="G20" s="2037"/>
      <c r="H20" s="2037"/>
      <c r="I20" s="2037"/>
      <c r="J20" s="2037"/>
      <c r="K20" s="3134" t="s">
        <v>1814</v>
      </c>
      <c r="L20" s="742"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4"/>
      <c r="O20" s="2073"/>
      <c r="P20" s="2074"/>
      <c r="Q20" s="2024"/>
      <c r="R20" s="2024"/>
      <c r="S20" s="2024"/>
      <c r="T20" s="2024"/>
      <c r="U20" s="2024"/>
      <c r="V20" s="2024"/>
    </row>
    <row r="21" spans="1:22" ht="24.75" customHeight="1">
      <c r="A21" s="2086"/>
      <c r="B21" s="2088" t="s">
        <v>1815</v>
      </c>
      <c r="C21" s="2089" t="s">
        <v>1816</v>
      </c>
      <c r="D21" s="2090"/>
      <c r="E21" s="2091" t="s">
        <v>70</v>
      </c>
      <c r="F21" s="2092"/>
      <c r="G21" s="2037"/>
      <c r="H21" s="2037"/>
      <c r="I21" s="2037"/>
      <c r="J21" s="2037"/>
      <c r="K21" s="3134"/>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t="s">
        <v>1817</v>
      </c>
      <c r="C22" s="2089" t="s">
        <v>3050</v>
      </c>
      <c r="D22" s="2021"/>
      <c r="E22" s="2021"/>
      <c r="F22" s="2094"/>
      <c r="G22" s="2037"/>
      <c r="H22" s="2037"/>
      <c r="I22" s="2037"/>
      <c r="J22" s="2037"/>
      <c r="K22" s="3134"/>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1818</v>
      </c>
      <c r="B23" s="182" t="s">
        <v>1819</v>
      </c>
      <c r="C23" s="2096"/>
      <c r="D23" s="2097" t="s">
        <v>1819</v>
      </c>
      <c r="E23" s="2098"/>
      <c r="F23" s="2094"/>
      <c r="G23" s="2037"/>
      <c r="H23" s="2037"/>
      <c r="I23" s="2037"/>
      <c r="J23" s="2037"/>
      <c r="K23" s="2099"/>
      <c r="L23" s="742"/>
      <c r="M23" s="2023"/>
      <c r="N23" s="2074"/>
      <c r="O23" s="2073"/>
      <c r="P23" s="2074"/>
      <c r="Q23" s="2024"/>
      <c r="R23" s="2024"/>
      <c r="S23" s="2024"/>
      <c r="T23" s="2024"/>
      <c r="U23" s="2024"/>
      <c r="V23" s="2024"/>
    </row>
    <row r="24" spans="1:22" ht="18" customHeight="1">
      <c r="A24" s="2100"/>
      <c r="B24" s="182" t="s">
        <v>1820</v>
      </c>
      <c r="C24" s="2101"/>
      <c r="D24" s="2095" t="s">
        <v>1820</v>
      </c>
      <c r="E24" s="2102"/>
      <c r="F24" s="2094"/>
      <c r="G24" s="2037"/>
      <c r="H24" s="2037"/>
      <c r="I24" s="2037"/>
      <c r="J24" s="2037"/>
      <c r="K24" s="2099"/>
      <c r="L24" s="742"/>
      <c r="M24" s="2023"/>
      <c r="N24" s="2074"/>
      <c r="O24" s="2073"/>
      <c r="P24" s="2074"/>
      <c r="Q24" s="2024"/>
      <c r="R24" s="2024"/>
      <c r="S24" s="2024"/>
      <c r="T24" s="2024"/>
      <c r="U24" s="2024"/>
      <c r="V24" s="2024"/>
    </row>
    <row r="25" spans="1:22" ht="18" customHeight="1">
      <c r="A25" s="2100"/>
      <c r="B25" s="182" t="s">
        <v>1821</v>
      </c>
      <c r="C25" s="2101"/>
      <c r="D25" s="2095" t="s">
        <v>1821</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1822</v>
      </c>
      <c r="C26" s="2105"/>
      <c r="D26" s="2106" t="s">
        <v>1823</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152" t="s">
        <v>1824</v>
      </c>
      <c r="B27" s="2055" t="s">
        <v>1825</v>
      </c>
      <c r="C27" s="2109" t="s">
        <v>3051</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152"/>
      <c r="B28" s="2030" t="s">
        <v>1826</v>
      </c>
      <c r="C28" s="2111" t="s">
        <v>3052</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152"/>
      <c r="B29" s="2030" t="s">
        <v>1827</v>
      </c>
      <c r="C29" s="2114" t="s">
        <v>3049</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153"/>
      <c r="B30" s="2030" t="s">
        <v>1828</v>
      </c>
      <c r="C30" s="3154"/>
      <c r="D30" s="3155"/>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156" t="s">
        <v>1829</v>
      </c>
      <c r="B31" s="2116" t="s">
        <v>3053</v>
      </c>
      <c r="C31" s="2117" t="str">
        <f>IF(B31="现房","成新及维护状况正常否",IF(B31="在建","工程状态是否正常",IF(B31="土地","是否闲置","-")))</f>
        <v>成新及维护状况正常否</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157"/>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157"/>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1830</v>
      </c>
      <c r="B34" s="2123" t="s">
        <v>3054</v>
      </c>
      <c r="C34" s="2123" t="s">
        <v>3055</v>
      </c>
      <c r="D34" s="2123" t="s">
        <v>3056</v>
      </c>
      <c r="E34" s="2123" t="s">
        <v>3057</v>
      </c>
      <c r="F34" s="2123" t="s">
        <v>3058</v>
      </c>
      <c r="G34" s="2123" t="s">
        <v>3059</v>
      </c>
      <c r="H34" s="2123" t="s">
        <v>3060</v>
      </c>
      <c r="I34" s="2037"/>
      <c r="J34" s="2037"/>
      <c r="K34" s="1790">
        <f>COUNTIF(B34:H34,"——")</f>
        <v>0</v>
      </c>
      <c r="L34" s="2064" t="s">
        <v>1831</v>
      </c>
      <c r="M34" s="2064" t="s">
        <v>1832</v>
      </c>
      <c r="N34" s="2064" t="s">
        <v>1833</v>
      </c>
      <c r="O34" s="2064" t="s">
        <v>1834</v>
      </c>
      <c r="P34" s="2064" t="s">
        <v>1835</v>
      </c>
      <c r="Q34" s="2064" t="s">
        <v>1836</v>
      </c>
      <c r="R34" s="2064" t="s">
        <v>1837</v>
      </c>
      <c r="S34" s="3151" t="s">
        <v>1838</v>
      </c>
      <c r="T34" s="2124" t="str">
        <f>NUMBERSTRING(7-K34,1)&amp;"通"</f>
        <v>七通</v>
      </c>
      <c r="U34" s="2024"/>
      <c r="V34" s="2024"/>
    </row>
    <row r="35" spans="1:22" ht="18" customHeight="1">
      <c r="A35" s="2125"/>
      <c r="B35" s="3158" t="s">
        <v>1839</v>
      </c>
      <c r="C35" s="3158"/>
      <c r="D35" s="3158"/>
      <c r="E35" s="3158"/>
      <c r="F35" s="2126" t="str">
        <f>C10</f>
        <v>湖北省武汉市</v>
      </c>
      <c r="G35" s="2037"/>
      <c r="H35" s="2037"/>
      <c r="I35" s="2037"/>
      <c r="J35" s="2037"/>
      <c r="K35" s="2064"/>
      <c r="L35" s="2064"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通路、通电、通讯、通上水、通下水、燃气、平整</v>
      </c>
      <c r="S35" s="3151"/>
      <c r="T35" s="47" t="str">
        <f>IF(T34="一通",L35,IF(T34="二通",M35,IF(T34="三通",N35,IF(T34="四通",O35,IF(T34="五通",P35,IF(T34="六通",Q35,R35))))))</f>
        <v>通路、通电、通讯、通上水、通下水、燃气、平整</v>
      </c>
      <c r="U35" s="2024"/>
      <c r="V35" s="2024"/>
    </row>
    <row r="36" spans="1:22" ht="18" customHeight="1">
      <c r="A36" s="2127"/>
      <c r="B36" s="2126" t="s">
        <v>1840</v>
      </c>
      <c r="C36" s="2126" t="s">
        <v>1841</v>
      </c>
      <c r="D36" s="2126" t="s">
        <v>1842</v>
      </c>
      <c r="E36" s="2126" t="s">
        <v>1843</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1844</v>
      </c>
      <c r="B37" s="2130" t="s">
        <v>212</v>
      </c>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1845</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1846</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4"/>
      <c r="L40" s="2073"/>
      <c r="M40" s="2073"/>
      <c r="N40" s="2074"/>
      <c r="O40" s="2073"/>
      <c r="P40" s="2024"/>
      <c r="Q40" s="2024"/>
      <c r="R40" s="2024"/>
      <c r="S40" s="2024"/>
      <c r="T40" s="2024"/>
      <c r="U40" s="2024"/>
      <c r="V40" s="2024"/>
    </row>
    <row r="41" spans="1:22" ht="18" customHeight="1">
      <c r="A41" s="8" t="s">
        <v>1847</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1848</v>
      </c>
      <c r="B42" s="1790" t="s">
        <v>1849</v>
      </c>
      <c r="C42" s="1790" t="s">
        <v>1850</v>
      </c>
      <c r="D42" s="1790" t="s">
        <v>1851</v>
      </c>
      <c r="E42" s="1790" t="s">
        <v>1852</v>
      </c>
      <c r="F42" s="1790" t="s">
        <v>1853</v>
      </c>
      <c r="G42" s="1790" t="s">
        <v>1854</v>
      </c>
      <c r="H42" s="1790" t="s">
        <v>1855</v>
      </c>
      <c r="I42" s="1790" t="s">
        <v>1856</v>
      </c>
      <c r="J42" s="2142" t="s">
        <v>1857</v>
      </c>
      <c r="K42" s="2065" t="s">
        <v>1858</v>
      </c>
      <c r="L42" s="2065" t="s">
        <v>1859</v>
      </c>
      <c r="M42" s="2065" t="s">
        <v>1860</v>
      </c>
      <c r="N42" s="1790" t="s">
        <v>1861</v>
      </c>
      <c r="O42" s="1790" t="s">
        <v>1862</v>
      </c>
      <c r="P42" s="1790" t="s">
        <v>1863</v>
      </c>
      <c r="Q42" s="2064" t="s">
        <v>1864</v>
      </c>
      <c r="R42" s="2064" t="s">
        <v>1865</v>
      </c>
      <c r="S42" s="2024"/>
      <c r="T42" s="2024"/>
      <c r="U42" s="2024"/>
      <c r="V42" s="2024"/>
    </row>
    <row r="43" spans="1:22" s="2147" customFormat="1" ht="18" customHeight="1">
      <c r="A43" s="2143"/>
      <c r="B43" s="1267"/>
      <c r="C43" s="1267"/>
      <c r="D43" s="1267"/>
      <c r="E43" s="1267"/>
      <c r="F43" s="1267"/>
      <c r="G43" s="1267"/>
      <c r="H43" s="9"/>
      <c r="I43" s="9"/>
      <c r="J43" s="2144"/>
      <c r="K43" s="2145"/>
      <c r="L43" s="2145"/>
      <c r="M43" s="9"/>
      <c r="N43" s="1267"/>
      <c r="O43" s="9"/>
      <c r="P43" s="1267"/>
      <c r="Q43" s="1267"/>
      <c r="R43" s="1267"/>
      <c r="S43" s="2146"/>
      <c r="T43" s="2146"/>
      <c r="U43" s="2146"/>
      <c r="V43" s="2146"/>
    </row>
    <row r="44" spans="1:22" s="2147" customFormat="1" ht="18" customHeight="1">
      <c r="A44" s="2143"/>
      <c r="B44" s="2143"/>
      <c r="C44" s="1267"/>
      <c r="D44" s="1267"/>
      <c r="E44" s="1267"/>
      <c r="F44" s="1267"/>
      <c r="G44" s="1267"/>
      <c r="H44" s="9"/>
      <c r="I44" s="9"/>
      <c r="J44" s="2144"/>
      <c r="K44" s="2145"/>
      <c r="L44" s="2145"/>
      <c r="M44" s="9"/>
      <c r="N44" s="1267"/>
      <c r="O44" s="9"/>
      <c r="P44" s="1267"/>
      <c r="Q44" s="1267"/>
      <c r="R44" s="1267"/>
      <c r="S44" s="2146"/>
      <c r="T44" s="2146"/>
      <c r="U44" s="2146"/>
      <c r="V44" s="2146"/>
    </row>
    <row r="45" spans="1:22" s="2147" customFormat="1" ht="18" customHeight="1">
      <c r="A45" s="2143"/>
      <c r="B45" s="2143"/>
      <c r="C45" s="1267"/>
      <c r="D45" s="1267"/>
      <c r="E45" s="1267"/>
      <c r="F45" s="1267"/>
      <c r="G45" s="1267"/>
      <c r="H45" s="9"/>
      <c r="I45" s="9"/>
      <c r="J45" s="2144"/>
      <c r="K45" s="2145"/>
      <c r="L45" s="2145"/>
      <c r="M45" s="9"/>
      <c r="N45" s="1267"/>
      <c r="O45" s="9"/>
      <c r="P45" s="1267"/>
      <c r="Q45" s="1267"/>
      <c r="R45" s="1267"/>
      <c r="S45" s="2146"/>
      <c r="T45" s="2146"/>
      <c r="U45" s="2146"/>
      <c r="V45" s="2146"/>
    </row>
    <row r="46" spans="1:22" s="2147" customFormat="1" ht="18" customHeight="1">
      <c r="A46" s="2143"/>
      <c r="B46" s="2143"/>
      <c r="C46" s="1267"/>
      <c r="D46" s="1267"/>
      <c r="E46" s="1267"/>
      <c r="F46" s="1267"/>
      <c r="G46" s="1267"/>
      <c r="H46" s="9"/>
      <c r="I46" s="9"/>
      <c r="J46" s="2144"/>
      <c r="K46" s="2145"/>
      <c r="L46" s="2145"/>
      <c r="M46" s="9"/>
      <c r="N46" s="1267"/>
      <c r="O46" s="9"/>
      <c r="P46" s="1267"/>
      <c r="Q46" s="1267"/>
      <c r="R46" s="1267"/>
      <c r="S46" s="2146"/>
      <c r="T46" s="2146"/>
      <c r="U46" s="2146"/>
      <c r="V46" s="2146"/>
    </row>
    <row r="47" spans="1:22" s="2147" customFormat="1" ht="18" customHeight="1">
      <c r="A47" s="2143"/>
      <c r="B47" s="2143"/>
      <c r="C47" s="1267"/>
      <c r="D47" s="1267"/>
      <c r="E47" s="1267"/>
      <c r="F47" s="1267"/>
      <c r="G47" s="1267"/>
      <c r="H47" s="9"/>
      <c r="I47" s="9"/>
      <c r="J47" s="2144"/>
      <c r="K47" s="2145"/>
      <c r="L47" s="2145"/>
      <c r="M47" s="9"/>
      <c r="N47" s="1267"/>
      <c r="O47" s="9"/>
      <c r="P47" s="1267"/>
      <c r="Q47" s="1267"/>
      <c r="R47" s="1267"/>
      <c r="S47" s="2146"/>
      <c r="T47" s="2146"/>
      <c r="U47" s="2146"/>
      <c r="V47" s="2146"/>
    </row>
    <row r="48" spans="1:22" s="2147" customFormat="1" ht="18" customHeight="1">
      <c r="A48" s="2143"/>
      <c r="B48" s="2143"/>
      <c r="C48" s="1267"/>
      <c r="D48" s="1267"/>
      <c r="E48" s="1267"/>
      <c r="F48" s="1267"/>
      <c r="G48" s="1267"/>
      <c r="H48" s="9"/>
      <c r="I48" s="9"/>
      <c r="J48" s="2144"/>
      <c r="K48" s="2145"/>
      <c r="L48" s="2145"/>
      <c r="M48" s="9"/>
      <c r="N48" s="1267"/>
      <c r="O48" s="9"/>
      <c r="P48" s="1267"/>
      <c r="Q48" s="1267"/>
      <c r="R48" s="1267"/>
      <c r="S48" s="2146"/>
      <c r="T48" s="2146"/>
      <c r="U48" s="2146"/>
      <c r="V48" s="2146"/>
    </row>
    <row r="49" spans="1:22" s="2147" customFormat="1" ht="18" customHeight="1">
      <c r="A49" s="2143"/>
      <c r="B49" s="2143"/>
      <c r="C49" s="1267"/>
      <c r="D49" s="1267"/>
      <c r="E49" s="1267"/>
      <c r="F49" s="1267"/>
      <c r="G49" s="1267"/>
      <c r="H49" s="9"/>
      <c r="I49" s="9"/>
      <c r="J49" s="2144"/>
      <c r="K49" s="2145"/>
      <c r="L49" s="2145"/>
      <c r="M49" s="9"/>
      <c r="N49" s="1267"/>
      <c r="O49" s="9"/>
      <c r="P49" s="1267"/>
      <c r="Q49" s="1267"/>
      <c r="R49" s="1267"/>
      <c r="S49" s="2146"/>
      <c r="T49" s="2146"/>
      <c r="U49" s="2146"/>
      <c r="V49" s="2146"/>
    </row>
    <row r="50" spans="1:22" s="2147" customFormat="1" ht="18" customHeight="1">
      <c r="A50" s="2143"/>
      <c r="B50" s="2143"/>
      <c r="C50" s="1267"/>
      <c r="D50" s="1267"/>
      <c r="E50" s="1267"/>
      <c r="F50" s="1267"/>
      <c r="G50" s="1267"/>
      <c r="H50" s="9"/>
      <c r="I50" s="9"/>
      <c r="J50" s="2144"/>
      <c r="K50" s="2145"/>
      <c r="L50" s="2145"/>
      <c r="M50" s="9"/>
      <c r="N50" s="1267"/>
      <c r="O50" s="9"/>
      <c r="P50" s="1267"/>
      <c r="Q50" s="1267"/>
      <c r="R50" s="1267"/>
      <c r="S50" s="2146"/>
      <c r="T50" s="2146"/>
      <c r="U50" s="2146"/>
      <c r="V50" s="2146"/>
    </row>
    <row r="51" spans="1:22" s="2147" customFormat="1" ht="18" customHeight="1">
      <c r="A51" s="2143"/>
      <c r="B51" s="2143"/>
      <c r="C51" s="1267"/>
      <c r="D51" s="1267"/>
      <c r="E51" s="1267"/>
      <c r="F51" s="1267"/>
      <c r="G51" s="1267"/>
      <c r="H51" s="9"/>
      <c r="I51" s="9"/>
      <c r="J51" s="2144"/>
      <c r="K51" s="2145"/>
      <c r="L51" s="2145"/>
      <c r="M51" s="9"/>
      <c r="N51" s="1267"/>
      <c r="O51" s="9"/>
      <c r="P51" s="1267"/>
      <c r="Q51" s="1267"/>
      <c r="R51" s="1267"/>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hidden="1" customWidth="1"/>
    <col min="12" max="14" width="9.5" style="2149" hidden="1" customWidth="1"/>
    <col min="15" max="15" width="9.875" style="2149" hidden="1" customWidth="1"/>
    <col min="16" max="16" width="9.75" style="2149" hidden="1" customWidth="1"/>
    <col min="17" max="17" width="9.375" style="2149" hidden="1" customWidth="1"/>
    <col min="18" max="18" width="9.25" style="2149" hidden="1" customWidth="1"/>
    <col min="19" max="19" width="10.875" style="2149" hidden="1" customWidth="1"/>
    <col min="20" max="21" width="10.75" style="2149" hidden="1" customWidth="1"/>
    <col min="22" max="22" width="10.875" style="2149" hidden="1" customWidth="1"/>
    <col min="23" max="27" width="10.75" style="2149" hidden="1" customWidth="1"/>
    <col min="28" max="28" width="10.875" style="2149" hidden="1" customWidth="1"/>
    <col min="29" max="29" width="11" style="2149" hidden="1" customWidth="1"/>
    <col min="30" max="30" width="10" style="2149" hidden="1" customWidth="1"/>
    <col min="31" max="31" width="9.75" style="2149" hidden="1" customWidth="1"/>
    <col min="32" max="46" width="9.5" style="2149" hidden="1" customWidth="1"/>
    <col min="47" max="47" width="18.125" style="2149" hidden="1"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1868</v>
      </c>
      <c r="B2" s="11" t="s">
        <v>1869</v>
      </c>
      <c r="C2" s="11" t="s">
        <v>1870</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4" t="s">
        <v>1871</v>
      </c>
      <c r="AZ2" s="1265" t="s">
        <v>1872</v>
      </c>
      <c r="BA2" s="11" t="s">
        <v>1873</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3037">
        <f>Sheet1!F49</f>
        <v>1832.2200000000003</v>
      </c>
      <c r="B3" s="13">
        <f>IF(C3="否",G5-AT5,G5)</f>
        <v>14099.390000000001</v>
      </c>
      <c r="C3" s="2158" t="s">
        <v>1874</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6"/>
      <c r="AZ3" s="1267"/>
      <c r="BA3" s="1268"/>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4" t="s">
        <v>1875</v>
      </c>
      <c r="B5" s="1798"/>
      <c r="C5" s="1798"/>
      <c r="D5" s="1801"/>
      <c r="E5" s="15" t="s">
        <v>1</v>
      </c>
      <c r="F5" s="15">
        <f>SUM(F13:F587)</f>
        <v>0</v>
      </c>
      <c r="G5" s="15">
        <f>SUM(G13:G587)</f>
        <v>14099.390000000001</v>
      </c>
      <c r="H5" s="15">
        <f t="shared" ref="H5:AT5" si="0">SUM(H13:H656)</f>
        <v>14099.390000000001</v>
      </c>
      <c r="I5" s="15">
        <f t="shared" si="0"/>
        <v>14099.390000000001</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7"/>
      <c r="AV5" s="14" t="s">
        <v>1875</v>
      </c>
      <c r="AW5" s="1798"/>
      <c r="AX5" s="1798"/>
      <c r="AY5" s="16" t="s">
        <v>3</v>
      </c>
      <c r="AZ5" s="17">
        <f t="shared" ref="AZ5:BT5" si="1">SUM(AZ13:AZ656)</f>
        <v>14099.390000000001</v>
      </c>
      <c r="BA5" s="17">
        <f t="shared" si="1"/>
        <v>14099.390000000001</v>
      </c>
      <c r="BB5" s="17">
        <f t="shared" si="1"/>
        <v>14099.390000000001</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67" customFormat="1" ht="12.75">
      <c r="A6" s="14" t="s">
        <v>1876</v>
      </c>
      <c r="B6" s="2164"/>
      <c r="C6" s="2164"/>
      <c r="D6" s="2165"/>
      <c r="E6" s="15">
        <f>H6+AC6+AT6</f>
        <v>1832.22</v>
      </c>
      <c r="F6" s="15" t="s">
        <v>1</v>
      </c>
      <c r="G6" s="15" t="s">
        <v>2</v>
      </c>
      <c r="H6" s="19">
        <f>SUMIF(I$12:AB$12,"总值",I6:AB6)</f>
        <v>1832.22</v>
      </c>
      <c r="I6" s="15">
        <f t="shared" ref="I6:AB6" si="2">ROUND($A$3*I5/$B$3,2)</f>
        <v>1832.22</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6"/>
      <c r="AV6" s="14" t="s">
        <v>1876</v>
      </c>
      <c r="AW6" s="2164"/>
      <c r="AX6" s="2164"/>
      <c r="AY6" s="20">
        <f>IF(AY3&gt;0,AY3,ROUND($A$3*AZ5/$B$3,2))</f>
        <v>1832.22</v>
      </c>
      <c r="AZ6" s="15" t="s">
        <v>3</v>
      </c>
      <c r="BA6" s="15">
        <f>ROUND($AY$6*BA5/$AZ$5,2)</f>
        <v>1832.22</v>
      </c>
      <c r="BB6" s="15">
        <f>ROUND($AY$6*BB5/$AZ$5,2)</f>
        <v>1832.22</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57" customFormat="1" ht="24.75">
      <c r="A7" s="2099" t="s">
        <v>1877</v>
      </c>
      <c r="B7" s="2099" t="s">
        <v>1878</v>
      </c>
      <c r="C7" s="2099" t="s">
        <v>1879</v>
      </c>
      <c r="D7" s="2099" t="s">
        <v>1880</v>
      </c>
      <c r="E7" s="2099" t="s">
        <v>1881</v>
      </c>
      <c r="F7" s="2099" t="s">
        <v>1882</v>
      </c>
      <c r="G7" s="2168" t="s">
        <v>1883</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1"/>
      <c r="AU7" s="2169" t="s">
        <v>1884</v>
      </c>
      <c r="AV7" s="22" t="s">
        <v>1885</v>
      </c>
      <c r="AW7" s="2156" t="s">
        <v>1886</v>
      </c>
      <c r="AX7" s="22" t="s">
        <v>1879</v>
      </c>
      <c r="AY7" s="1798" t="s">
        <v>1887</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1888</v>
      </c>
      <c r="H8" s="2174" t="s">
        <v>1889</v>
      </c>
      <c r="I8" s="2175"/>
      <c r="J8" s="1813"/>
      <c r="K8" s="1813"/>
      <c r="L8" s="1813"/>
      <c r="M8" s="1813"/>
      <c r="N8" s="1813"/>
      <c r="O8" s="1813"/>
      <c r="P8" s="1813"/>
      <c r="Q8" s="1813"/>
      <c r="R8" s="1813"/>
      <c r="S8" s="1813"/>
      <c r="T8" s="1813"/>
      <c r="U8" s="1813"/>
      <c r="V8" s="2176"/>
      <c r="W8" s="1813"/>
      <c r="X8" s="1813"/>
      <c r="Y8" s="1813"/>
      <c r="Z8" s="1813"/>
      <c r="AA8" s="2176"/>
      <c r="AB8" s="2177"/>
      <c r="AC8" s="978" t="s">
        <v>1890</v>
      </c>
      <c r="AD8" s="2178"/>
      <c r="AE8" s="2170"/>
      <c r="AF8" s="1813"/>
      <c r="AG8" s="1813"/>
      <c r="AH8" s="1813"/>
      <c r="AI8" s="1813"/>
      <c r="AJ8" s="1813"/>
      <c r="AK8" s="1813"/>
      <c r="AL8" s="1813"/>
      <c r="AM8" s="1813"/>
      <c r="AN8" s="1813"/>
      <c r="AO8" s="1813"/>
      <c r="AP8" s="1813"/>
      <c r="AQ8" s="1813"/>
      <c r="AR8" s="1813"/>
      <c r="AS8" s="1813"/>
      <c r="AT8" s="1287" t="s">
        <v>1891</v>
      </c>
      <c r="AU8" s="2172" t="s">
        <v>1892</v>
      </c>
      <c r="AV8" s="1287"/>
      <c r="AW8" s="2155"/>
      <c r="AX8" s="1287"/>
      <c r="AY8" s="2156"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79" customFormat="1" ht="12.75">
      <c r="A9" s="2172"/>
      <c r="B9" s="2172"/>
      <c r="C9" s="2172"/>
      <c r="D9" s="2172"/>
      <c r="E9" s="2172"/>
      <c r="F9" s="2172"/>
      <c r="G9" s="1287"/>
      <c r="H9" s="2180" t="s">
        <v>1895</v>
      </c>
      <c r="I9" s="2181" t="s">
        <v>3063</v>
      </c>
      <c r="J9" s="978"/>
      <c r="K9" s="2181"/>
      <c r="L9" s="978"/>
      <c r="M9" s="2181"/>
      <c r="N9" s="978"/>
      <c r="O9" s="2181"/>
      <c r="P9" s="978"/>
      <c r="Q9" s="2181"/>
      <c r="R9" s="978"/>
      <c r="S9" s="2181"/>
      <c r="T9" s="978"/>
      <c r="U9" s="2181"/>
      <c r="V9" s="978"/>
      <c r="W9" s="2181"/>
      <c r="X9" s="2182"/>
      <c r="Y9" s="2181"/>
      <c r="Z9" s="978"/>
      <c r="AA9" s="2181"/>
      <c r="AB9" s="978"/>
      <c r="AC9" s="2173" t="s">
        <v>1895</v>
      </c>
      <c r="AD9" s="14" t="s">
        <v>1896</v>
      </c>
      <c r="AE9" s="1293"/>
      <c r="AF9" s="14" t="s">
        <v>1897</v>
      </c>
      <c r="AG9" s="1293"/>
      <c r="AH9" s="14" t="s">
        <v>1896</v>
      </c>
      <c r="AI9" s="1293"/>
      <c r="AJ9" s="14" t="s">
        <v>1897</v>
      </c>
      <c r="AK9" s="1293"/>
      <c r="AL9" s="14" t="s">
        <v>1896</v>
      </c>
      <c r="AM9" s="1293"/>
      <c r="AN9" s="14" t="s">
        <v>1897</v>
      </c>
      <c r="AO9" s="1293"/>
      <c r="AP9" s="14" t="s">
        <v>1896</v>
      </c>
      <c r="AQ9" s="1293"/>
      <c r="AR9" s="14" t="s">
        <v>1897</v>
      </c>
      <c r="AS9" s="2183"/>
      <c r="AT9" s="2172"/>
      <c r="AU9" s="2172" t="s">
        <v>1898</v>
      </c>
      <c r="AV9" s="1287"/>
      <c r="AW9" s="2155"/>
      <c r="AX9" s="1287"/>
      <c r="AY9" s="27"/>
      <c r="AZ9" s="27" t="s">
        <v>1888</v>
      </c>
      <c r="BA9" s="2184" t="s">
        <v>1899</v>
      </c>
      <c r="BB9" s="2185"/>
      <c r="BC9" s="1333"/>
      <c r="BD9" s="1333"/>
      <c r="BE9" s="1333"/>
      <c r="BF9" s="1333"/>
      <c r="BG9" s="1333"/>
      <c r="BH9" s="1333"/>
      <c r="BI9" s="1333"/>
      <c r="BJ9" s="1333"/>
      <c r="BK9" s="2186"/>
      <c r="BL9" s="14" t="s">
        <v>1900</v>
      </c>
      <c r="BM9" s="1813"/>
      <c r="BN9" s="2175"/>
      <c r="BO9" s="1813"/>
      <c r="BP9" s="1813"/>
      <c r="BQ9" s="1813"/>
      <c r="BR9" s="1813"/>
      <c r="BS9" s="1813"/>
      <c r="BT9" s="25"/>
    </row>
    <row r="10" spans="1:72" s="2179" customFormat="1" ht="12.75">
      <c r="A10" s="2172"/>
      <c r="B10" s="2172"/>
      <c r="C10" s="2172"/>
      <c r="D10" s="2172"/>
      <c r="E10" s="2172"/>
      <c r="F10" s="2172"/>
      <c r="G10" s="1287"/>
      <c r="H10" s="27"/>
      <c r="I10" s="2181" t="s">
        <v>1377</v>
      </c>
      <c r="J10" s="978"/>
      <c r="K10" s="2187"/>
      <c r="L10" s="978"/>
      <c r="M10" s="2187"/>
      <c r="N10" s="978"/>
      <c r="O10" s="2187"/>
      <c r="P10" s="978"/>
      <c r="Q10" s="2187"/>
      <c r="R10" s="978"/>
      <c r="S10" s="2187"/>
      <c r="T10" s="978"/>
      <c r="U10" s="2187"/>
      <c r="V10" s="978"/>
      <c r="W10" s="2187"/>
      <c r="X10" s="978"/>
      <c r="Y10" s="2187"/>
      <c r="Z10" s="978"/>
      <c r="AA10" s="2187"/>
      <c r="AB10" s="978"/>
      <c r="AC10" s="1287"/>
      <c r="AD10" s="14" t="s">
        <v>1901</v>
      </c>
      <c r="AE10" s="2188"/>
      <c r="AF10" s="14" t="s">
        <v>1901</v>
      </c>
      <c r="AG10" s="2188"/>
      <c r="AH10" s="14" t="s">
        <v>1902</v>
      </c>
      <c r="AI10" s="2188"/>
      <c r="AJ10" s="14" t="s">
        <v>1902</v>
      </c>
      <c r="AK10" s="2188"/>
      <c r="AL10" s="14" t="s">
        <v>1903</v>
      </c>
      <c r="AM10" s="1293"/>
      <c r="AN10" s="14" t="s">
        <v>1903</v>
      </c>
      <c r="AO10" s="1293"/>
      <c r="AP10" s="14" t="s">
        <v>1904</v>
      </c>
      <c r="AQ10" s="1293"/>
      <c r="AR10" s="14" t="s">
        <v>1904</v>
      </c>
      <c r="AS10" s="1293"/>
      <c r="AT10" s="2172"/>
      <c r="AU10" s="2172"/>
      <c r="AV10" s="1287"/>
      <c r="AW10" s="2155"/>
      <c r="AX10" s="1287"/>
      <c r="AY10" s="27"/>
      <c r="AZ10" s="27"/>
      <c r="BA10" s="2189" t="s">
        <v>1895</v>
      </c>
      <c r="BB10" s="2190" t="str">
        <f>I9</f>
        <v>地上</v>
      </c>
      <c r="BC10" s="28">
        <f>K9</f>
        <v>0</v>
      </c>
      <c r="BD10" s="28">
        <f>M9</f>
        <v>0</v>
      </c>
      <c r="BE10" s="28">
        <f>O9</f>
        <v>0</v>
      </c>
      <c r="BF10" s="28">
        <f>Q9</f>
        <v>0</v>
      </c>
      <c r="BG10" s="28">
        <f>S9</f>
        <v>0</v>
      </c>
      <c r="BH10" s="28">
        <f>U9</f>
        <v>0</v>
      </c>
      <c r="BI10" s="28">
        <f>W9</f>
        <v>0</v>
      </c>
      <c r="BJ10" s="28">
        <f>Y9</f>
        <v>0</v>
      </c>
      <c r="BK10" s="28">
        <f>AA9</f>
        <v>0</v>
      </c>
      <c r="BL10" s="24" t="s">
        <v>1895</v>
      </c>
      <c r="BM10" s="1812" t="str">
        <f>AD9</f>
        <v>地上</v>
      </c>
      <c r="BN10" s="28" t="str">
        <f>AF9</f>
        <v>地下</v>
      </c>
      <c r="BO10" s="1812" t="str">
        <f>AH9</f>
        <v>地上</v>
      </c>
      <c r="BP10" s="28" t="str">
        <f>AJ9</f>
        <v>地下</v>
      </c>
      <c r="BQ10" s="1812" t="str">
        <f>AL9</f>
        <v>地上</v>
      </c>
      <c r="BR10" s="28" t="str">
        <f>AN9</f>
        <v>地下</v>
      </c>
      <c r="BS10" s="1812" t="str">
        <f>AP9</f>
        <v>地上</v>
      </c>
      <c r="BT10" s="2191" t="str">
        <f>AR9</f>
        <v>地下</v>
      </c>
    </row>
    <row r="11" spans="1:72" s="2179" customFormat="1" ht="12.75">
      <c r="A11" s="2172"/>
      <c r="B11" s="2172"/>
      <c r="C11" s="2172"/>
      <c r="D11" s="2172"/>
      <c r="E11" s="2172"/>
      <c r="F11" s="2172"/>
      <c r="G11" s="1287"/>
      <c r="H11" s="2189"/>
      <c r="I11" s="2192" t="s">
        <v>3209</v>
      </c>
      <c r="J11" s="2193"/>
      <c r="K11" s="2192"/>
      <c r="L11" s="2193"/>
      <c r="M11" s="2192"/>
      <c r="N11" s="2193"/>
      <c r="O11" s="2192"/>
      <c r="P11" s="2193"/>
      <c r="Q11" s="2192"/>
      <c r="R11" s="2193"/>
      <c r="S11" s="2192"/>
      <c r="T11" s="2193"/>
      <c r="U11" s="2192"/>
      <c r="V11" s="2193"/>
      <c r="W11" s="2192"/>
      <c r="X11" s="2193"/>
      <c r="Y11" s="2192"/>
      <c r="Z11" s="2193"/>
      <c r="AA11" s="2192"/>
      <c r="AB11" s="2193"/>
      <c r="AC11" s="1287"/>
      <c r="AD11" s="2194" t="s">
        <v>1905</v>
      </c>
      <c r="AE11" s="1814"/>
      <c r="AF11" s="2194" t="s">
        <v>1905</v>
      </c>
      <c r="AG11" s="1814"/>
      <c r="AH11" s="2194" t="s">
        <v>1906</v>
      </c>
      <c r="AI11" s="2195"/>
      <c r="AJ11" s="2194" t="s">
        <v>1906</v>
      </c>
      <c r="AK11" s="1814"/>
      <c r="AL11" s="1812"/>
      <c r="AM11" s="1814"/>
      <c r="AN11" s="1812"/>
      <c r="AO11" s="1814"/>
      <c r="AP11" s="1812"/>
      <c r="AQ11" s="1814"/>
      <c r="AR11" s="1812"/>
      <c r="AS11" s="1814"/>
      <c r="AT11" s="2155"/>
      <c r="AU11" s="2172"/>
      <c r="AV11" s="1287"/>
      <c r="AW11" s="2155"/>
      <c r="AX11" s="1287"/>
      <c r="AY11" s="27"/>
      <c r="AZ11" s="27"/>
      <c r="BA11" s="27"/>
      <c r="BB11" s="2177" t="str">
        <f>I10</f>
        <v>商业</v>
      </c>
      <c r="BC11" s="2177">
        <f>K10</f>
        <v>0</v>
      </c>
      <c r="BD11" s="2177">
        <f>M10</f>
        <v>0</v>
      </c>
      <c r="BE11" s="2177">
        <f>O10</f>
        <v>0</v>
      </c>
      <c r="BF11" s="2177">
        <f>Q10</f>
        <v>0</v>
      </c>
      <c r="BG11" s="2177">
        <f>S10</f>
        <v>0</v>
      </c>
      <c r="BH11" s="2177">
        <f>U10</f>
        <v>0</v>
      </c>
      <c r="BI11" s="2177">
        <f>W10</f>
        <v>0</v>
      </c>
      <c r="BJ11" s="2177">
        <f>Y10</f>
        <v>0</v>
      </c>
      <c r="BK11" s="2177">
        <f>AA10</f>
        <v>0</v>
      </c>
      <c r="BL11" s="1287"/>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196" t="str">
        <f>AR10</f>
        <v>未注明</v>
      </c>
    </row>
    <row r="12" spans="1:72" s="2157" customFormat="1" ht="12.75">
      <c r="A12" s="2197"/>
      <c r="B12" s="2197"/>
      <c r="C12" s="2197"/>
      <c r="D12" s="2197"/>
      <c r="E12" s="2197"/>
      <c r="F12" s="2197"/>
      <c r="G12" s="29"/>
      <c r="H12" s="2198"/>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199"/>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29" t="s">
        <v>1907</v>
      </c>
      <c r="AS12" s="2197" t="s">
        <v>1908</v>
      </c>
      <c r="AT12" s="2200"/>
      <c r="AU12" s="2197"/>
      <c r="AV12" s="30"/>
      <c r="AW12" s="2156"/>
      <c r="AX12" s="30"/>
      <c r="AY12" s="2201"/>
      <c r="AZ12" s="27"/>
      <c r="BA12" s="2189"/>
      <c r="BB12" s="23" t="str">
        <f>I11</f>
        <v>底商</v>
      </c>
      <c r="BC12" s="2202">
        <f>K11</f>
        <v>0</v>
      </c>
      <c r="BD12" s="2202">
        <f>M11</f>
        <v>0</v>
      </c>
      <c r="BE12" s="2177">
        <f>O11</f>
        <v>0</v>
      </c>
      <c r="BF12" s="2177">
        <f>Q11</f>
        <v>0</v>
      </c>
      <c r="BG12" s="2177">
        <f>S11</f>
        <v>0</v>
      </c>
      <c r="BH12" s="2177">
        <f>U11</f>
        <v>0</v>
      </c>
      <c r="BI12" s="2177">
        <f>W11</f>
        <v>0</v>
      </c>
      <c r="BJ12" s="2177">
        <f>Y11</f>
        <v>0</v>
      </c>
      <c r="BK12" s="2177">
        <f>AA11</f>
        <v>0</v>
      </c>
      <c r="BL12" s="1287"/>
      <c r="BM12" s="1812" t="str">
        <f>AD11</f>
        <v>（住宅）</v>
      </c>
      <c r="BN12" s="1812" t="str">
        <f>AF11</f>
        <v>（住宅）</v>
      </c>
      <c r="BO12" s="23" t="str">
        <f>AH11</f>
        <v>（住宅、计出让金）</v>
      </c>
      <c r="BP12" s="23" t="str">
        <f>AJ11</f>
        <v>（住宅、计出让金）</v>
      </c>
      <c r="BQ12" s="23">
        <f>AL11</f>
        <v>0</v>
      </c>
      <c r="BR12" s="23">
        <f>AN11</f>
        <v>0</v>
      </c>
      <c r="BS12" s="24">
        <f>AP11</f>
        <v>0</v>
      </c>
      <c r="BT12" s="2196">
        <f>AR11</f>
        <v>0</v>
      </c>
    </row>
    <row r="13" spans="1:72" s="2157" customFormat="1" ht="12.75">
      <c r="A13" s="1267"/>
      <c r="B13" s="1267"/>
      <c r="C13" s="2995" t="s">
        <v>3220</v>
      </c>
      <c r="D13" s="2203" t="s">
        <v>3062</v>
      </c>
      <c r="E13" s="15">
        <f>IF($C$3="是",ROUND($A$3*G13/$B$3,2),ROUND($A$3*(G13-AT13)/$B$3,2))</f>
        <v>1832.22</v>
      </c>
      <c r="F13" s="31"/>
      <c r="G13" s="32">
        <f>H13+AC13+AT13</f>
        <v>14099.390000000001</v>
      </c>
      <c r="H13" s="19">
        <f>SUMIF(I$12:AB$12,"总值",I13:AB13)</f>
        <v>14099.390000000001</v>
      </c>
      <c r="I13" s="2204">
        <f>Sheet1!E49</f>
        <v>14099.390000000001</v>
      </c>
      <c r="J13" s="2204"/>
      <c r="K13" s="2204"/>
      <c r="L13" s="2204"/>
      <c r="M13" s="2204"/>
      <c r="N13" s="2204"/>
      <c r="O13" s="2204"/>
      <c r="P13" s="2204"/>
      <c r="Q13" s="2204"/>
      <c r="R13" s="2204"/>
      <c r="S13" s="2204"/>
      <c r="T13" s="2204"/>
      <c r="U13" s="2204"/>
      <c r="V13" s="2204"/>
      <c r="W13" s="2204"/>
      <c r="X13" s="2204"/>
      <c r="Y13" s="2204"/>
      <c r="Z13" s="2204"/>
      <c r="AA13" s="2204"/>
      <c r="AB13" s="2204"/>
      <c r="AC13" s="15">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同安家园</v>
      </c>
      <c r="AY13" s="1801">
        <f>ROUND($AY$6*AZ13/$AZ$5,2)</f>
        <v>1832.22</v>
      </c>
      <c r="AZ13" s="15">
        <f>BA13+BL13</f>
        <v>14099.390000000001</v>
      </c>
      <c r="BA13" s="15">
        <f>SUM(BB13:BK13)</f>
        <v>14099.390000000001</v>
      </c>
      <c r="BB13" s="15">
        <f>IF($D13="是",I13-J13,0)</f>
        <v>14099.390000000001</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57" customFormat="1" ht="12.75">
      <c r="A14" s="1267"/>
      <c r="B14" s="1267"/>
      <c r="C14" s="2143"/>
      <c r="D14" s="2203"/>
      <c r="E14" s="15">
        <f>IF($C$3="是",ROUND($A$3*G14/$B$3,2),ROUND($A$3*(G14-AT14)/$B$3,2))</f>
        <v>0</v>
      </c>
      <c r="F14" s="31"/>
      <c r="G14" s="32">
        <f>H14+AC14+AT14</f>
        <v>0</v>
      </c>
      <c r="H14" s="19">
        <f>SUMIF(I$12:AB$12,"总值",I14:AB14)</f>
        <v>0</v>
      </c>
      <c r="I14" s="2204"/>
      <c r="J14" s="2204"/>
      <c r="K14" s="2204"/>
      <c r="L14" s="2204"/>
      <c r="M14" s="2204"/>
      <c r="N14" s="2204"/>
      <c r="O14" s="2204"/>
      <c r="P14" s="2204"/>
      <c r="Q14" s="2204"/>
      <c r="R14" s="2204"/>
      <c r="S14" s="2204"/>
      <c r="T14" s="2204"/>
      <c r="U14" s="2204"/>
      <c r="V14" s="2204"/>
      <c r="W14" s="2204"/>
      <c r="X14" s="2204"/>
      <c r="Y14" s="2204"/>
      <c r="Z14" s="2204"/>
      <c r="AA14" s="2204"/>
      <c r="AB14" s="2204"/>
      <c r="AC14" s="15">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f t="shared" si="6"/>
        <v>0</v>
      </c>
      <c r="AY14" s="180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57" customFormat="1" ht="12.75">
      <c r="A15" s="1267"/>
      <c r="B15" s="1267"/>
      <c r="C15" s="2143"/>
      <c r="D15" s="2203"/>
      <c r="E15" s="15">
        <f>IF($C$3="是",ROUND($A$3*G15/$B$3,2),ROUND($A$3*(G15-AT15)/$B$3,2))</f>
        <v>0</v>
      </c>
      <c r="F15" s="31"/>
      <c r="G15" s="32">
        <f>H15+AC15+AT15</f>
        <v>0</v>
      </c>
      <c r="H15" s="19">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5">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8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57" customFormat="1" ht="12.75">
      <c r="A16" s="1267"/>
      <c r="B16" s="1267"/>
      <c r="C16" s="2143"/>
      <c r="D16" s="2203"/>
      <c r="E16" s="15">
        <f>IF($C$3="是",ROUND($A$3*G16/$B$3,2),ROUND($A$3*(G16-AT16)/$B$3,2))</f>
        <v>0</v>
      </c>
      <c r="F16" s="31"/>
      <c r="G16" s="32">
        <f>H16+AC16+AT16</f>
        <v>0</v>
      </c>
      <c r="H16" s="19">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5">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80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57" customFormat="1" ht="12.75">
      <c r="A17" s="1267"/>
      <c r="B17" s="1267"/>
      <c r="C17" s="2143"/>
      <c r="D17" s="2203"/>
      <c r="E17" s="15">
        <f>IF($C$3="是",ROUND($A$3*G17/$B$3,2),ROUND($A$3*(G17-AT17)/$B$3,2))</f>
        <v>0</v>
      </c>
      <c r="F17" s="31"/>
      <c r="G17" s="32">
        <f>H17+AC17+AT17</f>
        <v>0</v>
      </c>
      <c r="H17" s="19">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5">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08"/>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09"/>
      <c r="AV18" s="1790">
        <f t="shared" ref="AV18:AV112" si="11">A18</f>
        <v>0</v>
      </c>
      <c r="AW18" s="1790">
        <f t="shared" ref="AW18:AW112" si="12">B18</f>
        <v>0</v>
      </c>
      <c r="AX18" s="17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08"/>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09"/>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08"/>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09"/>
      <c r="AV20" s="1790">
        <f t="shared" si="11"/>
        <v>0</v>
      </c>
      <c r="AW20" s="1790">
        <f t="shared" si="12"/>
        <v>0</v>
      </c>
      <c r="AX20" s="17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08"/>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09"/>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08"/>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09"/>
      <c r="AV22" s="1790">
        <f t="shared" si="11"/>
        <v>0</v>
      </c>
      <c r="AW22" s="1790">
        <f t="shared" si="12"/>
        <v>0</v>
      </c>
      <c r="AX22" s="17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08"/>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09"/>
      <c r="AV23" s="1790">
        <f t="shared" si="11"/>
        <v>0</v>
      </c>
      <c r="AW23" s="1790">
        <f t="shared" si="12"/>
        <v>0</v>
      </c>
      <c r="AX23" s="17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08"/>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09"/>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08"/>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09"/>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08"/>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09"/>
      <c r="AV26" s="1790">
        <f t="shared" si="11"/>
        <v>0</v>
      </c>
      <c r="AW26" s="1790">
        <f t="shared" si="12"/>
        <v>0</v>
      </c>
      <c r="AX26" s="17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08"/>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09"/>
      <c r="AV27" s="1790">
        <f t="shared" si="11"/>
        <v>0</v>
      </c>
      <c r="AW27" s="1790">
        <f t="shared" si="12"/>
        <v>0</v>
      </c>
      <c r="AX27" s="17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08"/>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09"/>
      <c r="AV28" s="1790">
        <f t="shared" si="11"/>
        <v>0</v>
      </c>
      <c r="AW28" s="1790">
        <f t="shared" si="12"/>
        <v>0</v>
      </c>
      <c r="AX28" s="17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08"/>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09"/>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08"/>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09"/>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08"/>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09"/>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08"/>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09"/>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08"/>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09"/>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08"/>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09"/>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08"/>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09"/>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08"/>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09"/>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08"/>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09"/>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08"/>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09"/>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08"/>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09"/>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08"/>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09"/>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08"/>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09"/>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08"/>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09"/>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08"/>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09"/>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08"/>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09"/>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08"/>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09"/>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08"/>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09"/>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08"/>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09"/>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08"/>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09"/>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08"/>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09"/>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08"/>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09"/>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08"/>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09"/>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08"/>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09"/>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08"/>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09"/>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08"/>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09"/>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08"/>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09"/>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08"/>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09"/>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08"/>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09"/>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08"/>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09"/>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08"/>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09"/>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08"/>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09"/>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08"/>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09"/>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08"/>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09"/>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08"/>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09"/>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08"/>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09"/>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08"/>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09"/>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08"/>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09"/>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08"/>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09"/>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08"/>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09"/>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08"/>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09"/>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08"/>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09"/>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08"/>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09"/>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08"/>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09"/>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08"/>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09"/>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08"/>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09"/>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08"/>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09"/>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08"/>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09"/>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08"/>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09"/>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08"/>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09"/>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08"/>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09"/>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08"/>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09"/>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08"/>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09"/>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08"/>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09"/>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08"/>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09"/>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08"/>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09"/>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08"/>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09"/>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08"/>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09"/>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08"/>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09"/>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08"/>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09"/>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08"/>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09"/>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08"/>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09"/>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08"/>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09"/>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08"/>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09"/>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08"/>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09"/>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08"/>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09"/>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08"/>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09"/>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08"/>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09"/>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08"/>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09"/>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08"/>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09"/>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08"/>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09"/>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08"/>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09"/>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08"/>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09"/>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08"/>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09"/>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08"/>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09"/>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08"/>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09"/>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08"/>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09"/>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08"/>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09"/>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08"/>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09"/>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08"/>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09"/>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08"/>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09"/>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08"/>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4"/>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08"/>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4"/>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08"/>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4"/>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08"/>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09"/>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08"/>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09"/>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08"/>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09"/>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08"/>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09"/>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08"/>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09"/>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08"/>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09"/>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08"/>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09"/>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08"/>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09"/>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08"/>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09"/>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08"/>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09"/>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08"/>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09"/>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08"/>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09"/>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08"/>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09"/>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08"/>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09"/>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08"/>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09"/>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08"/>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09"/>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08"/>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09"/>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08"/>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09"/>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08"/>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09"/>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08"/>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09"/>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08"/>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09"/>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08"/>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09"/>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08"/>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09"/>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08"/>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09"/>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08"/>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09"/>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08"/>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09"/>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08"/>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09"/>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08"/>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09"/>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08"/>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09"/>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08"/>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09"/>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08"/>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09"/>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08"/>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09"/>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08"/>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09"/>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08"/>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09"/>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08"/>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09"/>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08"/>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09"/>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08"/>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09"/>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08"/>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09"/>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08"/>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09"/>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08"/>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09"/>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08"/>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09"/>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08"/>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09"/>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08"/>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09"/>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08"/>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09"/>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08"/>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09"/>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08"/>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09"/>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08"/>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09"/>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08"/>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09"/>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08"/>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09"/>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08"/>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09"/>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08"/>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09"/>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08"/>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09"/>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08"/>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09"/>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08"/>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09"/>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08"/>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09"/>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08"/>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09"/>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08"/>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09"/>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08"/>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09"/>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08"/>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09"/>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08"/>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09"/>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08"/>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09"/>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08"/>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09"/>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08"/>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09"/>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08"/>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09"/>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08"/>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09"/>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08"/>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09"/>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08"/>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09"/>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08"/>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09"/>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08"/>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09"/>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08"/>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09"/>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08"/>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09"/>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08"/>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09"/>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08"/>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09"/>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08"/>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09"/>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08"/>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09"/>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08"/>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09"/>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08"/>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09"/>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08"/>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09"/>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08"/>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09"/>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08"/>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09"/>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08"/>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09"/>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08"/>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09"/>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08"/>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09"/>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08"/>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09"/>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08"/>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09"/>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08"/>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09"/>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08"/>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09"/>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08"/>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09"/>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08"/>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09"/>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08"/>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09"/>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08"/>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09"/>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08"/>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09"/>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08"/>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4"/>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08"/>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4"/>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08"/>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4"/>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08"/>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09"/>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08"/>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09"/>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08"/>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09"/>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08"/>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09"/>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08"/>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09"/>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08"/>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09"/>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08"/>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09"/>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08"/>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09"/>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08"/>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09"/>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08"/>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09"/>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08"/>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09"/>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08"/>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09"/>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08"/>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09"/>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08"/>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09"/>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08"/>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09"/>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08"/>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09"/>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08"/>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09"/>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08"/>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09"/>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08"/>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09"/>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08"/>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09"/>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08"/>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09"/>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08"/>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09"/>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08"/>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09"/>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08"/>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09"/>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08"/>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09"/>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08"/>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09"/>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08"/>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09"/>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08"/>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09"/>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08"/>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09"/>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08"/>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09"/>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08"/>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09"/>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08"/>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09"/>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08"/>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09"/>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08"/>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09"/>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08"/>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09"/>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08"/>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09"/>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08"/>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09"/>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08"/>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09"/>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08"/>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09"/>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08"/>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09"/>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08"/>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09"/>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08"/>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09"/>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08"/>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09"/>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08"/>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09"/>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08"/>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09"/>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08"/>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09"/>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08"/>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09"/>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08"/>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09"/>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08"/>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09"/>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08"/>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09"/>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08"/>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09"/>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08"/>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09"/>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08"/>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09"/>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08"/>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09"/>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08"/>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09"/>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08"/>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09"/>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08"/>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09"/>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08"/>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09"/>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08"/>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09"/>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08"/>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09"/>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08"/>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09"/>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08"/>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09"/>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08"/>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09"/>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08"/>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09"/>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08"/>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09"/>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08"/>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09"/>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08"/>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09"/>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08"/>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09"/>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08"/>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09"/>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08"/>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09"/>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08"/>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09"/>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08"/>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09"/>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08"/>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09"/>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08"/>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09"/>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08"/>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09"/>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08"/>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09"/>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08"/>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09"/>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08"/>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09"/>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08"/>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09"/>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08"/>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09"/>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08"/>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09"/>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08"/>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09"/>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08"/>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09"/>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08"/>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09"/>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08"/>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09"/>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08"/>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09"/>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08"/>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09"/>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08"/>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09"/>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08"/>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09"/>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08"/>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09"/>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08"/>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09"/>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08"/>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09"/>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08"/>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4"/>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08"/>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4"/>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08"/>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4"/>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08"/>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09"/>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08"/>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09"/>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08"/>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09"/>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08"/>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09"/>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08"/>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09"/>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08"/>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09"/>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08"/>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09"/>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08"/>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09"/>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08"/>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09"/>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08"/>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09"/>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08"/>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09"/>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08"/>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09"/>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08"/>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09"/>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08"/>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09"/>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08"/>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09"/>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08"/>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09"/>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08"/>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09"/>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08"/>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09"/>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08"/>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09"/>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08"/>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09"/>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08"/>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09"/>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08"/>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09"/>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08"/>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09"/>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08"/>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09"/>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08"/>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09"/>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08"/>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09"/>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08"/>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09"/>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08"/>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09"/>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08"/>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09"/>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08"/>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09"/>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08"/>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09"/>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08"/>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09"/>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08"/>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09"/>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08"/>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09"/>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08"/>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09"/>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08"/>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09"/>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08"/>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09"/>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08"/>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09"/>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08"/>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09"/>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08"/>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09"/>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08"/>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09"/>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08"/>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09"/>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08"/>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09"/>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08"/>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09"/>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08"/>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09"/>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08"/>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09"/>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08"/>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09"/>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08"/>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09"/>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08"/>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09"/>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08"/>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09"/>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08"/>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09"/>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08"/>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09"/>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08"/>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09"/>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08"/>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09"/>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08"/>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09"/>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08"/>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09"/>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08"/>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09"/>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08"/>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09"/>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08"/>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09"/>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08"/>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09"/>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08"/>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09"/>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08"/>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09"/>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08"/>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09"/>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08"/>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09"/>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08"/>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09"/>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08"/>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09"/>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08"/>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09"/>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08"/>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09"/>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08"/>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09"/>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08"/>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09"/>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08"/>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09"/>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08"/>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09"/>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08"/>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09"/>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08"/>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09"/>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08"/>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09"/>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08"/>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09"/>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08"/>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09"/>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08"/>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09"/>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08"/>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09"/>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08"/>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09"/>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08"/>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09"/>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08"/>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09"/>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08"/>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09"/>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08"/>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09"/>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08"/>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09"/>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08"/>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09"/>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08"/>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09"/>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08"/>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09"/>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08"/>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09"/>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08"/>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09"/>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08"/>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09"/>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08"/>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09"/>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08"/>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4"/>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08"/>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4"/>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08"/>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4"/>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08"/>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09"/>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08"/>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09"/>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08"/>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09"/>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08"/>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09"/>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08"/>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09"/>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08"/>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09"/>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08"/>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09"/>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08"/>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09"/>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08"/>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09"/>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08"/>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09"/>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08"/>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09"/>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08"/>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09"/>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08"/>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09"/>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08"/>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09"/>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08"/>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09"/>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08"/>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09"/>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08"/>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09"/>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08"/>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09"/>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08"/>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09"/>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08"/>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09"/>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08"/>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09"/>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08"/>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09"/>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08"/>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09"/>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08"/>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09"/>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08"/>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09"/>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08"/>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09"/>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08"/>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09"/>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08"/>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09"/>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08"/>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09"/>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08"/>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09"/>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08"/>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09"/>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08"/>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09"/>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08"/>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09"/>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08"/>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09"/>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08"/>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09"/>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08"/>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09"/>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08"/>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09"/>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08"/>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09"/>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08"/>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09"/>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08"/>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09"/>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08"/>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09"/>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08"/>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09"/>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08"/>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09"/>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08"/>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09"/>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08"/>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09"/>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08"/>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09"/>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08"/>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09"/>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08"/>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09"/>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08"/>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09"/>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08"/>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09"/>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08"/>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09"/>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08"/>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09"/>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08"/>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09"/>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08"/>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09"/>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08"/>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09"/>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08"/>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09"/>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08"/>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09"/>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08"/>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09"/>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08"/>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09"/>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08"/>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09"/>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08"/>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09"/>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08"/>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09"/>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08"/>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09"/>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08"/>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09"/>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08"/>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09"/>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08"/>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09"/>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08"/>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09"/>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08"/>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09"/>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08"/>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09"/>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08"/>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09"/>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08"/>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09"/>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08"/>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09"/>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08"/>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09"/>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08"/>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09"/>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08"/>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09"/>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08"/>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09"/>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08"/>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09"/>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08"/>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09"/>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08"/>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09"/>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08"/>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09"/>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08"/>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09"/>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08"/>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09"/>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08"/>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09"/>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08"/>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09"/>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08"/>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09"/>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08"/>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09"/>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08"/>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09"/>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08"/>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09"/>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08"/>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09"/>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08"/>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09"/>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08"/>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09"/>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08"/>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09"/>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08"/>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4"/>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08"/>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4"/>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08"/>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4"/>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08"/>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09"/>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08"/>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09"/>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08"/>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09"/>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08"/>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09"/>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08"/>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09"/>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08"/>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09"/>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08"/>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09"/>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08"/>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09"/>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08"/>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09"/>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08"/>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09"/>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08"/>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09"/>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08"/>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09"/>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08"/>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09"/>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08"/>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09"/>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08"/>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09"/>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08"/>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09"/>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08"/>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09"/>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08"/>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09"/>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08"/>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09"/>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08"/>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09"/>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08"/>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09"/>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08"/>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09"/>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08"/>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09"/>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08"/>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09"/>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08"/>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09"/>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08"/>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09"/>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08"/>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09"/>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08"/>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09"/>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08"/>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09"/>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08"/>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09"/>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08"/>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09"/>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08"/>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09"/>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08"/>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09"/>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08"/>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09"/>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08"/>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09"/>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08"/>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09"/>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08"/>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09"/>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08"/>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09"/>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08"/>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09"/>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08"/>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09"/>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08"/>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09"/>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08"/>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09"/>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08"/>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09"/>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08"/>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09"/>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08"/>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09"/>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08"/>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09"/>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08"/>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09"/>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08"/>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09"/>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08"/>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09"/>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08"/>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09"/>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08"/>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09"/>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08"/>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09"/>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08"/>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09"/>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08"/>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09"/>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08"/>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09"/>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08"/>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09"/>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08"/>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09"/>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08"/>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09"/>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08"/>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09"/>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08"/>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09"/>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08"/>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09"/>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08"/>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09"/>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08"/>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09"/>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08"/>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09"/>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08"/>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09"/>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08"/>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09"/>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08"/>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09"/>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08"/>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09"/>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08"/>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09"/>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08"/>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09"/>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08"/>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09"/>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08"/>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09"/>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08"/>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09"/>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08"/>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09"/>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08"/>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09"/>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08"/>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09"/>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08"/>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09"/>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08"/>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09"/>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08"/>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09"/>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08"/>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09"/>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08"/>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09"/>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08"/>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09"/>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08"/>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09"/>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08"/>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09"/>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08"/>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09"/>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08"/>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09"/>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08"/>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09"/>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08"/>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09"/>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08"/>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09"/>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08"/>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09"/>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08"/>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09"/>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08"/>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09"/>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08"/>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4"/>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08"/>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4"/>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08"/>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4"/>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9" t="s">
        <v>0</v>
      </c>
      <c r="B1" s="3159" t="s">
        <v>4</v>
      </c>
      <c r="C1" s="3159" t="s">
        <v>5</v>
      </c>
      <c r="D1" s="3160" t="s">
        <v>53</v>
      </c>
      <c r="E1" s="3160" t="s">
        <v>54</v>
      </c>
      <c r="F1" s="3160"/>
      <c r="G1" s="3160"/>
      <c r="H1" s="3160"/>
      <c r="I1" s="3160"/>
      <c r="J1" s="3160"/>
      <c r="K1" s="3160"/>
      <c r="L1" s="3160"/>
      <c r="M1" s="3160"/>
    </row>
    <row r="2" spans="1:13" ht="27" customHeight="1">
      <c r="A2" s="3159"/>
      <c r="B2" s="3159"/>
      <c r="C2" s="3159"/>
      <c r="D2" s="3160"/>
      <c r="E2" s="3160" t="s">
        <v>37</v>
      </c>
      <c r="F2" s="3160" t="s">
        <v>38</v>
      </c>
      <c r="G2" s="3160"/>
      <c r="H2" s="3160"/>
      <c r="I2" s="3160"/>
      <c r="J2" s="3160" t="s">
        <v>39</v>
      </c>
      <c r="K2" s="3160"/>
      <c r="L2" s="3160"/>
      <c r="M2" s="3160"/>
    </row>
    <row r="3" spans="1:13" ht="28.5">
      <c r="A3" s="3159"/>
      <c r="B3" s="3159"/>
      <c r="C3" s="3159"/>
      <c r="D3" s="3160"/>
      <c r="E3" s="31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0" t="s">
        <v>55</v>
      </c>
      <c r="B9" s="3160"/>
      <c r="C9" s="31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1934</v>
      </c>
      <c r="B1" s="1387"/>
      <c r="C1" s="1387"/>
      <c r="D1" s="1387"/>
      <c r="E1" s="1387"/>
      <c r="F1" s="1387"/>
      <c r="G1" s="1387"/>
      <c r="H1" s="1387"/>
      <c r="I1" s="1387"/>
      <c r="J1" s="1387"/>
      <c r="K1" s="1387"/>
      <c r="L1" s="1387"/>
      <c r="M1" s="1387"/>
      <c r="N1" s="1387"/>
      <c r="O1" s="1387"/>
      <c r="P1" s="1387"/>
    </row>
    <row r="2" spans="1:16" ht="15">
      <c r="A2" s="3170" t="s">
        <v>1935</v>
      </c>
      <c r="B2" s="3170"/>
      <c r="C2" s="3170"/>
      <c r="D2" s="964" t="s">
        <v>1911</v>
      </c>
      <c r="E2" s="2217" t="s">
        <v>1912</v>
      </c>
      <c r="F2" s="1387"/>
      <c r="G2" s="2218"/>
      <c r="H2" s="2219"/>
      <c r="I2" s="2220" t="s">
        <v>1936</v>
      </c>
      <c r="J2" s="1387"/>
      <c r="K2" s="1387"/>
      <c r="L2" s="1387"/>
      <c r="M2" s="1387"/>
      <c r="N2" s="1422"/>
      <c r="O2" s="1387"/>
      <c r="P2" s="1387"/>
    </row>
    <row r="3" spans="1:16" ht="15.75" thickBot="1">
      <c r="A3" s="3171" t="s">
        <v>1909</v>
      </c>
      <c r="B3" s="3171"/>
      <c r="C3" s="3171"/>
      <c r="D3" s="45">
        <f>'数据-基础表'!AY6</f>
        <v>1832.22</v>
      </c>
      <c r="E3" s="45">
        <f>'数据-基础表'!AZ5</f>
        <v>14099.390000000001</v>
      </c>
      <c r="F3" s="1387"/>
      <c r="G3" s="1394"/>
      <c r="H3" s="1242" t="s">
        <v>1910</v>
      </c>
      <c r="I3" s="54">
        <f>ROUND('数据-基础表'!B3/'数据-基础表'!A3,2)</f>
        <v>7.7</v>
      </c>
      <c r="J3" s="1387"/>
      <c r="K3" s="1387"/>
      <c r="L3" s="1387"/>
      <c r="M3" s="1387"/>
      <c r="N3" s="1422"/>
      <c r="O3" s="1387"/>
      <c r="P3" s="1387"/>
    </row>
    <row r="4" spans="1:16" ht="15">
      <c r="A4" s="3172"/>
      <c r="B4" s="3173"/>
      <c r="C4" s="3174"/>
      <c r="D4" s="2221" t="s">
        <v>1911</v>
      </c>
      <c r="E4" s="2222" t="s">
        <v>1912</v>
      </c>
      <c r="F4" s="1387"/>
      <c r="G4" s="2223" t="s">
        <v>1937</v>
      </c>
      <c r="H4" s="1242" t="s">
        <v>1917</v>
      </c>
      <c r="I4" s="54">
        <f>ROUND(SUMIF('数据-基础表'!I9:AS9,"地上",'数据-基础表'!I5:AS5)/'数据-基础表'!A3,2)</f>
        <v>7.7</v>
      </c>
      <c r="J4" s="1387"/>
      <c r="K4" s="1387"/>
      <c r="L4" s="1387"/>
      <c r="M4" s="1387"/>
      <c r="N4" s="1422"/>
      <c r="O4" s="1387"/>
      <c r="P4" s="1387"/>
    </row>
    <row r="5" spans="1:16">
      <c r="A5" s="46" t="s">
        <v>1913</v>
      </c>
      <c r="B5" s="3175" t="s">
        <v>1914</v>
      </c>
      <c r="C5" s="3175"/>
      <c r="D5" s="47">
        <f>ROUND($D$3*E5/$E$3,2)</f>
        <v>0</v>
      </c>
      <c r="E5" s="48">
        <f>SUMIF('数据-基础表'!$11:$11,"住宅",'数据-基础表'!$5:$5)</f>
        <v>0</v>
      </c>
      <c r="F5" s="1387"/>
      <c r="G5" s="1394"/>
      <c r="H5" s="1242" t="s">
        <v>1910</v>
      </c>
      <c r="I5" s="54">
        <f>ROUND(E31/D31,2)</f>
        <v>7.7</v>
      </c>
      <c r="J5" s="1387"/>
      <c r="K5" s="1387"/>
      <c r="L5" s="1387"/>
      <c r="M5" s="1387"/>
      <c r="N5" s="1387"/>
      <c r="O5" s="1387"/>
      <c r="P5" s="1387"/>
    </row>
    <row r="6" spans="1:16" ht="15" thickBot="1">
      <c r="A6" s="2224"/>
      <c r="B6" s="3175" t="s">
        <v>1915</v>
      </c>
      <c r="C6" s="3175"/>
      <c r="D6" s="47">
        <f>ROUND($D$3*E6/$E$3,2)</f>
        <v>1832.22</v>
      </c>
      <c r="E6" s="48">
        <f>E3-E5</f>
        <v>14099.390000000001</v>
      </c>
      <c r="F6" s="1387"/>
      <c r="G6" s="2225" t="s">
        <v>1916</v>
      </c>
      <c r="H6" s="1394" t="s">
        <v>1917</v>
      </c>
      <c r="I6" s="936">
        <f>ROUND(F31/D31,2)</f>
        <v>7.7</v>
      </c>
      <c r="J6" s="1387"/>
      <c r="K6" s="1387"/>
      <c r="L6" s="1387"/>
      <c r="M6" s="1387"/>
      <c r="N6" s="1387"/>
      <c r="O6" s="1387"/>
      <c r="P6" s="1387"/>
    </row>
    <row r="7" spans="1:16" ht="15">
      <c r="A7" s="3167"/>
      <c r="B7" s="3168"/>
      <c r="C7" s="3169"/>
      <c r="D7" s="2221" t="s">
        <v>1911</v>
      </c>
      <c r="E7" s="2226" t="s">
        <v>1918</v>
      </c>
      <c r="F7" s="1387"/>
      <c r="G7" s="2218" t="s">
        <v>1919</v>
      </c>
      <c r="H7" s="63"/>
      <c r="I7" s="419"/>
      <c r="J7" s="1387"/>
      <c r="K7" s="1387"/>
      <c r="L7" s="1387"/>
      <c r="M7" s="1387"/>
      <c r="N7" s="1387"/>
      <c r="O7" s="1387"/>
      <c r="P7" s="1387"/>
    </row>
    <row r="8" spans="1:16">
      <c r="A8" s="46" t="s">
        <v>1920</v>
      </c>
      <c r="B8" s="49" t="s">
        <v>1921</v>
      </c>
      <c r="C8" s="47" t="s">
        <v>1922</v>
      </c>
      <c r="D8" s="47">
        <f t="shared" ref="D8:D15" si="0">ROUND($D$3*E8/$E$3,2)</f>
        <v>1832.22</v>
      </c>
      <c r="E8" s="50">
        <f>SUMIF('数据-基础表'!BB10:BK10,"地上",'数据-基础表'!BB5:BK5)</f>
        <v>14099.390000000001</v>
      </c>
      <c r="F8" s="1387"/>
      <c r="G8" s="2227"/>
      <c r="H8" s="2227"/>
      <c r="I8" s="1387"/>
      <c r="J8" s="1387"/>
      <c r="K8" s="1387"/>
      <c r="L8" s="1387"/>
      <c r="M8" s="1387"/>
      <c r="N8" s="1387"/>
      <c r="O8" s="1387"/>
      <c r="P8" s="1387"/>
    </row>
    <row r="9" spans="1:16">
      <c r="A9" s="2228"/>
      <c r="B9" s="2229"/>
      <c r="C9" s="47" t="s">
        <v>1923</v>
      </c>
      <c r="D9" s="47">
        <f t="shared" si="0"/>
        <v>0</v>
      </c>
      <c r="E9" s="51">
        <v>0</v>
      </c>
      <c r="F9" s="1387"/>
      <c r="G9" s="2227"/>
      <c r="H9" s="2227"/>
      <c r="I9" s="1387"/>
      <c r="J9" s="1387"/>
      <c r="K9" s="1387"/>
      <c r="L9" s="1387"/>
      <c r="M9" s="1387"/>
      <c r="N9" s="1387"/>
      <c r="O9" s="1387"/>
      <c r="P9" s="1387"/>
    </row>
    <row r="10" spans="1:16">
      <c r="A10" s="2228"/>
      <c r="B10" s="2229"/>
      <c r="C10" s="47" t="s">
        <v>1932</v>
      </c>
      <c r="D10" s="47">
        <f t="shared" si="0"/>
        <v>0</v>
      </c>
      <c r="E10" s="50">
        <f>SUMPRODUCT(('数据-基础表'!BB10:BK10="地下")*('数据-基础表'!BB11:BK11="商业")*('数据-基础表'!BB5:BK5))</f>
        <v>0</v>
      </c>
      <c r="F10" s="1387"/>
      <c r="G10" s="2227"/>
      <c r="H10" s="2227"/>
      <c r="I10" s="1387"/>
      <c r="J10" s="1387"/>
      <c r="K10" s="1387"/>
      <c r="L10" s="1387"/>
      <c r="M10" s="1387"/>
      <c r="N10" s="1387"/>
      <c r="O10" s="1387"/>
      <c r="P10" s="1387"/>
    </row>
    <row r="11" spans="1:16">
      <c r="A11" s="2228"/>
      <c r="B11" s="2229"/>
      <c r="C11" s="47" t="s">
        <v>1924</v>
      </c>
      <c r="D11" s="47">
        <f t="shared" si="0"/>
        <v>0</v>
      </c>
      <c r="E11" s="50">
        <f>SUMPRODUCT(('数据-基础表'!BB10:BK10="地下")*('数据-基础表'!BB11:BK11="办公")*('数据-基础表'!BB5:BK5))+'数据-基础表'!BP5</f>
        <v>0</v>
      </c>
      <c r="F11" s="1387"/>
      <c r="G11" s="2227"/>
      <c r="H11" s="2227"/>
      <c r="I11" s="1387"/>
      <c r="J11" s="1387"/>
      <c r="K11" s="1387"/>
      <c r="L11" s="1387"/>
      <c r="M11" s="1387"/>
      <c r="N11" s="1387"/>
      <c r="O11" s="1387"/>
      <c r="P11" s="1387"/>
    </row>
    <row r="12" spans="1:16">
      <c r="A12" s="2228"/>
      <c r="B12" s="2229"/>
      <c r="C12" s="47" t="s">
        <v>1925</v>
      </c>
      <c r="D12" s="47">
        <f t="shared" si="0"/>
        <v>0</v>
      </c>
      <c r="E12" s="50">
        <f>SUMPRODUCT(('数据-基础表'!BB10:BK10="地下")*('数据-基础表'!BB11:BK11="仓储")*('数据-基础表'!BB5:BK5))</f>
        <v>0</v>
      </c>
      <c r="F12" s="1387"/>
      <c r="G12" s="2227"/>
      <c r="H12" s="2227"/>
      <c r="I12" s="1387"/>
      <c r="J12" s="1387"/>
      <c r="K12" s="1387"/>
      <c r="L12" s="1387"/>
      <c r="M12" s="1387"/>
      <c r="N12" s="1387"/>
      <c r="O12" s="1387"/>
      <c r="P12" s="1387"/>
    </row>
    <row r="13" spans="1:16">
      <c r="A13" s="2228"/>
      <c r="B13" s="2229"/>
      <c r="C13" s="47" t="s">
        <v>1926</v>
      </c>
      <c r="D13" s="47">
        <f t="shared" si="0"/>
        <v>0</v>
      </c>
      <c r="E13" s="50">
        <f>SUMPRODUCT(('数据-基础表'!BB10:BK10="地下")*('数据-基础表'!BB11:BK11="车库")*('数据-基础表'!BB5:BK5))</f>
        <v>0</v>
      </c>
      <c r="F13" s="1387"/>
      <c r="G13" s="2227"/>
      <c r="H13" s="2227"/>
      <c r="I13" s="1387"/>
      <c r="J13" s="1387"/>
      <c r="K13" s="1387"/>
      <c r="L13" s="1387"/>
      <c r="M13" s="1387"/>
      <c r="N13" s="1387"/>
      <c r="O13" s="1387"/>
      <c r="P13" s="1387"/>
    </row>
    <row r="14" spans="1:16">
      <c r="A14" s="2228"/>
      <c r="B14" s="2229"/>
      <c r="C14" s="47" t="s">
        <v>1938</v>
      </c>
      <c r="D14" s="47">
        <f t="shared" si="0"/>
        <v>0</v>
      </c>
      <c r="E14" s="50">
        <f>SUMPRODUCT(('数据-基础表'!BB10:BK10="地下")*('数据-基础表'!BB11:BK11="车库—商业")*('数据-基础表'!BB5:BK5))</f>
        <v>0</v>
      </c>
      <c r="F14" s="1387"/>
      <c r="G14" s="2227"/>
      <c r="H14" s="2227"/>
      <c r="I14" s="1387"/>
      <c r="J14" s="1387"/>
      <c r="K14" s="1387"/>
      <c r="L14" s="1387"/>
      <c r="M14" s="1387"/>
      <c r="N14" s="1387"/>
      <c r="O14" s="1387"/>
      <c r="P14" s="1387"/>
    </row>
    <row r="15" spans="1:16" ht="15" thickBot="1">
      <c r="A15" s="2228"/>
      <c r="B15" s="2229"/>
      <c r="C15" s="47" t="s">
        <v>1933</v>
      </c>
      <c r="D15" s="47">
        <f t="shared" si="0"/>
        <v>0</v>
      </c>
      <c r="E15" s="50">
        <f>SUMPRODUCT(('数据-基础表'!BB10:BK10="地下")*('数据-基础表'!BB11:BK11="车库—办公")*('数据-基础表'!BB5:BK5))</f>
        <v>0</v>
      </c>
      <c r="F15" s="1387"/>
      <c r="G15" s="2227"/>
      <c r="H15" s="2227"/>
      <c r="I15" s="1387"/>
      <c r="J15" s="1387"/>
      <c r="K15" s="1387"/>
      <c r="L15" s="1387"/>
      <c r="M15" s="1387"/>
      <c r="N15" s="1387"/>
      <c r="O15" s="1387"/>
      <c r="P15" s="1387"/>
    </row>
    <row r="16" spans="1:16" ht="15.75" thickBot="1">
      <c r="A16" s="2224"/>
      <c r="B16" s="2229"/>
      <c r="C16" s="49" t="s">
        <v>1927</v>
      </c>
      <c r="D16" s="49">
        <f>SUM(D8:D15)</f>
        <v>1832.22</v>
      </c>
      <c r="E16" s="52">
        <f>SUM(E8:E15)</f>
        <v>14099.390000000001</v>
      </c>
      <c r="F16" s="1387"/>
      <c r="G16" s="2227"/>
      <c r="H16" s="2230" t="s">
        <v>1939</v>
      </c>
      <c r="I16" s="2231"/>
      <c r="J16" s="1387"/>
      <c r="K16" s="3164" t="s">
        <v>1939</v>
      </c>
      <c r="L16" s="3165"/>
      <c r="M16" s="3165"/>
      <c r="N16" s="3165"/>
      <c r="O16" s="3165"/>
      <c r="P16" s="3166"/>
    </row>
    <row r="17" spans="1:19" ht="15">
      <c r="A17" s="2232" t="s">
        <v>1940</v>
      </c>
      <c r="B17" s="2233" t="s">
        <v>1941</v>
      </c>
      <c r="C17" s="2234" t="s">
        <v>1942</v>
      </c>
      <c r="D17" s="2235" t="s">
        <v>1930</v>
      </c>
      <c r="E17" s="2236" t="s">
        <v>1931</v>
      </c>
      <c r="F17" s="2237"/>
      <c r="G17" s="2238"/>
      <c r="H17" s="2239" t="s">
        <v>1943</v>
      </c>
      <c r="I17" s="2240" t="s">
        <v>1928</v>
      </c>
      <c r="J17" s="1387"/>
      <c r="K17" s="3161" t="s">
        <v>1944</v>
      </c>
      <c r="L17" s="3162"/>
      <c r="M17" s="3163"/>
      <c r="N17" s="3161" t="s">
        <v>1945</v>
      </c>
      <c r="O17" s="3162"/>
      <c r="P17" s="3163"/>
      <c r="R17" s="2218" t="s">
        <v>1946</v>
      </c>
      <c r="S17" s="63"/>
    </row>
    <row r="18" spans="1:19" ht="15">
      <c r="A18" s="2228"/>
      <c r="B18" s="2241"/>
      <c r="C18" s="2242"/>
      <c r="D18" s="2243"/>
      <c r="E18" s="2244" t="s">
        <v>1947</v>
      </c>
      <c r="F18" s="2245" t="s">
        <v>1948</v>
      </c>
      <c r="G18" s="2246" t="s">
        <v>1949</v>
      </c>
      <c r="H18" s="1257" t="s">
        <v>1950</v>
      </c>
      <c r="I18" s="2247" t="s">
        <v>1951</v>
      </c>
      <c r="J18" s="1387"/>
      <c r="K18" s="1257" t="s">
        <v>1952</v>
      </c>
      <c r="L18" s="2248" t="s">
        <v>1953</v>
      </c>
      <c r="M18" s="1043" t="s">
        <v>1954</v>
      </c>
      <c r="N18" s="1257" t="s">
        <v>1952</v>
      </c>
      <c r="O18" s="2248" t="s">
        <v>1953</v>
      </c>
      <c r="P18" s="1043" t="s">
        <v>1954</v>
      </c>
      <c r="R18" s="1242" t="s">
        <v>1955</v>
      </c>
      <c r="S18" s="1242" t="s">
        <v>1956</v>
      </c>
    </row>
    <row r="19" spans="1:19">
      <c r="A19" s="2249"/>
      <c r="B19" s="49" t="s">
        <v>1929</v>
      </c>
      <c r="C19" s="2938" t="s">
        <v>3067</v>
      </c>
      <c r="D19" s="47">
        <f>ROUND($D$3*E19/$E$3,2)</f>
        <v>102.74</v>
      </c>
      <c r="E19" s="55">
        <f t="shared" ref="E19:E26" si="1">SUM(F19:G19)</f>
        <v>790.58</v>
      </c>
      <c r="F19" s="56">
        <f>Sheet1!E29</f>
        <v>790.58</v>
      </c>
      <c r="G19" s="57"/>
      <c r="H19" s="717">
        <f>ROUND($D$3*I19/$E$3,2)</f>
        <v>0</v>
      </c>
      <c r="I19" s="50">
        <f t="shared" ref="I19:I26" si="2">IF($I$17="自定义",P19,M19)</f>
        <v>0</v>
      </c>
      <c r="J19" s="1387"/>
      <c r="K19" s="1386">
        <f t="shared" ref="K19:K26" si="3">ROUND(E$28*E19/E$27,2)</f>
        <v>0</v>
      </c>
      <c r="L19" s="1242">
        <f t="shared" ref="L19:L26" si="4">ROUND(IF(COUNTIF(C19,"*住宅*")&gt;0,E$29*E19/E$32,0),2)</f>
        <v>0</v>
      </c>
      <c r="M19" s="1398">
        <f>K19+L19</f>
        <v>0</v>
      </c>
      <c r="N19" s="2251"/>
      <c r="O19" s="2252"/>
      <c r="P19" s="1398">
        <f>N19+O19</f>
        <v>0</v>
      </c>
      <c r="R19" s="1242">
        <f t="shared" ref="R19:S26" si="5">D19+H19</f>
        <v>102.74</v>
      </c>
      <c r="S19" s="1243">
        <f t="shared" si="5"/>
        <v>790.58</v>
      </c>
    </row>
    <row r="20" spans="1:19">
      <c r="A20" s="2253"/>
      <c r="B20" s="49" t="s">
        <v>1957</v>
      </c>
      <c r="C20" s="2938" t="s">
        <v>3068</v>
      </c>
      <c r="D20" s="47">
        <f t="shared" ref="D20:D26" si="6">ROUND($D$3*E20/$E$3,2)</f>
        <v>1729.48</v>
      </c>
      <c r="E20" s="55">
        <f t="shared" si="1"/>
        <v>13308.810000000001</v>
      </c>
      <c r="F20" s="56">
        <f>'数据-基础表'!I13-'数据-汇总表'!F19</f>
        <v>13308.810000000001</v>
      </c>
      <c r="G20" s="57"/>
      <c r="H20" s="717">
        <f t="shared" ref="H20:H26" si="7">ROUND($D$3*I20/$E$3,2)</f>
        <v>0</v>
      </c>
      <c r="I20" s="50">
        <f t="shared" si="2"/>
        <v>0</v>
      </c>
      <c r="J20" s="1387"/>
      <c r="K20" s="1386">
        <f t="shared" si="3"/>
        <v>0</v>
      </c>
      <c r="L20" s="1242">
        <f t="shared" si="4"/>
        <v>0</v>
      </c>
      <c r="M20" s="1398">
        <f t="shared" ref="M20:M26" si="8">K20+L20</f>
        <v>0</v>
      </c>
      <c r="N20" s="2251"/>
      <c r="O20" s="2252"/>
      <c r="P20" s="1398">
        <f t="shared" ref="P20:P26" si="9">N20+O20</f>
        <v>0</v>
      </c>
      <c r="R20" s="1242">
        <f t="shared" si="5"/>
        <v>1729.48</v>
      </c>
      <c r="S20" s="1243">
        <f t="shared" si="5"/>
        <v>13308.810000000001</v>
      </c>
    </row>
    <row r="21" spans="1:19" hidden="1">
      <c r="A21" s="2253"/>
      <c r="B21" s="49" t="s">
        <v>1957</v>
      </c>
      <c r="C21" s="2250"/>
      <c r="D21" s="47">
        <f t="shared" si="6"/>
        <v>0</v>
      </c>
      <c r="E21" s="55">
        <f t="shared" si="1"/>
        <v>0</v>
      </c>
      <c r="F21" s="56"/>
      <c r="G21" s="57"/>
      <c r="H21" s="717">
        <f t="shared" si="7"/>
        <v>0</v>
      </c>
      <c r="I21" s="50">
        <f t="shared" si="2"/>
        <v>0</v>
      </c>
      <c r="J21" s="1387"/>
      <c r="K21" s="1386">
        <f t="shared" si="3"/>
        <v>0</v>
      </c>
      <c r="L21" s="1242">
        <f t="shared" si="4"/>
        <v>0</v>
      </c>
      <c r="M21" s="1398">
        <f t="shared" si="8"/>
        <v>0</v>
      </c>
      <c r="N21" s="2251"/>
      <c r="O21" s="2252"/>
      <c r="P21" s="1398">
        <f t="shared" si="9"/>
        <v>0</v>
      </c>
      <c r="R21" s="1242">
        <f t="shared" si="5"/>
        <v>0</v>
      </c>
      <c r="S21" s="1243">
        <f t="shared" si="5"/>
        <v>0</v>
      </c>
    </row>
    <row r="22" spans="1:19" hidden="1">
      <c r="A22" s="2253"/>
      <c r="B22" s="49" t="s">
        <v>1957</v>
      </c>
      <c r="C22" s="59"/>
      <c r="D22" s="47">
        <f t="shared" si="6"/>
        <v>0</v>
      </c>
      <c r="E22" s="55">
        <f t="shared" si="1"/>
        <v>0</v>
      </c>
      <c r="F22" s="60"/>
      <c r="G22" s="61"/>
      <c r="H22" s="717">
        <f t="shared" si="7"/>
        <v>0</v>
      </c>
      <c r="I22" s="50">
        <f t="shared" si="2"/>
        <v>0</v>
      </c>
      <c r="J22" s="1387"/>
      <c r="K22" s="1386">
        <f t="shared" si="3"/>
        <v>0</v>
      </c>
      <c r="L22" s="1242">
        <f t="shared" si="4"/>
        <v>0</v>
      </c>
      <c r="M22" s="1398">
        <f t="shared" si="8"/>
        <v>0</v>
      </c>
      <c r="N22" s="2251"/>
      <c r="O22" s="2252"/>
      <c r="P22" s="1398">
        <f t="shared" si="9"/>
        <v>0</v>
      </c>
      <c r="R22" s="1242">
        <f t="shared" si="5"/>
        <v>0</v>
      </c>
      <c r="S22" s="1243">
        <f t="shared" si="5"/>
        <v>0</v>
      </c>
    </row>
    <row r="23" spans="1:19" hidden="1">
      <c r="A23" s="2253"/>
      <c r="B23" s="49" t="s">
        <v>1957</v>
      </c>
      <c r="C23" s="59"/>
      <c r="D23" s="47">
        <f>ROUND($D$3*E23/$E$3,2)</f>
        <v>0</v>
      </c>
      <c r="E23" s="55">
        <f>SUM(F23:G23)</f>
        <v>0</v>
      </c>
      <c r="F23" s="60"/>
      <c r="G23" s="61"/>
      <c r="H23" s="717">
        <f>ROUND($D$3*I23/$E$3,2)</f>
        <v>0</v>
      </c>
      <c r="I23" s="50">
        <f t="shared" si="2"/>
        <v>0</v>
      </c>
      <c r="J23" s="1387"/>
      <c r="K23" s="1386">
        <f t="shared" si="3"/>
        <v>0</v>
      </c>
      <c r="L23" s="1242">
        <f t="shared" si="4"/>
        <v>0</v>
      </c>
      <c r="M23" s="1398">
        <f t="shared" si="8"/>
        <v>0</v>
      </c>
      <c r="N23" s="2251"/>
      <c r="O23" s="2252"/>
      <c r="P23" s="1398">
        <f t="shared" si="9"/>
        <v>0</v>
      </c>
      <c r="R23" s="1242">
        <f t="shared" si="5"/>
        <v>0</v>
      </c>
      <c r="S23" s="1243">
        <f t="shared" si="5"/>
        <v>0</v>
      </c>
    </row>
    <row r="24" spans="1:19" hidden="1">
      <c r="A24" s="2253"/>
      <c r="B24" s="49" t="s">
        <v>1957</v>
      </c>
      <c r="C24" s="59"/>
      <c r="D24" s="47">
        <f>ROUND($D$3*E24/$E$3,2)</f>
        <v>0</v>
      </c>
      <c r="E24" s="55">
        <f>SUM(F24:G24)</f>
        <v>0</v>
      </c>
      <c r="F24" s="60"/>
      <c r="G24" s="61"/>
      <c r="H24" s="717">
        <f>ROUND($D$3*I24/$E$3,2)</f>
        <v>0</v>
      </c>
      <c r="I24" s="50">
        <f t="shared" si="2"/>
        <v>0</v>
      </c>
      <c r="J24" s="1387"/>
      <c r="K24" s="1386">
        <f t="shared" si="3"/>
        <v>0</v>
      </c>
      <c r="L24" s="1242">
        <f t="shared" si="4"/>
        <v>0</v>
      </c>
      <c r="M24" s="1398">
        <f t="shared" si="8"/>
        <v>0</v>
      </c>
      <c r="N24" s="2251"/>
      <c r="O24" s="2252"/>
      <c r="P24" s="1398">
        <f t="shared" si="9"/>
        <v>0</v>
      </c>
      <c r="R24" s="1242">
        <f t="shared" si="5"/>
        <v>0</v>
      </c>
      <c r="S24" s="1243">
        <f t="shared" si="5"/>
        <v>0</v>
      </c>
    </row>
    <row r="25" spans="1:19" hidden="1">
      <c r="A25" s="2253"/>
      <c r="B25" s="49" t="s">
        <v>1957</v>
      </c>
      <c r="C25" s="59"/>
      <c r="D25" s="47">
        <f t="shared" si="6"/>
        <v>0</v>
      </c>
      <c r="E25" s="55">
        <f t="shared" si="1"/>
        <v>0</v>
      </c>
      <c r="F25" s="60"/>
      <c r="G25" s="61"/>
      <c r="H25" s="46">
        <f t="shared" si="7"/>
        <v>0</v>
      </c>
      <c r="I25" s="50">
        <f t="shared" si="2"/>
        <v>0</v>
      </c>
      <c r="J25" s="1387"/>
      <c r="K25" s="1386">
        <f t="shared" si="3"/>
        <v>0</v>
      </c>
      <c r="L25" s="1242">
        <f t="shared" si="4"/>
        <v>0</v>
      </c>
      <c r="M25" s="1398">
        <f t="shared" si="8"/>
        <v>0</v>
      </c>
      <c r="N25" s="2251"/>
      <c r="O25" s="2252"/>
      <c r="P25" s="1398">
        <f t="shared" si="9"/>
        <v>0</v>
      </c>
      <c r="R25" s="1242">
        <f t="shared" si="5"/>
        <v>0</v>
      </c>
      <c r="S25" s="1243">
        <f t="shared" si="5"/>
        <v>0</v>
      </c>
    </row>
    <row r="26" spans="1:19" hidden="1">
      <c r="A26" s="2253"/>
      <c r="B26" s="49" t="s">
        <v>1957</v>
      </c>
      <c r="C26" s="62"/>
      <c r="D26" s="47">
        <f t="shared" si="6"/>
        <v>0</v>
      </c>
      <c r="E26" s="55">
        <f t="shared" si="1"/>
        <v>0</v>
      </c>
      <c r="F26" s="60"/>
      <c r="G26" s="61"/>
      <c r="H26" s="46">
        <f t="shared" si="7"/>
        <v>0</v>
      </c>
      <c r="I26" s="50">
        <f t="shared" si="2"/>
        <v>0</v>
      </c>
      <c r="J26" s="1387"/>
      <c r="K26" s="1393">
        <f t="shared" si="3"/>
        <v>0</v>
      </c>
      <c r="L26" s="1394">
        <f t="shared" si="4"/>
        <v>0</v>
      </c>
      <c r="M26" s="66">
        <f t="shared" si="8"/>
        <v>0</v>
      </c>
      <c r="N26" s="2254"/>
      <c r="O26" s="2255"/>
      <c r="P26" s="66">
        <f t="shared" si="9"/>
        <v>0</v>
      </c>
      <c r="R26" s="1242">
        <f t="shared" si="5"/>
        <v>0</v>
      </c>
      <c r="S26" s="1243">
        <f t="shared" si="5"/>
        <v>0</v>
      </c>
    </row>
    <row r="27" spans="1:19" ht="15.75" thickBot="1">
      <c r="A27" s="2253"/>
      <c r="B27" s="47"/>
      <c r="C27" s="2256" t="s">
        <v>1958</v>
      </c>
      <c r="D27" s="1388">
        <f>SUM(D19:D26)</f>
        <v>1832.22</v>
      </c>
      <c r="E27" s="1389">
        <f>IF(SUM(E19:E26)='数据-基础表'!BA5,SUM(E19:E26),IF(F27="地上面积有误","面积有误","地下面积有误"))</f>
        <v>14099.390000000001</v>
      </c>
      <c r="F27" s="1388">
        <f>IF(SUM(F19:F26)=E8,SUM(F19:F26),"地上面积有误")</f>
        <v>14099.390000000001</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1832.22</v>
      </c>
      <c r="S27" s="1242">
        <f>IF(SUM(S19:S26)=$E$3,SUM(S19:S26),SUM(S19:S26)&amp;"误差"&amp;ROUND(SUM(S19:S26)-E3,2))</f>
        <v>14099.390000000001</v>
      </c>
    </row>
    <row r="28" spans="1:19">
      <c r="A28" s="2253"/>
      <c r="B28" s="49" t="s">
        <v>1959</v>
      </c>
      <c r="C28" s="1254" t="s">
        <v>1960</v>
      </c>
      <c r="D28" s="47">
        <f>ROUND($D$3*E28/$E$3,2)</f>
        <v>0</v>
      </c>
      <c r="E28" s="55">
        <f>SUM(F28:G28)</f>
        <v>0</v>
      </c>
      <c r="F28" s="63">
        <f>'数据-基础表'!BQ5+'数据-基础表'!BS5</f>
        <v>0</v>
      </c>
      <c r="G28" s="64">
        <f>'数据-基础表'!BR5+'数据-基础表'!BT5</f>
        <v>0</v>
      </c>
      <c r="H28" s="1387"/>
      <c r="I28" s="1387"/>
      <c r="J28" s="1387"/>
      <c r="K28" s="1387"/>
      <c r="L28" s="1387"/>
      <c r="M28" s="1387"/>
      <c r="N28" s="1387"/>
      <c r="O28" s="1387"/>
      <c r="P28" s="1387"/>
    </row>
    <row r="29" spans="1:19">
      <c r="A29" s="2253"/>
      <c r="B29" s="49" t="s">
        <v>1959</v>
      </c>
      <c r="C29" s="2257" t="s">
        <v>1961</v>
      </c>
      <c r="D29" s="47">
        <f>ROUND($D$3*E29/$E$3,2)</f>
        <v>0</v>
      </c>
      <c r="E29" s="55">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3"/>
      <c r="B30" s="49"/>
      <c r="C30" s="2258"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59"/>
      <c r="B31" s="2260"/>
      <c r="C31" s="1004" t="s">
        <v>1962</v>
      </c>
      <c r="D31" s="723">
        <f>D27+D30</f>
        <v>1832.22</v>
      </c>
      <c r="E31" s="723">
        <f>E27+E30</f>
        <v>14099.390000000001</v>
      </c>
      <c r="F31" s="724">
        <f>F27+F30</f>
        <v>14099.390000000001</v>
      </c>
      <c r="G31" s="725">
        <f>G27+G30</f>
        <v>0</v>
      </c>
      <c r="H31" s="1387"/>
      <c r="I31" s="1387"/>
      <c r="J31" s="1387"/>
      <c r="K31" s="1387"/>
      <c r="L31" s="1387"/>
      <c r="M31" s="1387"/>
      <c r="N31" s="1387"/>
      <c r="O31" s="1387"/>
      <c r="P31" s="1387"/>
    </row>
    <row r="32" spans="1:19">
      <c r="A32" s="2223"/>
      <c r="B32" s="2223" t="s">
        <v>1963</v>
      </c>
      <c r="C32" s="2223"/>
      <c r="D32" s="2223"/>
      <c r="E32" s="1269">
        <f>SUMIF(C19:C26,"*住宅*",E19:E26)</f>
        <v>0</v>
      </c>
      <c r="F32" s="2223"/>
      <c r="G32" s="2223"/>
      <c r="H32" s="1387"/>
      <c r="I32" s="1387"/>
      <c r="J32" s="1387"/>
      <c r="K32" s="1387"/>
      <c r="L32" s="1387"/>
      <c r="M32" s="1387"/>
      <c r="N32" s="1387"/>
      <c r="O32" s="1387"/>
      <c r="P32" s="1387"/>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1964</v>
      </c>
      <c r="B1" s="726"/>
      <c r="C1" s="1576"/>
      <c r="D1" s="2263"/>
      <c r="E1" s="1576"/>
      <c r="F1" s="1576"/>
      <c r="G1" s="1576"/>
      <c r="H1" s="1576"/>
      <c r="I1" s="1576"/>
      <c r="J1" s="1576"/>
      <c r="K1" s="167"/>
      <c r="L1" s="167"/>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6" t="s">
        <v>1965</v>
      </c>
      <c r="B2" s="1261">
        <f>项目基本情况!D3</f>
        <v>43209</v>
      </c>
      <c r="C2" s="2267"/>
      <c r="D2" s="2268"/>
      <c r="E2" s="2267"/>
      <c r="F2" s="2267"/>
      <c r="G2" s="2267"/>
      <c r="H2" s="2267"/>
      <c r="I2" s="2267"/>
      <c r="J2" s="2267"/>
      <c r="K2" s="1422"/>
      <c r="L2" s="1422"/>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5" thickBot="1">
      <c r="A3" s="2024"/>
      <c r="B3" s="2270"/>
      <c r="C3" s="2267"/>
      <c r="D3" s="2268"/>
      <c r="E3" s="2267"/>
      <c r="F3" s="2267"/>
      <c r="G3" s="2267"/>
      <c r="H3" s="2267"/>
      <c r="I3" s="2267"/>
      <c r="J3" s="2267"/>
      <c r="K3" s="1422"/>
      <c r="L3" s="1422"/>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7" t="s">
        <v>1966</v>
      </c>
      <c r="B4" s="2271"/>
      <c r="C4" s="2272"/>
      <c r="D4" s="2273"/>
      <c r="E4" s="2272" t="s">
        <v>1967</v>
      </c>
      <c r="F4" s="2272"/>
      <c r="G4" s="2272"/>
      <c r="H4" s="2272"/>
      <c r="I4" s="2272"/>
      <c r="J4" s="2274"/>
      <c r="K4" s="2275"/>
      <c r="L4" s="2276"/>
      <c r="M4" s="2272"/>
      <c r="N4" s="2272" t="s">
        <v>1968</v>
      </c>
      <c r="O4" s="2272"/>
      <c r="P4" s="2272"/>
      <c r="Q4" s="2272"/>
      <c r="R4" s="2272"/>
      <c r="S4" s="2274"/>
      <c r="T4" s="2277" t="str">
        <f>'数据-汇总表'!I17</f>
        <v>按面积比例</v>
      </c>
      <c r="U4" s="2271" t="s">
        <v>1969</v>
      </c>
      <c r="V4" s="2272"/>
      <c r="W4" s="2272"/>
      <c r="X4" s="2272"/>
      <c r="Y4" s="2274"/>
      <c r="Z4" s="2234" t="s">
        <v>1970</v>
      </c>
      <c r="AA4" s="2234"/>
      <c r="AB4" s="2234"/>
      <c r="AC4" s="2234"/>
      <c r="AD4" s="2234"/>
      <c r="AE4" s="2232" t="s">
        <v>1971</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42">
      <c r="A5" s="2279" t="s">
        <v>1972</v>
      </c>
      <c r="B5" s="2280" t="s">
        <v>1973</v>
      </c>
      <c r="C5" s="2281" t="s">
        <v>1974</v>
      </c>
      <c r="D5" s="2282" t="s">
        <v>1975</v>
      </c>
      <c r="E5" s="1263" t="s">
        <v>1976</v>
      </c>
      <c r="F5" s="2283" t="s">
        <v>1977</v>
      </c>
      <c r="G5" s="1263" t="s">
        <v>1978</v>
      </c>
      <c r="H5" s="1263" t="s">
        <v>1979</v>
      </c>
      <c r="I5" s="1263" t="s">
        <v>1980</v>
      </c>
      <c r="J5" s="2284" t="s">
        <v>1981</v>
      </c>
      <c r="K5" s="2285" t="s">
        <v>1982</v>
      </c>
      <c r="L5" s="2286" t="s">
        <v>1983</v>
      </c>
      <c r="M5" s="2287" t="s">
        <v>1984</v>
      </c>
      <c r="N5" s="2288" t="s">
        <v>3069</v>
      </c>
      <c r="O5" s="2286" t="s">
        <v>1985</v>
      </c>
      <c r="P5" s="2289" t="s">
        <v>1986</v>
      </c>
      <c r="Q5" s="68" t="s">
        <v>1987</v>
      </c>
      <c r="R5" s="2290" t="s">
        <v>1988</v>
      </c>
      <c r="S5" s="2291" t="s">
        <v>1989</v>
      </c>
      <c r="T5" s="2292" t="s">
        <v>1990</v>
      </c>
      <c r="U5" s="1262" t="s">
        <v>1991</v>
      </c>
      <c r="V5" s="1263" t="s">
        <v>1992</v>
      </c>
      <c r="W5" s="1263" t="s">
        <v>1993</v>
      </c>
      <c r="X5" s="70"/>
      <c r="Y5" s="69" t="s">
        <v>1994</v>
      </c>
      <c r="Z5" s="2293" t="s">
        <v>1991</v>
      </c>
      <c r="AA5" s="1263" t="s">
        <v>1992</v>
      </c>
      <c r="AB5" s="1263" t="s">
        <v>1993</v>
      </c>
      <c r="AC5" s="70"/>
      <c r="AD5" s="70" t="s">
        <v>1994</v>
      </c>
      <c r="AE5" s="1262" t="s">
        <v>1995</v>
      </c>
      <c r="AF5" s="1263" t="s">
        <v>1996</v>
      </c>
      <c r="AG5" s="69" t="s">
        <v>1997</v>
      </c>
      <c r="AH5" s="1262" t="s">
        <v>1998</v>
      </c>
      <c r="AI5" s="2293" t="s">
        <v>1999</v>
      </c>
      <c r="AJ5" s="2293" t="s">
        <v>2000</v>
      </c>
      <c r="AK5" s="1263" t="s">
        <v>2001</v>
      </c>
      <c r="AL5" s="1263" t="s">
        <v>2002</v>
      </c>
      <c r="AM5" s="69" t="s">
        <v>2003</v>
      </c>
      <c r="AN5" s="2294" t="s">
        <v>2004</v>
      </c>
      <c r="AO5" s="2064" t="s">
        <v>2005</v>
      </c>
      <c r="AP5" s="1244" t="s">
        <v>2006</v>
      </c>
      <c r="AQ5" s="2295" t="s">
        <v>2007</v>
      </c>
      <c r="AR5" s="2295" t="s">
        <v>2008</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4.25">
      <c r="A6" s="2296" t="str">
        <f>'数据-汇总表'!C19</f>
        <v>典型户型商业</v>
      </c>
      <c r="B6" s="2297" t="str">
        <f>IF(A6=0,"","经营性")</f>
        <v>经营性</v>
      </c>
      <c r="C6" s="2298" t="s">
        <v>1377</v>
      </c>
      <c r="D6" s="1048">
        <f>SUMIF(项目基本情况!D$12:I$12,C6,项目基本情况!D$14:I$14)</f>
        <v>40</v>
      </c>
      <c r="E6" s="1045">
        <f>IF(B6="","",SUMIF(项目基本情况!D$12:I$12,C6,项目基本情况!D$13:I$13))</f>
        <v>52903</v>
      </c>
      <c r="F6" s="71">
        <f>SUMIF(项目基本情况!D$12:I$12,C6,项目基本情况!D$15:I$15)</f>
        <v>26.55</v>
      </c>
      <c r="G6" s="72">
        <f>IF(ISERROR(ROUND(POWER(1+H6,D6-F6)*(POWER(1+H6,F6)-1)/(POWER(1+H6,D6)-1),3)),0,ROUND(POWER(1+H6,D6-F6)*(POWER(1+H6,F6)-1)/(POWER(1+H6,D6)-1),3))</f>
        <v>0.83199999999999996</v>
      </c>
      <c r="H6" s="796">
        <v>4.4999999999999998E-2</v>
      </c>
      <c r="I6" s="796">
        <v>0.05</v>
      </c>
      <c r="J6" s="73">
        <v>8.5000000000000006E-2</v>
      </c>
      <c r="K6" s="1246">
        <f>SUMIF('数据-汇总表'!C$19:C$33,A6,'数据-汇总表'!E$19:E$33)</f>
        <v>790.58</v>
      </c>
      <c r="L6" s="797">
        <v>3000</v>
      </c>
      <c r="M6" s="74">
        <f t="shared" ref="M6:M14" si="0">ROUND(K6*L6/10000,0)</f>
        <v>237</v>
      </c>
      <c r="N6" s="795">
        <f>ROUND(1-(2018-2013)/60,2)</f>
        <v>0.92</v>
      </c>
      <c r="O6" s="74" t="str">
        <f>IF($N$5="成新度","——",ROUND(M6*N6,0))</f>
        <v>——</v>
      </c>
      <c r="P6" s="75" t="str">
        <f>IF($N$5="成新度","——",M6-O6)</f>
        <v>——</v>
      </c>
      <c r="Q6" s="798">
        <v>0.25</v>
      </c>
      <c r="R6" s="76">
        <f ca="1">SUMIF('数据-汇总表'!C$19:C$33,A6,'数据-汇总表'!R$19:R$27)</f>
        <v>102.74</v>
      </c>
      <c r="S6" s="53">
        <f>IF('数据-汇总表'!$I$17="按面积比例",SUMIF('数据-汇总表'!C$19:C$33,A6,'数据-汇总表'!K$19:K$33),SUMIF('数据-汇总表'!C$19:C$33,A6,'数据-汇总表'!N$19:N$33))</f>
        <v>0</v>
      </c>
      <c r="T6" s="1438">
        <f>ROUND($L$14*S6/10000,0)</f>
        <v>0</v>
      </c>
      <c r="U6" s="77">
        <v>5.5</v>
      </c>
      <c r="V6" s="78">
        <v>0.03</v>
      </c>
      <c r="W6" s="78">
        <v>0.2</v>
      </c>
      <c r="X6" s="1256"/>
      <c r="Y6" s="79">
        <f>N6</f>
        <v>0.92</v>
      </c>
      <c r="Z6" s="80"/>
      <c r="AA6" s="73"/>
      <c r="AB6" s="73"/>
      <c r="AC6" s="1256"/>
      <c r="AD6" s="81"/>
      <c r="AE6" s="1257">
        <f ca="1">IF(AN6="",0,SUMIF(INDIRECT("'"&amp;AN6&amp;"'"&amp;"!E:E"),$AE$5,INDIRECT("'"&amp;AN6&amp;"'"&amp;"!F:F")))</f>
        <v>26.55</v>
      </c>
      <c r="AF6" s="1799"/>
      <c r="AG6" s="146">
        <f>IF(AF6="",0,AE6-AF6)</f>
        <v>0</v>
      </c>
      <c r="AH6" s="82"/>
      <c r="AI6" s="84">
        <v>365</v>
      </c>
      <c r="AJ6" s="85"/>
      <c r="AK6" s="86">
        <v>1.4999999999999999E-2</v>
      </c>
      <c r="AL6" s="87">
        <v>1.5E-3</v>
      </c>
      <c r="AM6" s="88">
        <v>0.01</v>
      </c>
      <c r="AN6" s="2299" t="s">
        <v>3070</v>
      </c>
      <c r="AO6" s="54">
        <f ca="1">SUMIF(INDIRECT("'"&amp;AN6&amp;"'"&amp;"!A:A"),"总价",INDIRECT("'"&amp;AN6&amp;"'"&amp;"!B:B"))</f>
        <v>1961</v>
      </c>
      <c r="AP6" s="2300">
        <f>IF(C6="住宅",K6*L6,0)</f>
        <v>0</v>
      </c>
      <c r="AQ6" s="54">
        <f>ROUND($L$14*$N$14*S6/10000,0)</f>
        <v>0</v>
      </c>
      <c r="AR6" s="54">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4.25">
      <c r="A7" s="2296" t="str">
        <f>'数据-汇总表'!C20</f>
        <v>商业剩余</v>
      </c>
      <c r="B7" s="2297" t="str">
        <f t="shared" ref="B7:B13" si="1">IF(A7=0,"","经营性")</f>
        <v>经营性</v>
      </c>
      <c r="C7" s="2298" t="s">
        <v>1377</v>
      </c>
      <c r="D7" s="1048">
        <f>SUMIF(项目基本情况!D$12:I$12,C7,项目基本情况!D$14:I$14)</f>
        <v>40</v>
      </c>
      <c r="E7" s="1045">
        <f>IF(B7="","",SUMIF(项目基本情况!D$12:I$12,C7,项目基本情况!D$13:I$13))</f>
        <v>52903</v>
      </c>
      <c r="F7" s="71">
        <f>SUMIF(项目基本情况!D$12:I$12,C7,项目基本情况!D$15:I$15)</f>
        <v>26.55</v>
      </c>
      <c r="G7" s="72">
        <f t="shared" ref="G7:G11" si="2">IF(ISERROR(ROUND(POWER(1+H7,D7-F7)*(POWER(1+H7,F7)-1)/(POWER(1+H7,D7)-1),3)),0,ROUND(POWER(1+H7,D7-F7)*(POWER(1+H7,F7)-1)/(POWER(1+H7,D7)-1),3))</f>
        <v>0.83199999999999996</v>
      </c>
      <c r="H7" s="796">
        <v>4.4999999999999998E-2</v>
      </c>
      <c r="I7" s="796">
        <v>0.05</v>
      </c>
      <c r="J7" s="73">
        <v>8.5000000000000006E-2</v>
      </c>
      <c r="K7" s="1246">
        <f>SUMIF('数据-汇总表'!C$19:C$33,A7,'数据-汇总表'!E$19:E$33)</f>
        <v>13308.810000000001</v>
      </c>
      <c r="L7" s="797">
        <v>3000</v>
      </c>
      <c r="M7" s="74">
        <f t="shared" si="0"/>
        <v>3993</v>
      </c>
      <c r="N7" s="795">
        <f>ROUND(1-(2018-2013)/60,2)</f>
        <v>0.92</v>
      </c>
      <c r="O7" s="74" t="str">
        <f t="shared" ref="O7:O14" si="3">IF($N$5="成新度","——",ROUND(M7*N7,0))</f>
        <v>——</v>
      </c>
      <c r="P7" s="75" t="str">
        <f t="shared" ref="P7:P14" si="4">IF($N$5="成新度","——",M7-O7)</f>
        <v>——</v>
      </c>
      <c r="Q7" s="798">
        <v>0.25</v>
      </c>
      <c r="R7" s="76">
        <f ca="1">SUMIF('数据-汇总表'!C$19:C$33,A7,'数据-汇总表'!R$19:R$27)</f>
        <v>1729.48</v>
      </c>
      <c r="S7" s="53">
        <f>IF('数据-汇总表'!$I$17="按面积比例",SUMIF('数据-汇总表'!C$19:C$33,A7,'数据-汇总表'!K$19:K$33),SUMIF('数据-汇总表'!C$19:C$33,A7,'数据-汇总表'!N$19:N$33))</f>
        <v>0</v>
      </c>
      <c r="T7" s="1438">
        <f t="shared" ref="T7:T13" si="5">ROUND($L$14*S7/10000,0)</f>
        <v>0</v>
      </c>
      <c r="U7" s="77"/>
      <c r="V7" s="78"/>
      <c r="W7" s="78"/>
      <c r="X7" s="1256"/>
      <c r="Y7" s="79"/>
      <c r="Z7" s="80"/>
      <c r="AA7" s="73"/>
      <c r="AB7" s="73"/>
      <c r="AC7" s="1256"/>
      <c r="AD7" s="81"/>
      <c r="AE7" s="1257">
        <f t="shared" ref="AE7:AE13" ca="1" si="6">IF(AN7="",0,SUMIF(INDIRECT("'"&amp;AN7&amp;"'"&amp;"!E:E"),$AE$5,INDIRECT("'"&amp;AN7&amp;"'"&amp;"!F:F")))</f>
        <v>0</v>
      </c>
      <c r="AF7" s="1799"/>
      <c r="AG7" s="146">
        <f t="shared" ref="AG7:AG13" si="7">IF(AF7="",0,AE7-AF7)</f>
        <v>0</v>
      </c>
      <c r="AH7" s="82"/>
      <c r="AI7" s="84"/>
      <c r="AJ7" s="85"/>
      <c r="AK7" s="86"/>
      <c r="AL7" s="87"/>
      <c r="AM7" s="88"/>
      <c r="AN7" s="2299"/>
      <c r="AO7" s="54" t="e">
        <f t="shared" ref="AO7:AO13" ca="1" si="8">SUMIF(INDIRECT("'"&amp;AN7&amp;"'"&amp;"!A:A"),"总价",INDIRECT("'"&amp;AN7&amp;"'"&amp;"!B:B"))</f>
        <v>#REF!</v>
      </c>
      <c r="AP7" s="2300">
        <f t="shared" ref="AP7:AP13" si="9">IF(C7="住宅",K7*L7,0)</f>
        <v>0</v>
      </c>
      <c r="AQ7" s="54">
        <f t="shared" ref="AQ7:AQ13" si="10">ROUND($L$14*$N$14*S7/10000,0)</f>
        <v>0</v>
      </c>
      <c r="AR7" s="54">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4.25" hidden="1">
      <c r="A8" s="2296">
        <f>'数据-汇总表'!C21</f>
        <v>0</v>
      </c>
      <c r="B8" s="2297" t="str">
        <f t="shared" si="1"/>
        <v/>
      </c>
      <c r="C8" s="2298"/>
      <c r="D8" s="1048">
        <f>SUMIF(项目基本情况!D$12:I$12,C8,项目基本情况!D$14:I$14)</f>
        <v>0</v>
      </c>
      <c r="E8" s="1045" t="str">
        <f>IF(B8="","",SUMIF(项目基本情况!D$12:I$12,C8,项目基本情况!D$13:I$13))</f>
        <v/>
      </c>
      <c r="F8" s="71">
        <f>SUMIF(项目基本情况!D$12:I$12,C8,项目基本情况!D$15:I$15)</f>
        <v>0</v>
      </c>
      <c r="G8" s="72">
        <f t="shared" si="2"/>
        <v>0</v>
      </c>
      <c r="H8" s="796"/>
      <c r="I8" s="796"/>
      <c r="J8" s="73"/>
      <c r="K8" s="1246">
        <f>SUMIF('数据-汇总表'!C$19:C$33,A8,'数据-汇总表'!E$19:E$33)</f>
        <v>0</v>
      </c>
      <c r="L8" s="797"/>
      <c r="M8" s="74">
        <f>ROUND(K8*L8/10000,0)</f>
        <v>0</v>
      </c>
      <c r="N8" s="795"/>
      <c r="O8" s="74" t="str">
        <f t="shared" si="3"/>
        <v>——</v>
      </c>
      <c r="P8" s="75" t="str">
        <f t="shared" si="4"/>
        <v>——</v>
      </c>
      <c r="Q8" s="798"/>
      <c r="R8" s="76">
        <f ca="1">SUMIF('数据-汇总表'!C$19:C$33,A8,'数据-汇总表'!R$19:R$27)</f>
        <v>0</v>
      </c>
      <c r="S8" s="53">
        <f>IF('数据-汇总表'!$I$17="按面积比例",SUMIF('数据-汇总表'!C$19:C$33,A8,'数据-汇总表'!K$19:K$33),SUMIF('数据-汇总表'!C$19:C$33,A8,'数据-汇总表'!N$19:N$33))</f>
        <v>0</v>
      </c>
      <c r="T8" s="1438">
        <f t="shared" si="5"/>
        <v>0</v>
      </c>
      <c r="U8" s="799"/>
      <c r="V8" s="800"/>
      <c r="W8" s="800"/>
      <c r="X8" s="1256"/>
      <c r="Y8" s="801"/>
      <c r="Z8" s="80"/>
      <c r="AA8" s="73"/>
      <c r="AB8" s="73"/>
      <c r="AC8" s="1256"/>
      <c r="AD8" s="81"/>
      <c r="AE8" s="1257">
        <f t="shared" ca="1" si="6"/>
        <v>0</v>
      </c>
      <c r="AF8" s="1799"/>
      <c r="AG8" s="146">
        <f t="shared" si="7"/>
        <v>0</v>
      </c>
      <c r="AH8" s="802"/>
      <c r="AI8" s="84"/>
      <c r="AJ8" s="85"/>
      <c r="AK8" s="803"/>
      <c r="AL8" s="804"/>
      <c r="AM8" s="805"/>
      <c r="AN8" s="2299"/>
      <c r="AO8" s="54" t="e">
        <f t="shared" ca="1" si="8"/>
        <v>#REF!</v>
      </c>
      <c r="AP8" s="2300">
        <f t="shared" si="9"/>
        <v>0</v>
      </c>
      <c r="AQ8" s="54">
        <f t="shared" si="10"/>
        <v>0</v>
      </c>
      <c r="AR8" s="54">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4.25" hidden="1">
      <c r="A9" s="2296">
        <f>'数据-汇总表'!C22</f>
        <v>0</v>
      </c>
      <c r="B9" s="2297" t="str">
        <f t="shared" si="1"/>
        <v/>
      </c>
      <c r="C9" s="2298"/>
      <c r="D9" s="1048">
        <f>SUMIF(项目基本情况!D$12:I$12,C9,项目基本情况!D$14:I$14)</f>
        <v>0</v>
      </c>
      <c r="E9" s="1045" t="str">
        <f>IF(B9="","",SUMIF(项目基本情况!D$12:I$12,C9,项目基本情况!D$13:I$13))</f>
        <v/>
      </c>
      <c r="F9" s="71">
        <f>SUMIF(项目基本情况!D$12:I$12,C9,项目基本情况!D$15:I$15)</f>
        <v>0</v>
      </c>
      <c r="G9" s="72">
        <f t="shared" si="2"/>
        <v>0</v>
      </c>
      <c r="H9" s="73"/>
      <c r="I9" s="73"/>
      <c r="J9" s="73"/>
      <c r="K9" s="1246">
        <f>SUMIF('数据-汇总表'!C$19:C$33,A9,'数据-汇总表'!E$19:E$33)</f>
        <v>0</v>
      </c>
      <c r="L9" s="797"/>
      <c r="M9" s="74">
        <f t="shared" si="0"/>
        <v>0</v>
      </c>
      <c r="N9" s="795"/>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8">
        <f t="shared" si="5"/>
        <v>0</v>
      </c>
      <c r="U9" s="77"/>
      <c r="V9" s="78"/>
      <c r="W9" s="78"/>
      <c r="X9" s="1256"/>
      <c r="Y9" s="79"/>
      <c r="Z9" s="80"/>
      <c r="AA9" s="73"/>
      <c r="AB9" s="73"/>
      <c r="AC9" s="1256"/>
      <c r="AD9" s="81"/>
      <c r="AE9" s="1257">
        <f t="shared" ca="1" si="6"/>
        <v>0</v>
      </c>
      <c r="AF9" s="1799"/>
      <c r="AG9" s="146">
        <f t="shared" si="7"/>
        <v>0</v>
      </c>
      <c r="AH9" s="82"/>
      <c r="AI9" s="84"/>
      <c r="AJ9" s="85"/>
      <c r="AK9" s="86"/>
      <c r="AL9" s="87"/>
      <c r="AM9" s="88"/>
      <c r="AN9" s="2299"/>
      <c r="AO9" s="54" t="e">
        <f t="shared" ca="1" si="8"/>
        <v>#REF!</v>
      </c>
      <c r="AP9" s="2300">
        <f t="shared" si="9"/>
        <v>0</v>
      </c>
      <c r="AQ9" s="54">
        <f t="shared" si="10"/>
        <v>0</v>
      </c>
      <c r="AR9" s="54">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4.25" hidden="1">
      <c r="A10" s="2296">
        <f>'数据-汇总表'!C23</f>
        <v>0</v>
      </c>
      <c r="B10" s="2297" t="str">
        <f t="shared" si="1"/>
        <v/>
      </c>
      <c r="C10" s="2298"/>
      <c r="D10" s="1048">
        <f>SUMIF(项目基本情况!D$12:I$12,C10,项目基本情况!D$14:I$14)</f>
        <v>0</v>
      </c>
      <c r="E10" s="1045" t="str">
        <f>IF(B10="","",SUMIF(项目基本情况!D$12:I$12,C10,项目基本情况!D$13:I$13))</f>
        <v/>
      </c>
      <c r="F10" s="71">
        <f>SUMIF(项目基本情况!D$12:I$12,C10,项目基本情况!D$15:I$15)</f>
        <v>0</v>
      </c>
      <c r="G10" s="72">
        <f t="shared" si="2"/>
        <v>0</v>
      </c>
      <c r="H10" s="73"/>
      <c r="I10" s="73"/>
      <c r="J10" s="73"/>
      <c r="K10" s="1246">
        <f>SUMIF('数据-汇总表'!C$19:C$33,A10,'数据-汇总表'!E$19:E$33)</f>
        <v>0</v>
      </c>
      <c r="L10" s="797"/>
      <c r="M10" s="74">
        <f t="shared" si="0"/>
        <v>0</v>
      </c>
      <c r="N10" s="795"/>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8">
        <f t="shared" si="5"/>
        <v>0</v>
      </c>
      <c r="U10" s="77"/>
      <c r="V10" s="78"/>
      <c r="W10" s="78"/>
      <c r="X10" s="1256"/>
      <c r="Y10" s="79"/>
      <c r="Z10" s="80"/>
      <c r="AA10" s="73"/>
      <c r="AB10" s="73"/>
      <c r="AC10" s="1256"/>
      <c r="AD10" s="81"/>
      <c r="AE10" s="1257">
        <f t="shared" ca="1" si="6"/>
        <v>0</v>
      </c>
      <c r="AF10" s="1799"/>
      <c r="AG10" s="146">
        <f t="shared" si="7"/>
        <v>0</v>
      </c>
      <c r="AH10" s="82"/>
      <c r="AI10" s="84"/>
      <c r="AJ10" s="85"/>
      <c r="AK10" s="86"/>
      <c r="AL10" s="87"/>
      <c r="AM10" s="88"/>
      <c r="AN10" s="2299"/>
      <c r="AO10" s="54" t="e">
        <f t="shared" ca="1" si="8"/>
        <v>#REF!</v>
      </c>
      <c r="AP10" s="2300">
        <f t="shared" si="9"/>
        <v>0</v>
      </c>
      <c r="AQ10" s="54">
        <f t="shared" si="10"/>
        <v>0</v>
      </c>
      <c r="AR10" s="54">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4.25" hidden="1">
      <c r="A11" s="2296">
        <f>'数据-汇总表'!C24</f>
        <v>0</v>
      </c>
      <c r="B11" s="2297" t="str">
        <f t="shared" si="1"/>
        <v/>
      </c>
      <c r="C11" s="2298"/>
      <c r="D11" s="1048">
        <f>SUMIF(项目基本情况!D$12:I$12,C11,项目基本情况!D$14:I$14)</f>
        <v>0</v>
      </c>
      <c r="E11" s="1045"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799"/>
      <c r="AG11" s="146">
        <f t="shared" si="7"/>
        <v>0</v>
      </c>
      <c r="AH11" s="82"/>
      <c r="AI11" s="84"/>
      <c r="AJ11" s="85"/>
      <c r="AK11" s="93"/>
      <c r="AL11" s="94"/>
      <c r="AM11" s="95"/>
      <c r="AN11" s="2299"/>
      <c r="AO11" s="54" t="e">
        <f t="shared" ca="1" si="8"/>
        <v>#REF!</v>
      </c>
      <c r="AP11" s="2300">
        <f t="shared" si="9"/>
        <v>0</v>
      </c>
      <c r="AQ11" s="54">
        <f t="shared" si="10"/>
        <v>0</v>
      </c>
      <c r="AR11" s="54">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4.25" hidden="1">
      <c r="A12" s="2296">
        <f>'数据-汇总表'!C25</f>
        <v>0</v>
      </c>
      <c r="B12" s="2297" t="str">
        <f t="shared" si="1"/>
        <v/>
      </c>
      <c r="C12" s="2298"/>
      <c r="D12" s="1048">
        <f>SUMIF(项目基本情况!D$12:I$12,C12,项目基本情况!D$14:I$14)</f>
        <v>0</v>
      </c>
      <c r="E12" s="1045"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799"/>
      <c r="AG12" s="146">
        <f t="shared" si="7"/>
        <v>0</v>
      </c>
      <c r="AH12" s="82"/>
      <c r="AI12" s="84"/>
      <c r="AJ12" s="85"/>
      <c r="AK12" s="93"/>
      <c r="AL12" s="94"/>
      <c r="AM12" s="95"/>
      <c r="AN12" s="2299"/>
      <c r="AO12" s="54" t="e">
        <f t="shared" ca="1" si="8"/>
        <v>#REF!</v>
      </c>
      <c r="AP12" s="2300">
        <f t="shared" si="9"/>
        <v>0</v>
      </c>
      <c r="AQ12" s="54">
        <f t="shared" si="10"/>
        <v>0</v>
      </c>
      <c r="AR12" s="54">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4.25" hidden="1">
      <c r="A13" s="2296">
        <f>'数据-汇总表'!C26</f>
        <v>0</v>
      </c>
      <c r="B13" s="2297" t="str">
        <f t="shared" si="1"/>
        <v/>
      </c>
      <c r="C13" s="2298"/>
      <c r="D13" s="1048">
        <f>SUMIF(项目基本情况!D$12:I$12,C13,项目基本情况!D$14:I$14)</f>
        <v>0</v>
      </c>
      <c r="E13" s="1045"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799"/>
      <c r="AG13" s="146">
        <f t="shared" si="7"/>
        <v>0</v>
      </c>
      <c r="AH13" s="82"/>
      <c r="AI13" s="84"/>
      <c r="AJ13" s="85"/>
      <c r="AK13" s="86"/>
      <c r="AL13" s="87"/>
      <c r="AM13" s="88"/>
      <c r="AN13" s="2299"/>
      <c r="AO13" s="54" t="e">
        <f t="shared" ca="1" si="8"/>
        <v>#REF!</v>
      </c>
      <c r="AP13" s="2300">
        <f t="shared" si="9"/>
        <v>0</v>
      </c>
      <c r="AQ13" s="54">
        <f t="shared" si="10"/>
        <v>0</v>
      </c>
      <c r="AR13" s="54">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25">
      <c r="A14" s="2301" t="s">
        <v>2009</v>
      </c>
      <c r="B14" s="2297" t="s">
        <v>2010</v>
      </c>
      <c r="C14" s="2302" t="s">
        <v>2009</v>
      </c>
      <c r="D14" s="1048"/>
      <c r="E14" s="1045"/>
      <c r="F14" s="71"/>
      <c r="G14" s="72"/>
      <c r="H14" s="1245"/>
      <c r="I14" s="1245"/>
      <c r="J14" s="1245"/>
      <c r="K14" s="1246">
        <f>SUMIF('数据-汇总表'!C$19:C$33,A14,'数据-汇总表'!E$19:E$33)</f>
        <v>0</v>
      </c>
      <c r="L14" s="90"/>
      <c r="M14" s="74">
        <f t="shared" si="0"/>
        <v>0</v>
      </c>
      <c r="N14" s="91"/>
      <c r="O14" s="74" t="str">
        <f t="shared" si="3"/>
        <v>——</v>
      </c>
      <c r="P14" s="75" t="str">
        <f t="shared" si="4"/>
        <v>——</v>
      </c>
      <c r="Q14" s="1249"/>
      <c r="R14" s="76"/>
      <c r="S14" s="53"/>
      <c r="T14" s="1438"/>
      <c r="U14" s="717"/>
      <c r="V14" s="1251"/>
      <c r="W14" s="1251"/>
      <c r="X14" s="1252"/>
      <c r="Y14" s="1253"/>
      <c r="Z14" s="1254"/>
      <c r="AA14" s="1255"/>
      <c r="AB14" s="1255"/>
      <c r="AC14" s="1256"/>
      <c r="AD14" s="1252"/>
      <c r="AE14" s="1257"/>
      <c r="AF14" s="54"/>
      <c r="AG14" s="146"/>
      <c r="AH14" s="1257"/>
      <c r="AI14" s="1810"/>
      <c r="AJ14" s="767"/>
      <c r="AK14" s="1258"/>
      <c r="AL14" s="1259"/>
      <c r="AM14" s="1260"/>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7">
      <c r="A15" s="2301" t="s">
        <v>2011</v>
      </c>
      <c r="B15" s="2297" t="s">
        <v>2010</v>
      </c>
      <c r="C15" s="2302" t="s">
        <v>2012</v>
      </c>
      <c r="D15" s="1048"/>
      <c r="E15" s="1045"/>
      <c r="F15" s="71"/>
      <c r="G15" s="72"/>
      <c r="H15" s="1245"/>
      <c r="I15" s="1245"/>
      <c r="J15" s="1245"/>
      <c r="K15" s="1246">
        <f>SUMIF('数据-汇总表'!C$19:C$33,A15,'数据-汇总表'!E$19:E$33)</f>
        <v>0</v>
      </c>
      <c r="L15" s="1247"/>
      <c r="M15" s="74"/>
      <c r="N15" s="1248"/>
      <c r="O15" s="74"/>
      <c r="P15" s="75"/>
      <c r="Q15" s="1249"/>
      <c r="R15" s="76"/>
      <c r="S15" s="53"/>
      <c r="T15" s="1438"/>
      <c r="U15" s="717"/>
      <c r="V15" s="1251"/>
      <c r="W15" s="1251"/>
      <c r="X15" s="1252"/>
      <c r="Y15" s="1253"/>
      <c r="Z15" s="1254"/>
      <c r="AA15" s="1255"/>
      <c r="AB15" s="1255"/>
      <c r="AC15" s="1256"/>
      <c r="AD15" s="1252"/>
      <c r="AE15" s="1257"/>
      <c r="AF15" s="54"/>
      <c r="AG15" s="146"/>
      <c r="AH15" s="1257"/>
      <c r="AI15" s="1810"/>
      <c r="AJ15" s="767"/>
      <c r="AK15" s="1258"/>
      <c r="AL15" s="1259"/>
      <c r="AM15" s="1260"/>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75" thickBot="1">
      <c r="A16" s="2303" t="s">
        <v>2013</v>
      </c>
      <c r="B16" s="96"/>
      <c r="C16" s="1002"/>
      <c r="D16" s="2304"/>
      <c r="E16" s="96"/>
      <c r="F16" s="96"/>
      <c r="G16" s="97">
        <f>ROUND(SUMPRODUCT(G6:G13,K6:K13)/SUMPRODUCT((G6:G13&gt;0)*(K6:K13)),3)</f>
        <v>0.83199999999999996</v>
      </c>
      <c r="H16" s="98">
        <f>ROUND(SUMPRODUCT(H6:H13,K6:K13)/SUMPRODUCT((H6:H13&gt;0)*(K6:K13)),3)</f>
        <v>4.4999999999999998E-2</v>
      </c>
      <c r="I16" s="99"/>
      <c r="J16" s="99"/>
      <c r="K16" s="100">
        <f>SUM(K6:K15)</f>
        <v>14099.390000000001</v>
      </c>
      <c r="L16" s="101">
        <f>ROUND(M16*10000/SUM(K6:K14),0)</f>
        <v>3000</v>
      </c>
      <c r="M16" s="101">
        <f>SUM(M6:M14)</f>
        <v>4230</v>
      </c>
      <c r="N16" s="102">
        <f>ROUND(SUMPRODUCT(M6:M14,N6:N14)/M16,3)</f>
        <v>0.92</v>
      </c>
      <c r="O16" s="101">
        <f>SUM(O6:O14)</f>
        <v>0</v>
      </c>
      <c r="P16" s="101">
        <f>SUM(P6:P14)</f>
        <v>0</v>
      </c>
      <c r="Q16" s="103">
        <f>ROUND(SUMPRODUCT(Q6:Q13,K6:K13)/SUMPRODUCT((Q6:Q13&gt;0)*(K6:K13)),2)</f>
        <v>0.25</v>
      </c>
      <c r="R16" s="1250">
        <f ca="1">SUM(R6:R13)</f>
        <v>1832.22</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6"/>
      <c r="C17" s="1576"/>
      <c r="D17" s="2263"/>
      <c r="E17" s="2263"/>
      <c r="F17" s="1576"/>
      <c r="G17" s="1576"/>
      <c r="H17" s="1576"/>
      <c r="I17" s="1576"/>
      <c r="J17" s="1576"/>
      <c r="K17" s="167"/>
      <c r="L17" s="167"/>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2014</v>
      </c>
      <c r="B18" s="2270"/>
      <c r="C18" s="2267"/>
      <c r="D18" s="2268"/>
      <c r="E18" s="2267"/>
      <c r="F18" s="2267"/>
      <c r="G18" s="2267"/>
      <c r="H18" s="2267"/>
      <c r="I18" s="2267"/>
      <c r="J18" s="2267"/>
      <c r="K18" s="167"/>
      <c r="L18" s="167"/>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6" t="s">
        <v>2015</v>
      </c>
      <c r="B19" s="111">
        <v>0</v>
      </c>
      <c r="C19" s="2267" t="s">
        <v>2016</v>
      </c>
      <c r="D19" s="2268"/>
      <c r="E19" s="2267"/>
      <c r="F19" s="2267"/>
      <c r="G19" s="2267"/>
      <c r="H19" s="2267"/>
      <c r="I19" s="2267"/>
      <c r="J19" s="2267"/>
      <c r="K19" s="167"/>
      <c r="L19" s="167"/>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7" t="s">
        <v>2017</v>
      </c>
      <c r="B20" s="112">
        <v>2.5</v>
      </c>
      <c r="C20" s="2267" t="s">
        <v>2018</v>
      </c>
      <c r="D20" s="2268"/>
      <c r="E20" s="2267"/>
      <c r="F20" s="2267"/>
      <c r="G20" s="2267"/>
      <c r="H20" s="2267"/>
      <c r="I20" s="2267"/>
      <c r="J20" s="2267"/>
      <c r="K20" s="167"/>
      <c r="L20" s="167"/>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08" t="s">
        <v>2019</v>
      </c>
      <c r="B21" s="112">
        <v>2.5</v>
      </c>
      <c r="C21" s="2267"/>
      <c r="D21" s="2268"/>
      <c r="E21" s="2267"/>
      <c r="F21" s="2267"/>
      <c r="G21" s="2267"/>
      <c r="H21" s="2267"/>
      <c r="I21" s="2267"/>
      <c r="J21" s="2267"/>
      <c r="K21" s="167"/>
      <c r="L21" s="167"/>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7" t="s">
        <v>2020</v>
      </c>
      <c r="B22" s="113">
        <f>B19+B20</f>
        <v>2.5</v>
      </c>
      <c r="C22" s="2267"/>
      <c r="D22" s="2268"/>
      <c r="E22" s="2267"/>
      <c r="F22" s="2267"/>
      <c r="G22" s="2267"/>
      <c r="H22" s="2267"/>
      <c r="I22" s="2267"/>
      <c r="J22" s="2267"/>
      <c r="K22" s="167"/>
      <c r="L22" s="167"/>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08" t="s">
        <v>2021</v>
      </c>
      <c r="B23" s="113">
        <f>B19+B21</f>
        <v>2.5</v>
      </c>
      <c r="C23" s="2267"/>
      <c r="D23" s="2268"/>
      <c r="E23" s="2267"/>
      <c r="F23" s="2267"/>
      <c r="G23" s="2267"/>
      <c r="H23" s="2267"/>
      <c r="I23" s="2267"/>
      <c r="J23" s="2267"/>
      <c r="K23" s="167"/>
      <c r="L23" s="167"/>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09" t="s">
        <v>2022</v>
      </c>
      <c r="B24" s="114">
        <f>B20-B21</f>
        <v>0</v>
      </c>
      <c r="C24" s="2267"/>
      <c r="D24" s="2268"/>
      <c r="E24" s="2267"/>
      <c r="F24" s="2267"/>
      <c r="G24" s="2267"/>
      <c r="H24" s="2267"/>
      <c r="I24" s="2267"/>
      <c r="J24" s="2267"/>
      <c r="K24" s="167"/>
      <c r="L24" s="167"/>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0"/>
      <c r="C25" s="2267"/>
      <c r="D25" s="2268"/>
      <c r="E25" s="2267"/>
      <c r="F25" s="2267"/>
      <c r="G25" s="2267"/>
      <c r="H25" s="2267"/>
      <c r="I25" s="2267"/>
      <c r="J25" s="2267"/>
      <c r="K25" s="167"/>
      <c r="L25" s="167"/>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6" t="s">
        <v>2023</v>
      </c>
      <c r="B26" s="2310" t="s">
        <v>2024</v>
      </c>
      <c r="C26" s="2311" t="s">
        <v>2025</v>
      </c>
      <c r="D26" s="2268"/>
      <c r="E26" s="2267"/>
      <c r="F26" s="2267"/>
      <c r="G26" s="2267"/>
      <c r="H26" s="2267"/>
      <c r="I26" s="2267"/>
      <c r="J26" s="2267"/>
      <c r="K26" s="167"/>
      <c r="L26" s="167"/>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4" customFormat="1" ht="27.75">
      <c r="A27" s="2312" t="s">
        <v>2026</v>
      </c>
      <c r="B27" s="115">
        <v>120</v>
      </c>
      <c r="C27" s="2939" t="s">
        <v>3210</v>
      </c>
      <c r="D27" s="2313"/>
      <c r="E27" s="1422"/>
      <c r="F27" s="1422"/>
      <c r="G27" s="2267"/>
      <c r="H27" s="2267"/>
      <c r="I27" s="2267"/>
      <c r="J27" s="2267"/>
      <c r="K27" s="167"/>
      <c r="L27" s="167"/>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7.75">
      <c r="A28" s="2315" t="s">
        <v>2027</v>
      </c>
      <c r="B28" s="118">
        <v>120</v>
      </c>
      <c r="C28" s="2316"/>
      <c r="D28" s="2313"/>
      <c r="E28" s="1422"/>
      <c r="F28" s="1422"/>
      <c r="G28" s="2267"/>
      <c r="H28" s="2267"/>
      <c r="I28" s="2267"/>
      <c r="J28" s="2267"/>
      <c r="K28" s="167"/>
      <c r="L28" s="167"/>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8.5" thickBot="1">
      <c r="A29" s="2317" t="s">
        <v>2028</v>
      </c>
      <c r="B29" s="120"/>
      <c r="C29" s="1759" t="s">
        <v>2029</v>
      </c>
      <c r="D29" s="2313"/>
      <c r="E29" s="1422"/>
      <c r="F29" s="1422"/>
      <c r="G29" s="2267"/>
      <c r="H29" s="2267"/>
      <c r="I29" s="2267"/>
      <c r="J29" s="2267"/>
      <c r="K29" s="167"/>
      <c r="L29" s="167"/>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7">
      <c r="A30" s="2318" t="s">
        <v>2030</v>
      </c>
      <c r="B30" s="718">
        <v>200</v>
      </c>
      <c r="C30" s="2316"/>
      <c r="D30" s="2313"/>
      <c r="E30" s="1422"/>
      <c r="F30" s="1422"/>
      <c r="G30" s="2267"/>
      <c r="H30" s="2267"/>
      <c r="I30" s="2267"/>
      <c r="J30" s="2267"/>
      <c r="K30" s="167"/>
      <c r="L30" s="167"/>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7">
      <c r="A31" s="2315" t="s">
        <v>2031</v>
      </c>
      <c r="B31" s="119">
        <f>B30-B32</f>
        <v>200</v>
      </c>
      <c r="C31" s="1759"/>
      <c r="D31" s="2313"/>
      <c r="E31" s="1422"/>
      <c r="F31" s="1422"/>
      <c r="G31" s="2267"/>
      <c r="H31" s="2267"/>
      <c r="I31" s="2267"/>
      <c r="J31" s="2267"/>
      <c r="K31" s="167"/>
      <c r="L31" s="167"/>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7.75" thickBot="1">
      <c r="A32" s="2319" t="s">
        <v>2032</v>
      </c>
      <c r="B32" s="719">
        <v>0</v>
      </c>
      <c r="C32" s="2316"/>
      <c r="D32" s="2268"/>
      <c r="E32" s="2267"/>
      <c r="F32" s="2267"/>
      <c r="G32" s="2267"/>
      <c r="H32" s="2267"/>
      <c r="I32" s="2267"/>
      <c r="J32" s="2267"/>
      <c r="K32" s="167"/>
      <c r="L32" s="167"/>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25">
      <c r="A33" s="2312" t="s">
        <v>2033</v>
      </c>
      <c r="B33" s="720">
        <v>0.03</v>
      </c>
      <c r="C33" s="1758" t="s">
        <v>2034</v>
      </c>
      <c r="D33" s="2268"/>
      <c r="E33" s="2267"/>
      <c r="F33" s="2267"/>
      <c r="G33" s="2267"/>
      <c r="H33" s="2267"/>
      <c r="I33" s="2267"/>
      <c r="J33" s="2267"/>
      <c r="K33" s="167"/>
      <c r="L33" s="167"/>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25">
      <c r="A34" s="2315" t="s">
        <v>2035</v>
      </c>
      <c r="B34" s="121">
        <v>0.05</v>
      </c>
      <c r="C34" s="1758" t="s">
        <v>2036</v>
      </c>
      <c r="D34" s="2268" t="s">
        <v>2037</v>
      </c>
      <c r="E34" s="726"/>
      <c r="F34" s="2267"/>
      <c r="G34" s="2267"/>
      <c r="H34" s="2267"/>
      <c r="I34" s="2267"/>
      <c r="J34" s="2267"/>
      <c r="K34" s="167"/>
      <c r="L34" s="167"/>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25">
      <c r="A35" s="2315" t="s">
        <v>2038</v>
      </c>
      <c r="B35" s="118">
        <v>200</v>
      </c>
      <c r="C35" s="1758" t="s">
        <v>2039</v>
      </c>
      <c r="D35" s="2313"/>
      <c r="E35" s="1422"/>
      <c r="F35" s="1422"/>
      <c r="G35" s="2267"/>
      <c r="H35" s="2267"/>
      <c r="I35" s="2267"/>
      <c r="J35" s="2267"/>
      <c r="K35" s="167"/>
      <c r="L35" s="167"/>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2040</v>
      </c>
      <c r="B36" s="122">
        <v>1.4999999999999999E-2</v>
      </c>
      <c r="C36" s="1758" t="s">
        <v>2041</v>
      </c>
      <c r="D36" s="2268"/>
      <c r="E36" s="2267"/>
      <c r="F36" s="2267"/>
      <c r="G36" s="2267"/>
      <c r="H36" s="2267"/>
      <c r="I36" s="2267"/>
      <c r="J36" s="2267"/>
      <c r="K36" s="167"/>
      <c r="L36" s="167"/>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18" t="s">
        <v>2042</v>
      </c>
      <c r="B37" s="123">
        <v>0.02</v>
      </c>
      <c r="C37" s="1758" t="s">
        <v>2043</v>
      </c>
      <c r="D37" s="2268"/>
      <c r="E37" s="2267"/>
      <c r="F37" s="2267"/>
      <c r="G37" s="2267"/>
      <c r="H37" s="2267"/>
      <c r="I37" s="2267"/>
      <c r="J37" s="2267"/>
      <c r="K37" s="167"/>
      <c r="L37" s="167"/>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5" t="s">
        <v>2044</v>
      </c>
      <c r="B38" s="121">
        <v>0.02</v>
      </c>
      <c r="C38" s="1758" t="s">
        <v>2043</v>
      </c>
      <c r="D38" s="2268"/>
      <c r="E38" s="2267"/>
      <c r="F38" s="2267"/>
      <c r="G38" s="2267"/>
      <c r="H38" s="2267"/>
      <c r="I38" s="2267"/>
      <c r="J38" s="2267"/>
      <c r="K38" s="167"/>
      <c r="L38" s="167"/>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19" t="s">
        <v>2045</v>
      </c>
      <c r="B39" s="361">
        <f ca="1">存贷款利率!I1</f>
        <v>1.4999999999999999E-2</v>
      </c>
      <c r="C39" s="1758"/>
      <c r="D39" s="2268"/>
      <c r="E39" s="2267"/>
      <c r="F39" s="2267"/>
      <c r="G39" s="2267"/>
      <c r="H39" s="2267"/>
      <c r="I39" s="2267"/>
      <c r="J39" s="2267"/>
      <c r="K39" s="167"/>
      <c r="L39" s="167"/>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19" t="s">
        <v>2046</v>
      </c>
      <c r="B40" s="1295">
        <f ca="1">存贷款利率!G1</f>
        <v>4.7500000000000001E-2</v>
      </c>
      <c r="C40" s="1758" t="s">
        <v>2047</v>
      </c>
      <c r="D40" s="1576"/>
      <c r="E40" s="2268"/>
      <c r="F40" s="2267"/>
      <c r="G40" s="2267"/>
      <c r="H40" s="2267"/>
      <c r="I40" s="2267"/>
      <c r="J40" s="2267"/>
      <c r="K40" s="167"/>
      <c r="L40" s="167"/>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2" t="s">
        <v>2048</v>
      </c>
      <c r="B41" s="124">
        <f>B42+B43</f>
        <v>5.6000000000000001E-2</v>
      </c>
      <c r="C41" s="1759"/>
      <c r="D41" s="1576"/>
      <c r="E41" s="2268"/>
      <c r="F41" s="2267"/>
      <c r="G41" s="2267"/>
      <c r="H41" s="2267"/>
      <c r="I41" s="2267"/>
      <c r="J41" s="2267"/>
      <c r="K41" s="167"/>
      <c r="L41" s="167"/>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0" t="s">
        <v>2049</v>
      </c>
      <c r="B42" s="125">
        <v>0.05</v>
      </c>
      <c r="C42" s="2321">
        <f>IF(B2&lt;DATE(2016,5,1),0,B42)</f>
        <v>0.05</v>
      </c>
      <c r="D42" s="2268"/>
      <c r="E42" s="2267"/>
      <c r="F42" s="2267"/>
      <c r="G42" s="2267"/>
      <c r="H42" s="2267"/>
      <c r="I42" s="2267"/>
      <c r="J42" s="2267"/>
      <c r="K42" s="167"/>
      <c r="L42" s="167"/>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0" t="s">
        <v>2050</v>
      </c>
      <c r="B43" s="126">
        <f>B42*(B44+B45+B46)+B47</f>
        <v>6.000000000000001E-3</v>
      </c>
      <c r="C43" s="1759"/>
      <c r="D43" s="2268"/>
      <c r="E43" s="2267"/>
      <c r="F43" s="2267"/>
      <c r="G43" s="2267"/>
      <c r="H43" s="2267"/>
      <c r="I43" s="2267"/>
      <c r="J43" s="2267"/>
      <c r="K43" s="167"/>
      <c r="L43" s="167"/>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2" t="s">
        <v>2051</v>
      </c>
      <c r="B44" s="127">
        <v>7.0000000000000007E-2</v>
      </c>
      <c r="C44" s="1758" t="s">
        <v>2052</v>
      </c>
      <c r="D44" s="2268"/>
      <c r="E44" s="2267"/>
      <c r="F44" s="2267"/>
      <c r="G44" s="2267"/>
      <c r="H44" s="2267"/>
      <c r="I44" s="2267"/>
      <c r="J44" s="2267"/>
      <c r="K44" s="167"/>
      <c r="L44" s="167"/>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2" t="s">
        <v>2053</v>
      </c>
      <c r="B45" s="125">
        <v>0.03</v>
      </c>
      <c r="C45" s="1759" t="s">
        <v>2054</v>
      </c>
      <c r="D45" s="2268"/>
      <c r="E45" s="2267"/>
      <c r="F45" s="2267"/>
      <c r="G45" s="2267"/>
      <c r="H45" s="2267"/>
      <c r="I45" s="2267"/>
      <c r="J45" s="2267"/>
      <c r="K45" s="167"/>
      <c r="L45" s="167"/>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2" t="s">
        <v>2055</v>
      </c>
      <c r="B46" s="125">
        <v>0.02</v>
      </c>
      <c r="C46" s="1759" t="s">
        <v>2056</v>
      </c>
      <c r="D46" s="2268"/>
      <c r="E46" s="2267"/>
      <c r="F46" s="2267"/>
      <c r="G46" s="2267"/>
      <c r="H46" s="2267"/>
      <c r="I46" s="2267"/>
      <c r="J46" s="2267"/>
      <c r="K46" s="167"/>
      <c r="L46" s="167"/>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3" t="s">
        <v>2057</v>
      </c>
      <c r="B47" s="128"/>
      <c r="C47" s="1759" t="s">
        <v>2058</v>
      </c>
      <c r="D47" s="2268"/>
      <c r="E47" s="2267"/>
      <c r="F47" s="2267"/>
      <c r="G47" s="2267"/>
      <c r="H47" s="2267"/>
      <c r="I47" s="2267"/>
      <c r="J47" s="2267"/>
      <c r="K47" s="167"/>
      <c r="L47" s="167"/>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4" t="s">
        <v>2059</v>
      </c>
      <c r="B48" s="129">
        <v>0.03</v>
      </c>
      <c r="C48" s="1766" t="s">
        <v>2060</v>
      </c>
      <c r="D48" s="2268"/>
      <c r="E48" s="2267"/>
      <c r="F48" s="2267"/>
      <c r="G48" s="2267"/>
      <c r="H48" s="2267"/>
      <c r="I48" s="2267"/>
      <c r="J48" s="2267"/>
      <c r="K48" s="167"/>
      <c r="L48" s="167"/>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19" t="s">
        <v>2061</v>
      </c>
      <c r="B49" s="125">
        <v>5.0000000000000001E-4</v>
      </c>
      <c r="C49" s="1766" t="s">
        <v>2062</v>
      </c>
      <c r="D49" s="2268"/>
      <c r="E49" s="2267"/>
      <c r="F49" s="2267"/>
      <c r="G49" s="2267"/>
      <c r="H49" s="2267"/>
      <c r="I49" s="2267"/>
      <c r="J49" s="2267"/>
      <c r="K49" s="167"/>
      <c r="L49" s="167"/>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5" t="s">
        <v>2063</v>
      </c>
      <c r="B50" s="130">
        <v>1.2E-2</v>
      </c>
      <c r="C50" s="1422"/>
      <c r="D50" s="2268"/>
      <c r="E50" s="2267"/>
      <c r="F50" s="2267"/>
      <c r="G50" s="2267"/>
      <c r="H50" s="2267"/>
      <c r="I50" s="2267"/>
      <c r="J50" s="2267"/>
      <c r="K50" s="167"/>
      <c r="L50" s="167"/>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7" t="s">
        <v>2064</v>
      </c>
      <c r="B51" s="131">
        <v>0.12</v>
      </c>
      <c r="C51" s="1422"/>
      <c r="D51" s="2268"/>
      <c r="E51" s="2267"/>
      <c r="F51" s="2267"/>
      <c r="G51" s="2267"/>
      <c r="H51" s="2267"/>
      <c r="I51" s="2267"/>
      <c r="J51" s="2267"/>
      <c r="K51" s="167"/>
      <c r="L51" s="167"/>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5" t="s">
        <v>2065</v>
      </c>
      <c r="B52" s="132">
        <f>SUMIF(A54:A63,B53,B54:B63)</f>
        <v>16</v>
      </c>
      <c r="C52" s="1422"/>
      <c r="D52" s="2268"/>
      <c r="E52" s="2267"/>
      <c r="F52" s="2267"/>
      <c r="G52" s="2267"/>
      <c r="H52" s="2267"/>
      <c r="I52" s="2267"/>
      <c r="J52" s="2267"/>
      <c r="K52" s="167"/>
      <c r="L52" s="167"/>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5" t="s">
        <v>2066</v>
      </c>
      <c r="B53" s="2326" t="s">
        <v>212</v>
      </c>
      <c r="C53" s="1422"/>
      <c r="D53" s="2327" t="s">
        <v>2067</v>
      </c>
      <c r="E53" s="2267"/>
      <c r="F53" s="2267"/>
      <c r="G53" s="2267"/>
      <c r="H53" s="2267"/>
      <c r="I53" s="2267"/>
      <c r="J53" s="2267"/>
      <c r="K53" s="167"/>
      <c r="L53" s="167"/>
      <c r="M53" s="1576"/>
      <c r="N53" s="1576"/>
      <c r="O53" s="1576"/>
      <c r="P53" s="1576"/>
      <c r="Q53" s="1576"/>
      <c r="R53" s="1576"/>
      <c r="S53" s="1576"/>
      <c r="T53" s="1576"/>
      <c r="U53" s="1576"/>
      <c r="V53" s="1576"/>
      <c r="W53" s="1576"/>
      <c r="X53" s="1576"/>
      <c r="Y53" s="2937" t="s">
        <v>3061</v>
      </c>
      <c r="Z53" s="1576"/>
      <c r="AA53" s="1576"/>
      <c r="AB53" s="1576"/>
      <c r="AC53" s="1576"/>
      <c r="AD53" s="1576"/>
      <c r="AE53" s="1576"/>
      <c r="AF53" s="1576"/>
      <c r="AG53" s="1576"/>
      <c r="AH53" s="1576"/>
      <c r="AI53" s="1576"/>
      <c r="AJ53" s="1576"/>
      <c r="AK53" s="1576"/>
      <c r="AL53" s="1576"/>
      <c r="AM53" s="1576"/>
    </row>
    <row r="54" spans="1:39" ht="14.25">
      <c r="A54" s="2328" t="s">
        <v>2068</v>
      </c>
      <c r="B54" s="83">
        <v>16</v>
      </c>
      <c r="C54" s="1422"/>
      <c r="D54" s="2268"/>
      <c r="E54" s="2267"/>
      <c r="F54" s="2267"/>
      <c r="G54" s="2267"/>
      <c r="H54" s="2267"/>
      <c r="I54" s="2267"/>
      <c r="J54" s="2267"/>
      <c r="K54" s="167"/>
      <c r="L54" s="167"/>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28" t="s">
        <v>2069</v>
      </c>
      <c r="B55" s="83"/>
      <c r="C55" s="1422"/>
      <c r="D55" s="2268"/>
      <c r="E55" s="2267"/>
      <c r="F55" s="2267"/>
      <c r="G55" s="2267"/>
      <c r="H55" s="2267"/>
      <c r="I55" s="2329"/>
      <c r="J55" s="2267"/>
      <c r="K55" s="167"/>
      <c r="L55" s="167"/>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28" t="s">
        <v>2070</v>
      </c>
      <c r="B56" s="83"/>
      <c r="C56" s="1422"/>
      <c r="D56" s="2268"/>
      <c r="E56" s="2267"/>
      <c r="F56" s="2267"/>
      <c r="G56" s="2267"/>
      <c r="H56" s="2267"/>
      <c r="I56" s="2267"/>
      <c r="J56" s="2267"/>
      <c r="K56" s="167"/>
      <c r="L56" s="167"/>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28" t="s">
        <v>2071</v>
      </c>
      <c r="B57" s="83"/>
      <c r="C57" s="1422"/>
      <c r="D57" s="2268"/>
      <c r="E57" s="2267"/>
      <c r="F57" s="2267"/>
      <c r="G57" s="2267"/>
      <c r="H57" s="2267"/>
      <c r="I57" s="2267"/>
      <c r="J57" s="2267"/>
      <c r="K57" s="167"/>
      <c r="L57" s="167"/>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28" t="s">
        <v>2072</v>
      </c>
      <c r="B58" s="83"/>
      <c r="C58" s="1422"/>
      <c r="D58" s="2268"/>
      <c r="E58" s="2267"/>
      <c r="F58" s="2267"/>
      <c r="G58" s="2267"/>
      <c r="H58" s="2267"/>
      <c r="I58" s="2267"/>
      <c r="J58" s="2267"/>
      <c r="K58" s="167"/>
      <c r="L58" s="167"/>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28" t="s">
        <v>2073</v>
      </c>
      <c r="B59" s="83"/>
      <c r="C59" s="1422"/>
      <c r="D59" s="2268"/>
      <c r="E59" s="2267"/>
      <c r="F59" s="2267"/>
      <c r="G59" s="2267"/>
      <c r="H59" s="2267"/>
      <c r="I59" s="2267"/>
      <c r="J59" s="2267"/>
      <c r="K59" s="167"/>
      <c r="L59" s="167"/>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28" t="s">
        <v>2074</v>
      </c>
      <c r="B60" s="83"/>
      <c r="C60" s="2267"/>
      <c r="D60" s="2268"/>
      <c r="E60" s="2267"/>
      <c r="F60" s="2267"/>
      <c r="G60" s="2267"/>
      <c r="H60" s="2267"/>
      <c r="I60" s="2267"/>
      <c r="J60" s="2267"/>
      <c r="K60" s="167"/>
      <c r="L60" s="167"/>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28" t="s">
        <v>2075</v>
      </c>
      <c r="B61" s="83"/>
      <c r="C61" s="2267"/>
      <c r="D61" s="2268"/>
      <c r="E61" s="2267"/>
      <c r="F61" s="2267"/>
      <c r="G61" s="2267"/>
      <c r="H61" s="2267"/>
      <c r="I61" s="2267"/>
      <c r="J61" s="2267"/>
      <c r="K61" s="167"/>
      <c r="L61" s="167"/>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28" t="s">
        <v>2076</v>
      </c>
      <c r="B62" s="83"/>
      <c r="C62" s="2267"/>
      <c r="D62" s="2268"/>
      <c r="E62" s="2267"/>
      <c r="F62" s="2267"/>
      <c r="G62" s="2267"/>
      <c r="H62" s="2267"/>
      <c r="I62" s="2267"/>
      <c r="J62" s="2267"/>
      <c r="K62" s="167"/>
      <c r="L62" s="167"/>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0" t="s">
        <v>2077</v>
      </c>
      <c r="B63" s="133"/>
      <c r="C63" s="2267"/>
      <c r="D63" s="2268"/>
      <c r="E63" s="2267"/>
      <c r="F63" s="2267"/>
      <c r="G63" s="2267"/>
      <c r="H63" s="2267"/>
      <c r="I63" s="2267"/>
      <c r="J63" s="2267"/>
      <c r="K63" s="167"/>
      <c r="L63" s="167"/>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1"/>
      <c r="D64" s="2332"/>
      <c r="K64" s="792"/>
      <c r="L64" s="792"/>
    </row>
    <row r="65" spans="1:12" s="961" customFormat="1">
      <c r="A65" s="2331"/>
      <c r="D65" s="2332"/>
      <c r="K65" s="792"/>
      <c r="L65" s="792"/>
    </row>
    <row r="66" spans="1:12" s="961" customFormat="1">
      <c r="A66" s="2331"/>
      <c r="D66" s="2332"/>
      <c r="K66" s="792"/>
      <c r="L66" s="792"/>
    </row>
    <row r="67" spans="1:12" s="961" customFormat="1">
      <c r="A67" s="2331"/>
      <c r="D67" s="2332"/>
      <c r="K67" s="792"/>
      <c r="L67" s="792"/>
    </row>
    <row r="68" spans="1:12" s="961" customFormat="1">
      <c r="A68" s="2331"/>
      <c r="D68" s="2332"/>
      <c r="K68" s="792"/>
      <c r="L68" s="792"/>
    </row>
    <row r="69" spans="1:12" s="961" customFormat="1">
      <c r="A69" s="2331"/>
      <c r="D69" s="2332"/>
      <c r="K69" s="792"/>
      <c r="L69" s="792"/>
    </row>
    <row r="70" spans="1:12" s="961" customFormat="1">
      <c r="A70" s="2331"/>
      <c r="D70" s="2332"/>
      <c r="K70" s="792"/>
      <c r="L70" s="792"/>
    </row>
    <row r="71" spans="1:12" s="961" customFormat="1">
      <c r="A71" s="2331"/>
      <c r="D71" s="2332"/>
      <c r="K71" s="792"/>
      <c r="L71" s="792"/>
    </row>
    <row r="72" spans="1:12" s="961" customFormat="1">
      <c r="A72" s="2331"/>
      <c r="D72" s="2332"/>
      <c r="K72" s="792"/>
      <c r="L72" s="792"/>
    </row>
    <row r="73" spans="1:12" s="961" customFormat="1">
      <c r="A73" s="2331"/>
      <c r="D73" s="2332"/>
      <c r="K73" s="792"/>
      <c r="L73" s="792"/>
    </row>
    <row r="74" spans="1:12" s="961" customFormat="1">
      <c r="A74" s="2331"/>
      <c r="D74" s="2332"/>
      <c r="K74" s="792"/>
      <c r="L74" s="792"/>
    </row>
    <row r="75" spans="1:12" s="961" customFormat="1">
      <c r="A75" s="2331"/>
      <c r="D75" s="2332"/>
      <c r="K75" s="792"/>
      <c r="L75" s="792"/>
    </row>
    <row r="76" spans="1:12" s="961" customFormat="1">
      <c r="A76" s="2331"/>
      <c r="D76" s="2332"/>
      <c r="K76" s="792"/>
      <c r="L76" s="792"/>
    </row>
    <row r="77" spans="1:12" s="961" customFormat="1">
      <c r="A77" s="2331"/>
      <c r="D77" s="2332"/>
      <c r="K77" s="792"/>
      <c r="L77" s="792"/>
    </row>
    <row r="78" spans="1:12" s="961" customFormat="1">
      <c r="A78" s="2331"/>
      <c r="D78" s="2332"/>
      <c r="K78" s="792"/>
      <c r="L78" s="792"/>
    </row>
    <row r="79" spans="1:12" s="961" customFormat="1">
      <c r="A79" s="2331"/>
      <c r="D79" s="2332"/>
      <c r="K79" s="792"/>
      <c r="L79" s="792"/>
    </row>
    <row r="80" spans="1:12" s="961" customFormat="1">
      <c r="A80" s="2331"/>
      <c r="D80" s="2332"/>
      <c r="K80" s="792"/>
      <c r="L80" s="792"/>
    </row>
    <row r="81" spans="1:12" s="961" customFormat="1">
      <c r="A81" s="2331"/>
      <c r="D81" s="2332"/>
      <c r="K81" s="792"/>
      <c r="L81" s="792"/>
    </row>
    <row r="82" spans="1:12" s="961" customFormat="1">
      <c r="A82" s="2331"/>
      <c r="D82" s="2332"/>
      <c r="K82" s="792"/>
      <c r="L82" s="792"/>
    </row>
    <row r="83" spans="1:12" s="961" customFormat="1">
      <c r="A83" s="2331"/>
      <c r="D83" s="2332"/>
      <c r="K83" s="792"/>
      <c r="L83" s="792"/>
    </row>
    <row r="84" spans="1:12" s="961" customFormat="1">
      <c r="A84" s="2331"/>
      <c r="D84" s="2332"/>
      <c r="K84" s="792"/>
      <c r="L84" s="792"/>
    </row>
    <row r="85" spans="1:12" s="961" customFormat="1">
      <c r="A85" s="2331"/>
      <c r="D85" s="2332"/>
      <c r="K85" s="792"/>
      <c r="L85" s="792"/>
    </row>
    <row r="86" spans="1:12" s="961" customFormat="1">
      <c r="A86" s="2331"/>
      <c r="D86" s="2332"/>
      <c r="K86" s="792"/>
      <c r="L86" s="792"/>
    </row>
    <row r="87" spans="1:12" s="961" customFormat="1">
      <c r="A87" s="2331"/>
      <c r="D87" s="2332"/>
      <c r="K87" s="792"/>
      <c r="L87" s="792"/>
    </row>
    <row r="88" spans="1:12" s="961" customFormat="1">
      <c r="A88" s="2331"/>
      <c r="D88" s="2332"/>
      <c r="K88" s="792"/>
      <c r="L88" s="792"/>
    </row>
    <row r="89" spans="1:12" s="961" customFormat="1">
      <c r="A89" s="2331"/>
      <c r="D89" s="2332"/>
      <c r="K89" s="792"/>
      <c r="L89" s="792"/>
    </row>
    <row r="90" spans="1:12" s="961" customFormat="1">
      <c r="A90" s="2331"/>
      <c r="D90" s="2332"/>
      <c r="K90" s="792"/>
      <c r="L90" s="792"/>
    </row>
    <row r="91" spans="1:12" s="961" customFormat="1">
      <c r="A91" s="2331"/>
      <c r="D91" s="2332"/>
      <c r="K91" s="792"/>
      <c r="L91" s="792"/>
    </row>
    <row r="92" spans="1:12" s="961" customFormat="1">
      <c r="A92" s="2331"/>
      <c r="D92" s="2332"/>
      <c r="K92" s="792"/>
      <c r="L92" s="792"/>
    </row>
    <row r="93" spans="1:12" s="961" customFormat="1">
      <c r="A93" s="2331"/>
      <c r="D93" s="2332"/>
      <c r="K93" s="792"/>
      <c r="L93" s="792"/>
    </row>
    <row r="94" spans="1:12" s="961" customFormat="1">
      <c r="A94" s="2331"/>
      <c r="D94" s="2332"/>
      <c r="K94" s="792"/>
      <c r="L94" s="792"/>
    </row>
    <row r="95" spans="1:12" s="961" customFormat="1">
      <c r="A95" s="2331"/>
      <c r="D95" s="2332"/>
      <c r="K95" s="792"/>
      <c r="L95" s="792"/>
    </row>
    <row r="96" spans="1:12" s="961" customFormat="1">
      <c r="A96" s="2331"/>
      <c r="D96" s="2332"/>
      <c r="K96" s="792"/>
      <c r="L96" s="792"/>
    </row>
    <row r="97" spans="1:12" s="961" customFormat="1">
      <c r="A97" s="2331"/>
      <c r="D97" s="2332"/>
      <c r="K97" s="792"/>
      <c r="L97" s="792"/>
    </row>
    <row r="98" spans="1:12" s="961" customFormat="1">
      <c r="A98" s="2331"/>
      <c r="D98" s="2332"/>
      <c r="K98" s="792"/>
      <c r="L98" s="792"/>
    </row>
    <row r="99" spans="1:12" s="961" customFormat="1">
      <c r="A99" s="2331"/>
      <c r="D99" s="2332"/>
      <c r="K99" s="792"/>
      <c r="L99" s="792"/>
    </row>
    <row r="100" spans="1:12" s="961" customFormat="1">
      <c r="A100" s="2331"/>
      <c r="D100" s="2332"/>
      <c r="K100" s="792"/>
      <c r="L100" s="792"/>
    </row>
    <row r="101" spans="1:12" s="961" customFormat="1">
      <c r="A101" s="2331"/>
      <c r="D101" s="2332"/>
      <c r="K101" s="792"/>
      <c r="L101" s="792"/>
    </row>
    <row r="102" spans="1:12" s="961" customFormat="1">
      <c r="A102" s="2331"/>
      <c r="D102" s="2332"/>
      <c r="K102" s="792"/>
      <c r="L102" s="792"/>
    </row>
    <row r="103" spans="1:12" s="961" customFormat="1">
      <c r="A103" s="2331"/>
      <c r="D103" s="2332"/>
      <c r="K103" s="792"/>
      <c r="L103" s="792"/>
    </row>
    <row r="104" spans="1:12" s="961" customFormat="1">
      <c r="A104" s="2331"/>
      <c r="D104" s="2332"/>
      <c r="K104" s="792"/>
      <c r="L104" s="792"/>
    </row>
    <row r="105" spans="1:12" s="961" customFormat="1">
      <c r="A105" s="2331"/>
      <c r="D105" s="2332"/>
      <c r="K105" s="792"/>
      <c r="L105" s="792"/>
    </row>
    <row r="106" spans="1:12" s="961" customFormat="1">
      <c r="A106" s="2331"/>
      <c r="D106" s="2332"/>
      <c r="K106" s="792"/>
      <c r="L106" s="792"/>
    </row>
    <row r="107" spans="1:12" s="961" customFormat="1">
      <c r="A107" s="2331"/>
      <c r="D107" s="2332"/>
      <c r="K107" s="792"/>
      <c r="L107" s="792"/>
    </row>
    <row r="108" spans="1:12" s="961" customFormat="1">
      <c r="A108" s="2331"/>
      <c r="D108" s="2332"/>
      <c r="K108" s="792"/>
      <c r="L108" s="792"/>
    </row>
    <row r="109" spans="1:12" s="961" customFormat="1">
      <c r="A109" s="2331"/>
      <c r="D109" s="2332"/>
      <c r="K109" s="792"/>
      <c r="L109" s="792"/>
    </row>
    <row r="110" spans="1:12" s="961" customFormat="1">
      <c r="A110" s="2331"/>
      <c r="D110" s="2332"/>
      <c r="K110" s="792"/>
      <c r="L110" s="792"/>
    </row>
    <row r="111" spans="1:12" s="961" customFormat="1">
      <c r="A111" s="2331"/>
      <c r="D111" s="2332"/>
      <c r="K111" s="792"/>
      <c r="L111" s="792"/>
    </row>
    <row r="112" spans="1:12" s="961" customFormat="1">
      <c r="A112" s="2331"/>
      <c r="D112" s="2332"/>
      <c r="K112" s="792"/>
      <c r="L112" s="792"/>
    </row>
    <row r="113" spans="1:12" s="961" customFormat="1">
      <c r="A113" s="2331"/>
      <c r="D113" s="2332"/>
      <c r="K113" s="792"/>
      <c r="L113" s="792"/>
    </row>
    <row r="114" spans="1:12" s="961" customFormat="1">
      <c r="A114" s="2331"/>
      <c r="D114" s="2332"/>
      <c r="K114" s="792"/>
      <c r="L114" s="792"/>
    </row>
    <row r="115" spans="1:12" s="961" customFormat="1">
      <c r="A115" s="2331"/>
      <c r="D115" s="2332"/>
      <c r="K115" s="792"/>
      <c r="L115" s="792"/>
    </row>
    <row r="116" spans="1:12" s="961" customFormat="1">
      <c r="A116" s="2331"/>
      <c r="D116" s="2332"/>
      <c r="K116" s="792"/>
      <c r="L116" s="792"/>
    </row>
    <row r="117" spans="1:12" s="961" customFormat="1">
      <c r="A117" s="2331"/>
      <c r="D117" s="2332"/>
      <c r="K117" s="792"/>
      <c r="L117" s="792"/>
    </row>
    <row r="118" spans="1:12" s="961" customFormat="1">
      <c r="A118" s="2331"/>
      <c r="D118" s="2332"/>
      <c r="K118" s="792"/>
      <c r="L118" s="792"/>
    </row>
    <row r="119" spans="1:12" s="961" customFormat="1">
      <c r="A119" s="2331"/>
      <c r="D119" s="2332"/>
      <c r="K119" s="792"/>
      <c r="L119" s="792"/>
    </row>
    <row r="120" spans="1:12" s="961" customFormat="1">
      <c r="A120" s="2331"/>
      <c r="D120" s="2332"/>
      <c r="K120" s="792"/>
      <c r="L120" s="792"/>
    </row>
    <row r="121" spans="1:12" s="961" customFormat="1">
      <c r="A121" s="2331"/>
      <c r="D121" s="2332"/>
      <c r="K121" s="792"/>
      <c r="L121" s="792"/>
    </row>
    <row r="122" spans="1:12" s="961" customFormat="1">
      <c r="A122" s="2331"/>
      <c r="D122" s="2332"/>
      <c r="K122" s="792"/>
      <c r="L122" s="792"/>
    </row>
    <row r="123" spans="1:12" s="961" customFormat="1">
      <c r="A123" s="2331"/>
      <c r="D123" s="2332"/>
      <c r="K123" s="792"/>
      <c r="L123" s="792"/>
    </row>
    <row r="124" spans="1:12" s="961" customFormat="1">
      <c r="A124" s="2331"/>
      <c r="D124" s="2332"/>
      <c r="K124" s="792"/>
      <c r="L124" s="792"/>
    </row>
    <row r="125" spans="1:12" s="961" customFormat="1">
      <c r="A125" s="2331"/>
      <c r="D125" s="2332"/>
      <c r="K125" s="792"/>
      <c r="L125" s="792"/>
    </row>
    <row r="126" spans="1:12" s="961" customFormat="1">
      <c r="A126" s="2331"/>
      <c r="D126" s="2332"/>
      <c r="K126" s="792"/>
      <c r="L126" s="792"/>
    </row>
    <row r="127" spans="1:12" s="961" customFormat="1">
      <c r="A127" s="2331"/>
      <c r="D127" s="2332"/>
      <c r="K127" s="792"/>
      <c r="L127" s="792"/>
    </row>
    <row r="128" spans="1:12" s="961" customFormat="1">
      <c r="A128" s="2331"/>
      <c r="D128" s="2332"/>
      <c r="K128" s="792"/>
      <c r="L128" s="792"/>
    </row>
    <row r="129" spans="1:12" s="961" customFormat="1">
      <c r="A129" s="2331"/>
      <c r="D129" s="2332"/>
      <c r="K129" s="792"/>
      <c r="L129" s="792"/>
    </row>
    <row r="130" spans="1:12" s="961" customFormat="1">
      <c r="A130" s="2331"/>
      <c r="D130" s="2332"/>
      <c r="K130" s="792"/>
      <c r="L130" s="792"/>
    </row>
    <row r="131" spans="1:12" s="961" customFormat="1">
      <c r="A131" s="2331"/>
      <c r="D131" s="2332"/>
      <c r="K131" s="792"/>
      <c r="L131" s="792"/>
    </row>
    <row r="132" spans="1:12" s="961" customFormat="1">
      <c r="A132" s="2331"/>
      <c r="D132" s="2332"/>
      <c r="K132" s="792"/>
      <c r="L132" s="792"/>
    </row>
    <row r="133" spans="1:12" s="961" customFormat="1">
      <c r="A133" s="2331"/>
      <c r="D133" s="2332"/>
      <c r="K133" s="792"/>
      <c r="L133" s="792"/>
    </row>
    <row r="134" spans="1:12" s="2264" customFormat="1">
      <c r="A134" s="2333"/>
      <c r="D134" s="2334"/>
      <c r="K134" s="26"/>
      <c r="L134" s="26"/>
    </row>
    <row r="135" spans="1:12" s="2264" customFormat="1">
      <c r="A135" s="2333"/>
      <c r="D135" s="2334"/>
      <c r="K135" s="26"/>
      <c r="L135" s="26"/>
    </row>
    <row r="136" spans="1:12" s="2264" customFormat="1">
      <c r="A136" s="2333"/>
      <c r="D136" s="2334"/>
      <c r="K136" s="26"/>
      <c r="L136" s="26"/>
    </row>
    <row r="137" spans="1:12" s="2264" customFormat="1">
      <c r="A137" s="2333"/>
      <c r="D137" s="2334"/>
      <c r="K137" s="26"/>
      <c r="L137" s="26"/>
    </row>
    <row r="138" spans="1:12" s="2264" customFormat="1">
      <c r="A138" s="2333"/>
      <c r="D138" s="2334"/>
      <c r="K138" s="26"/>
      <c r="L138" s="26"/>
    </row>
    <row r="139" spans="1:12" s="2264" customFormat="1">
      <c r="A139" s="2333"/>
      <c r="D139" s="2334"/>
      <c r="K139" s="26"/>
      <c r="L139" s="26"/>
    </row>
    <row r="140" spans="1:12" s="2264" customFormat="1">
      <c r="A140" s="2333"/>
      <c r="D140" s="2334"/>
      <c r="K140" s="26"/>
      <c r="L140" s="26"/>
    </row>
    <row r="141" spans="1:12" s="2264" customFormat="1">
      <c r="A141" s="2333"/>
      <c r="D141" s="2334"/>
      <c r="K141" s="26"/>
      <c r="L141" s="26"/>
    </row>
    <row r="142" spans="1:12" s="2264" customFormat="1">
      <c r="A142" s="2333"/>
      <c r="D142" s="2334"/>
      <c r="K142" s="26"/>
      <c r="L142" s="26"/>
    </row>
    <row r="143" spans="1:12" s="2264" customFormat="1">
      <c r="A143" s="2333"/>
      <c r="D143" s="2334"/>
      <c r="K143" s="26"/>
      <c r="L143" s="26"/>
    </row>
    <row r="144" spans="1:12" s="2264" customFormat="1">
      <c r="A144" s="2333"/>
      <c r="D144" s="2334"/>
      <c r="K144" s="26"/>
      <c r="L144" s="26"/>
    </row>
    <row r="145" spans="1:12" s="2264" customFormat="1">
      <c r="A145" s="2333"/>
      <c r="D145" s="2334"/>
      <c r="K145" s="26"/>
      <c r="L145" s="26"/>
    </row>
    <row r="146" spans="1:12" s="2264" customFormat="1">
      <c r="A146" s="2333"/>
      <c r="D146" s="2334"/>
      <c r="K146" s="26"/>
      <c r="L146" s="26"/>
    </row>
    <row r="147" spans="1:12" s="2264" customFormat="1">
      <c r="A147" s="2333"/>
      <c r="D147" s="2334"/>
      <c r="K147" s="26"/>
      <c r="L147" s="26"/>
    </row>
    <row r="148" spans="1:12" s="2264" customFormat="1">
      <c r="A148" s="2333"/>
      <c r="D148" s="2334"/>
      <c r="K148" s="26"/>
      <c r="L148" s="26"/>
    </row>
    <row r="149" spans="1:12" s="2264" customFormat="1">
      <c r="A149" s="2333"/>
      <c r="D149" s="2334"/>
      <c r="K149" s="26"/>
      <c r="L149" s="26"/>
    </row>
    <row r="150" spans="1:12" s="2264" customFormat="1">
      <c r="A150" s="2333"/>
      <c r="D150" s="2334"/>
      <c r="K150" s="26"/>
      <c r="L150" s="26"/>
    </row>
    <row r="151" spans="1:12" s="2264" customFormat="1">
      <c r="A151" s="2333"/>
      <c r="D151" s="2334"/>
      <c r="K151" s="26"/>
      <c r="L151" s="26"/>
    </row>
    <row r="152" spans="1:12" s="2264" customFormat="1">
      <c r="A152" s="2333"/>
      <c r="D152" s="2334"/>
      <c r="K152" s="26"/>
      <c r="L152" s="26"/>
    </row>
    <row r="153" spans="1:12" s="2264" customFormat="1">
      <c r="A153" s="2333"/>
      <c r="D153" s="2334"/>
      <c r="K153" s="26"/>
      <c r="L153" s="26"/>
    </row>
    <row r="154" spans="1:12" s="2264" customFormat="1">
      <c r="A154" s="2333"/>
      <c r="D154" s="2334"/>
      <c r="K154" s="26"/>
      <c r="L154" s="26"/>
    </row>
    <row r="155" spans="1:12" s="2264" customFormat="1">
      <c r="A155" s="2333"/>
      <c r="D155" s="2334"/>
      <c r="K155" s="26"/>
      <c r="L155" s="26"/>
    </row>
    <row r="156" spans="1:12" s="2264" customFormat="1">
      <c r="A156" s="2333"/>
      <c r="D156" s="2334"/>
      <c r="K156" s="26"/>
      <c r="L156" s="26"/>
    </row>
    <row r="157" spans="1:12" s="2264" customFormat="1">
      <c r="A157" s="2333"/>
      <c r="D157" s="2334"/>
      <c r="K157" s="26"/>
      <c r="L157" s="26"/>
    </row>
    <row r="158" spans="1:12" s="2264" customFormat="1">
      <c r="A158" s="2333"/>
      <c r="D158" s="2334"/>
      <c r="K158" s="26"/>
      <c r="L158" s="26"/>
    </row>
    <row r="159" spans="1:12" s="2264" customFormat="1">
      <c r="A159" s="2333"/>
      <c r="D159" s="2334"/>
      <c r="K159" s="26"/>
      <c r="L159" s="26"/>
    </row>
    <row r="160" spans="1:12" s="2264" customFormat="1">
      <c r="A160" s="2333"/>
      <c r="D160" s="2334"/>
      <c r="K160" s="26"/>
      <c r="L160" s="26"/>
    </row>
    <row r="161" spans="1:12" s="2264" customFormat="1">
      <c r="A161" s="2333"/>
      <c r="D161" s="2334"/>
      <c r="K161" s="26"/>
      <c r="L161" s="26"/>
    </row>
    <row r="162" spans="1:12" s="2264" customFormat="1">
      <c r="A162" s="2333"/>
      <c r="D162" s="2334"/>
      <c r="K162" s="26"/>
      <c r="L162" s="26"/>
    </row>
    <row r="163" spans="1:12" s="2264" customFormat="1">
      <c r="A163" s="2333"/>
      <c r="D163" s="2334"/>
      <c r="K163" s="26"/>
      <c r="L163" s="26"/>
    </row>
    <row r="164" spans="1:12" s="2264" customFormat="1">
      <c r="A164" s="2333"/>
      <c r="D164" s="2334"/>
      <c r="K164" s="26"/>
      <c r="L164" s="26"/>
    </row>
    <row r="165" spans="1:12" s="2264" customFormat="1">
      <c r="A165" s="2333"/>
      <c r="D165" s="2334"/>
      <c r="K165" s="26"/>
      <c r="L165" s="26"/>
    </row>
    <row r="166" spans="1:12" s="2264" customFormat="1">
      <c r="A166" s="2333"/>
      <c r="D166" s="2334"/>
      <c r="K166" s="26"/>
      <c r="L166" s="26"/>
    </row>
    <row r="167" spans="1:12" s="2264" customFormat="1">
      <c r="A167" s="2333"/>
      <c r="D167" s="2334"/>
      <c r="K167" s="26"/>
      <c r="L167" s="26"/>
    </row>
    <row r="168" spans="1:12" s="2264" customFormat="1">
      <c r="A168" s="2333"/>
      <c r="D168" s="2334"/>
      <c r="K168" s="26"/>
      <c r="L168" s="26"/>
    </row>
    <row r="169" spans="1:12" s="2264" customFormat="1">
      <c r="A169" s="2333"/>
      <c r="D169" s="2334"/>
      <c r="K169" s="26"/>
      <c r="L169" s="26"/>
    </row>
    <row r="170" spans="1:12" s="2264" customFormat="1">
      <c r="A170" s="2333"/>
      <c r="D170" s="2334"/>
      <c r="K170" s="26"/>
      <c r="L170" s="26"/>
    </row>
    <row r="171" spans="1:12" s="2264" customFormat="1">
      <c r="A171" s="2333"/>
      <c r="D171" s="2334"/>
      <c r="K171" s="26"/>
      <c r="L171" s="26"/>
    </row>
    <row r="172" spans="1:12" s="2264" customFormat="1">
      <c r="A172" s="2333"/>
      <c r="D172" s="2334"/>
      <c r="K172" s="26"/>
      <c r="L172" s="26"/>
    </row>
    <row r="173" spans="1:12" s="2264" customFormat="1">
      <c r="A173" s="2333"/>
      <c r="D173" s="2334"/>
      <c r="K173" s="26"/>
      <c r="L173" s="26"/>
    </row>
    <row r="174" spans="1:12" s="2264" customFormat="1">
      <c r="A174" s="2333"/>
      <c r="D174" s="2334"/>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176" t="s">
        <v>2078</v>
      </c>
      <c r="B1" s="3177"/>
      <c r="C1" s="3177"/>
      <c r="D1" s="3177"/>
      <c r="E1" s="3177"/>
      <c r="F1" s="3177"/>
      <c r="G1" s="3177"/>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2079</v>
      </c>
      <c r="D2" s="2356"/>
      <c r="E2" s="2357"/>
      <c r="F2" s="2276"/>
      <c r="G2" s="2355" t="s">
        <v>2080</v>
      </c>
      <c r="H2" s="2358"/>
      <c r="I2" s="2358"/>
      <c r="J2" s="2358"/>
      <c r="K2" s="2358"/>
      <c r="L2" s="2358"/>
      <c r="M2" s="2358"/>
      <c r="N2" s="2358"/>
      <c r="O2" s="2358"/>
      <c r="P2" s="2358"/>
      <c r="Q2" s="2358"/>
      <c r="R2" s="2358"/>
    </row>
    <row r="3" spans="1:29" ht="54">
      <c r="A3" s="414" t="s">
        <v>2081</v>
      </c>
      <c r="B3" s="1263" t="s">
        <v>2082</v>
      </c>
      <c r="C3" s="2360" t="s">
        <v>2083</v>
      </c>
      <c r="D3" s="2361"/>
      <c r="E3" s="430" t="s">
        <v>2081</v>
      </c>
      <c r="F3" s="2362" t="s">
        <v>2084</v>
      </c>
      <c r="G3" s="2363" t="s">
        <v>2085</v>
      </c>
      <c r="H3" s="2358"/>
      <c r="I3" s="2358"/>
      <c r="J3" s="2358"/>
      <c r="K3" s="2358"/>
      <c r="L3" s="2358"/>
      <c r="M3" s="2358"/>
      <c r="N3" s="2358"/>
      <c r="O3" s="2358"/>
      <c r="P3" s="2358"/>
      <c r="Q3" s="2358"/>
      <c r="R3" s="2358"/>
    </row>
    <row r="4" spans="1:29" ht="41.25">
      <c r="A4" s="430"/>
      <c r="B4" s="1790" t="s">
        <v>2086</v>
      </c>
      <c r="C4" s="2364" t="s">
        <v>2087</v>
      </c>
      <c r="D4" s="2361"/>
      <c r="E4" s="2365"/>
      <c r="F4" s="41" t="s">
        <v>2088</v>
      </c>
      <c r="G4" s="2366" t="s">
        <v>2089</v>
      </c>
      <c r="H4" s="2358"/>
      <c r="I4" s="2358"/>
      <c r="J4" s="2358"/>
      <c r="K4" s="2358"/>
      <c r="L4" s="2358"/>
      <c r="M4" s="2358"/>
      <c r="N4" s="2358"/>
      <c r="O4" s="2358"/>
      <c r="P4" s="2358"/>
      <c r="Q4" s="2358"/>
      <c r="R4" s="2358"/>
    </row>
    <row r="5" spans="1:29" ht="41.25">
      <c r="A5" s="430"/>
      <c r="B5" s="1790" t="s">
        <v>2090</v>
      </c>
      <c r="C5" s="2364" t="s">
        <v>2091</v>
      </c>
      <c r="D5" s="2361"/>
      <c r="E5" s="2365"/>
      <c r="F5" s="1790" t="s">
        <v>2092</v>
      </c>
      <c r="G5" s="2366" t="s">
        <v>2093</v>
      </c>
      <c r="H5" s="2358"/>
      <c r="I5" s="2358"/>
      <c r="J5" s="2358"/>
      <c r="K5" s="2358"/>
      <c r="L5" s="2358"/>
      <c r="M5" s="2358"/>
      <c r="N5" s="2358"/>
      <c r="O5" s="2358"/>
      <c r="P5" s="2358"/>
      <c r="Q5" s="2358"/>
      <c r="R5" s="2358"/>
    </row>
    <row r="6" spans="1:29" ht="54">
      <c r="A6" s="430"/>
      <c r="B6" s="1790" t="s">
        <v>2094</v>
      </c>
      <c r="C6" s="2366" t="s">
        <v>2089</v>
      </c>
      <c r="D6" s="2361"/>
      <c r="E6" s="2365"/>
      <c r="F6" s="1790" t="s">
        <v>2095</v>
      </c>
      <c r="G6" s="2366" t="s">
        <v>2096</v>
      </c>
      <c r="H6" s="2358"/>
      <c r="I6" s="2358"/>
      <c r="J6" s="2358"/>
      <c r="K6" s="2358"/>
      <c r="L6" s="2358"/>
      <c r="M6" s="2358"/>
      <c r="N6" s="2358"/>
      <c r="O6" s="2358"/>
      <c r="P6" s="2358"/>
      <c r="Q6" s="2358"/>
      <c r="R6" s="2358"/>
    </row>
    <row r="7" spans="1:29" ht="41.25" thickBot="1">
      <c r="A7" s="430"/>
      <c r="B7" s="1790" t="s">
        <v>2092</v>
      </c>
      <c r="C7" s="2366" t="s">
        <v>2093</v>
      </c>
      <c r="D7" s="2367"/>
      <c r="E7" s="2368"/>
      <c r="F7" s="2369" t="s">
        <v>2097</v>
      </c>
      <c r="G7" s="2370" t="s">
        <v>2098</v>
      </c>
      <c r="H7" s="2358"/>
      <c r="I7" s="2358"/>
      <c r="J7" s="2358"/>
      <c r="K7" s="2358"/>
      <c r="L7" s="2358"/>
      <c r="M7" s="2358"/>
      <c r="N7" s="2358"/>
      <c r="O7" s="2358"/>
      <c r="P7" s="2358"/>
      <c r="Q7" s="2358"/>
      <c r="R7" s="2358"/>
    </row>
    <row r="8" spans="1:29" ht="27">
      <c r="A8" s="430"/>
      <c r="B8" s="1790" t="s">
        <v>2095</v>
      </c>
      <c r="C8" s="2366" t="s">
        <v>2096</v>
      </c>
      <c r="D8" s="2367"/>
      <c r="E8" s="2367"/>
      <c r="F8" s="1130"/>
      <c r="G8" s="1130"/>
      <c r="H8" s="2358"/>
      <c r="I8" s="2358"/>
      <c r="J8" s="2358"/>
      <c r="K8" s="2358"/>
      <c r="L8" s="2358"/>
      <c r="M8" s="2358"/>
      <c r="N8" s="2358"/>
      <c r="O8" s="2358"/>
      <c r="P8" s="2358"/>
      <c r="Q8" s="2358"/>
      <c r="R8" s="2358"/>
    </row>
    <row r="9" spans="1:29" ht="27">
      <c r="A9" s="430"/>
      <c r="B9" s="1790" t="s">
        <v>2099</v>
      </c>
      <c r="C9" s="2364" t="s">
        <v>2100</v>
      </c>
      <c r="D9" s="2361"/>
      <c r="E9" s="2367"/>
      <c r="F9" s="1130"/>
      <c r="G9" s="1130"/>
      <c r="H9" s="2358"/>
      <c r="I9" s="2358"/>
      <c r="J9" s="2358"/>
      <c r="K9" s="2358"/>
      <c r="L9" s="2358"/>
      <c r="M9" s="2358"/>
      <c r="N9" s="2358"/>
      <c r="O9" s="2358"/>
      <c r="P9" s="2358"/>
      <c r="Q9" s="2358"/>
      <c r="R9" s="2358"/>
    </row>
    <row r="10" spans="1:29" s="116" customFormat="1" ht="15.75" thickBot="1">
      <c r="A10" s="2371"/>
      <c r="B10" s="2372" t="s">
        <v>2101</v>
      </c>
      <c r="C10" s="2373"/>
      <c r="D10" s="2361"/>
      <c r="E10" s="2361"/>
      <c r="F10" s="1130"/>
      <c r="G10" s="1130"/>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8"/>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8"/>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2102</v>
      </c>
      <c r="B13" s="2378"/>
      <c r="C13" s="2378"/>
      <c r="D13" s="2385"/>
      <c r="E13" s="2378"/>
      <c r="F13" s="2378"/>
      <c r="G13" s="2378"/>
    </row>
    <row r="14" spans="1:29" ht="15.75" thickBot="1">
      <c r="A14" s="2389"/>
      <c r="B14" s="2390"/>
      <c r="C14" s="2391" t="s">
        <v>2103</v>
      </c>
      <c r="D14" s="2361"/>
      <c r="E14" s="2392"/>
      <c r="F14" s="2392"/>
      <c r="G14" s="2355" t="s">
        <v>2104</v>
      </c>
    </row>
    <row r="15" spans="1:29" ht="57">
      <c r="A15" s="67" t="s">
        <v>2105</v>
      </c>
      <c r="B15" s="1262" t="s">
        <v>2082</v>
      </c>
      <c r="C15" s="2393" t="str">
        <f>C3</f>
        <v>估价对象周边居住用地比例、居住小区规模和社区发展完善程度，综合评价居住社区成熟度一般</v>
      </c>
      <c r="D15" s="2361"/>
      <c r="E15" s="2394" t="s">
        <v>2106</v>
      </c>
      <c r="F15" s="1262" t="s">
        <v>2107</v>
      </c>
      <c r="G15" s="134" t="str">
        <f>G3</f>
        <v>估价对象位于XX开发区，园区建设成熟度XX，产业集聚程度XX</v>
      </c>
    </row>
    <row r="16" spans="1:29" ht="42.75">
      <c r="A16" s="643"/>
      <c r="B16" s="2395" t="s">
        <v>2086</v>
      </c>
      <c r="C16" s="2396" t="str">
        <f>C4</f>
        <v>估价对象位于XX商圈，周边商业氛围成熟，人流量大，商业繁华度好</v>
      </c>
      <c r="D16" s="2361"/>
      <c r="E16" s="2397"/>
      <c r="F16" s="2398" t="s">
        <v>2088</v>
      </c>
      <c r="G16" s="135" t="str">
        <f>G4</f>
        <v>估价对象周边道路状况、公共交通通达情况、停车便捷程度，综合评价交通便捷度较好</v>
      </c>
    </row>
    <row r="17" spans="1:18" ht="42.75">
      <c r="A17" s="643"/>
      <c r="B17" s="2395" t="s">
        <v>2090</v>
      </c>
      <c r="C17" s="2396" t="str">
        <f>C5</f>
        <v>估价对象位于XX商圈，周边办公楼项目较多，入驻率高，办公集聚程度较好</v>
      </c>
      <c r="D17" s="2367"/>
      <c r="E17" s="2397"/>
      <c r="F17" s="2398" t="s">
        <v>2108</v>
      </c>
      <c r="G17" s="1564"/>
    </row>
    <row r="18" spans="1:18" ht="57">
      <c r="A18" s="643"/>
      <c r="B18" s="2398" t="s">
        <v>2094</v>
      </c>
      <c r="C18" s="135" t="str">
        <f>C6</f>
        <v>估价对象周边道路状况、公共交通通达情况、停车便捷程度，综合评价交通便捷度较好</v>
      </c>
      <c r="D18" s="2367"/>
      <c r="E18" s="2397"/>
      <c r="F18" s="2398" t="s">
        <v>2097</v>
      </c>
      <c r="G18" s="135" t="str">
        <f>G7</f>
        <v>该园区内是否有污染型企业，绿化情况，卫生条件，整体环境状况判断</v>
      </c>
    </row>
    <row r="19" spans="1:18" ht="28.5">
      <c r="A19" s="643"/>
      <c r="B19" s="2398" t="s">
        <v>2109</v>
      </c>
      <c r="C19" s="1564"/>
      <c r="D19" s="2361"/>
      <c r="E19" s="2397"/>
      <c r="F19" s="1790" t="s">
        <v>2092</v>
      </c>
      <c r="G19" s="135" t="str">
        <f>G5</f>
        <v>估价对象所在区域公共配套设施齐备情况</v>
      </c>
    </row>
    <row r="20" spans="1:18" ht="28.5">
      <c r="A20" s="643"/>
      <c r="B20" s="2398" t="s">
        <v>2110</v>
      </c>
      <c r="C20" s="2396" t="str">
        <f>C9</f>
        <v>区域自然环境：；人文环境；综合评价环境状况一般</v>
      </c>
      <c r="D20" s="2367"/>
      <c r="E20" s="2397"/>
      <c r="F20" s="1790" t="s">
        <v>2111</v>
      </c>
      <c r="G20" s="135" t="str">
        <f>G6</f>
        <v>估价对象所在区域基础设施水平</v>
      </c>
    </row>
    <row r="21" spans="1:18" ht="28.5">
      <c r="A21" s="643"/>
      <c r="B21" s="1790" t="s">
        <v>2092</v>
      </c>
      <c r="C21" s="135" t="str">
        <f>C7</f>
        <v>估价对象所在区域公共配套设施齐备情况</v>
      </c>
      <c r="D21" s="2361"/>
      <c r="E21" s="2397"/>
      <c r="F21" s="2398" t="s">
        <v>2112</v>
      </c>
      <c r="G21" s="2399"/>
    </row>
    <row r="22" spans="1:18" ht="13.5" customHeight="1">
      <c r="A22" s="643"/>
      <c r="B22" s="1790" t="s">
        <v>2095</v>
      </c>
      <c r="C22" s="135" t="str">
        <f>C8</f>
        <v>估价对象所在区域基础设施水平</v>
      </c>
      <c r="D22" s="2361"/>
      <c r="E22" s="2397"/>
      <c r="F22" s="2398" t="s">
        <v>2101</v>
      </c>
      <c r="G22" s="1564"/>
    </row>
    <row r="23" spans="1:18" s="2358" customFormat="1" ht="15.75" thickBot="1">
      <c r="A23" s="643"/>
      <c r="B23" s="2398" t="s">
        <v>2112</v>
      </c>
      <c r="C23" s="2399"/>
      <c r="D23" s="2386"/>
      <c r="E23" s="2400"/>
      <c r="F23" s="2401" t="s">
        <v>2113</v>
      </c>
      <c r="G23" s="2402"/>
      <c r="H23" s="2386"/>
      <c r="I23" s="2387"/>
      <c r="J23" s="2386"/>
      <c r="K23" s="2386"/>
      <c r="L23" s="2387"/>
      <c r="M23" s="2386"/>
      <c r="N23" s="2386"/>
      <c r="O23" s="2387"/>
      <c r="P23" s="2386"/>
      <c r="Q23" s="2386"/>
      <c r="R23" s="2388"/>
    </row>
    <row r="24" spans="1:18" s="2358" customFormat="1" ht="15.75" thickBot="1">
      <c r="A24" s="2403"/>
      <c r="B24" s="2401" t="s">
        <v>2114</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H7" sqref="H7"/>
    </sheetView>
  </sheetViews>
  <sheetFormatPr defaultRowHeight="13.5"/>
  <cols>
    <col min="1" max="1" width="23.375" style="1733" customWidth="1"/>
    <col min="2" max="9" width="15.75" style="1733" customWidth="1"/>
    <col min="10" max="16384" width="9" style="1733"/>
  </cols>
  <sheetData>
    <row r="1" spans="1:10" ht="16.5">
      <c r="A1" s="1738" t="s">
        <v>1365</v>
      </c>
      <c r="B1" s="1738">
        <f>SUM(B14:B23)</f>
        <v>14099.390000000001</v>
      </c>
      <c r="C1" s="1737"/>
      <c r="D1" s="1737"/>
      <c r="E1" s="1737"/>
      <c r="F1" s="1737"/>
      <c r="G1" s="1735"/>
    </row>
    <row r="2" spans="1:10" ht="16.5">
      <c r="A2" s="1738" t="s">
        <v>1353</v>
      </c>
      <c r="B2" s="1738">
        <f>SUM(C14:C23)</f>
        <v>1832.22</v>
      </c>
      <c r="C2" s="1737"/>
      <c r="D2" s="1737"/>
      <c r="E2" s="1737"/>
      <c r="F2" s="1737"/>
      <c r="G2" s="1735"/>
    </row>
    <row r="3" spans="1:10" ht="16.5">
      <c r="A3" s="1738" t="s">
        <v>1362</v>
      </c>
      <c r="B3" s="1739">
        <f>项目基本情况!D3</f>
        <v>43209</v>
      </c>
      <c r="C3" s="1737"/>
      <c r="D3" s="1737"/>
      <c r="E3" s="1737"/>
      <c r="F3" s="1737"/>
      <c r="G3" s="1735"/>
    </row>
    <row r="4" spans="1:10" ht="33">
      <c r="A4" s="1738" t="s">
        <v>1361</v>
      </c>
      <c r="B4" s="1738" t="s">
        <v>1360</v>
      </c>
      <c r="C4" s="1738" t="s">
        <v>1359</v>
      </c>
      <c r="D4" s="1738" t="s">
        <v>1358</v>
      </c>
      <c r="E4" s="1737"/>
      <c r="F4" s="1735"/>
      <c r="G4" s="1735"/>
    </row>
    <row r="5" spans="1:10" ht="16.5">
      <c r="A5" s="1738" t="s">
        <v>1357</v>
      </c>
      <c r="B5" s="1738">
        <f ca="1">SUM(D14:D23)</f>
        <v>38497</v>
      </c>
      <c r="C5" s="1738">
        <f ca="1">ROUND(B5*10000/$B$1,0)</f>
        <v>27304</v>
      </c>
      <c r="D5" s="1738">
        <f ca="1">ROUND(B5*10000/$B$2,0)</f>
        <v>210111</v>
      </c>
      <c r="E5" s="1737"/>
      <c r="F5" s="1735"/>
      <c r="G5" s="1735"/>
    </row>
    <row r="6" spans="1:10" ht="16.5">
      <c r="A6" s="1738" t="s">
        <v>1356</v>
      </c>
      <c r="B6" s="1738">
        <f ca="1">SUM(G14:G23)</f>
        <v>38497</v>
      </c>
      <c r="C6" s="1738">
        <f ca="1">ROUND(B6*10000/$B$1,0)</f>
        <v>27304</v>
      </c>
      <c r="D6" s="1738">
        <f ca="1">ROUND(B6*10000/$B$2,0)</f>
        <v>210111</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结果表!B118</f>
        <v>790.58</v>
      </c>
      <c r="C14" s="1736">
        <f>结果表!C118</f>
        <v>102.74</v>
      </c>
      <c r="D14" s="1736">
        <f ca="1">结果表!H118</f>
        <v>2221</v>
      </c>
      <c r="E14" s="1736">
        <f ca="1">ROUND(D14*10000/B14,0)</f>
        <v>28093</v>
      </c>
      <c r="F14" s="1736">
        <f ca="1">ROUND(D14*10000/C14,0)</f>
        <v>216177</v>
      </c>
      <c r="G14" s="1736">
        <f ca="1">结果表!D122</f>
        <v>2221</v>
      </c>
      <c r="H14" s="1736" t="str">
        <f>结果表!D124</f>
        <v>——</v>
      </c>
      <c r="I14" s="1736" t="str">
        <f>结果表!D126</f>
        <v>——</v>
      </c>
      <c r="J14" s="1735"/>
    </row>
    <row r="15" spans="1:10" ht="16.5">
      <c r="A15" s="1734" t="s">
        <v>1349</v>
      </c>
      <c r="B15" s="1741">
        <f>'数据-汇总表'!F20</f>
        <v>13308.810000000001</v>
      </c>
      <c r="C15" s="1741">
        <f>'数据-汇总表'!D20</f>
        <v>1729.48</v>
      </c>
      <c r="D15" s="1741">
        <f ca="1">典型户型修正!U28</f>
        <v>36276</v>
      </c>
      <c r="E15" s="1736">
        <f t="shared" ref="E15:E23" ca="1" si="0">ROUND(D15*10000/B15,0)</f>
        <v>27257</v>
      </c>
      <c r="F15" s="1736">
        <f t="shared" ref="F15:F23" ca="1" si="1">ROUND(D15*10000/C15,0)</f>
        <v>209751</v>
      </c>
      <c r="G15" s="1742">
        <f ca="1">D15</f>
        <v>36276</v>
      </c>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K22" sqref="K22"/>
    </sheetView>
  </sheetViews>
  <sheetFormatPr defaultColWidth="12.625" defaultRowHeight="21.75" customHeight="1"/>
  <cols>
    <col min="1" max="2" width="12.625" style="2415"/>
    <col min="3" max="4" width="12.625" style="2415" customWidth="1"/>
    <col min="5" max="9" width="12.625" style="2415"/>
    <col min="10" max="11" width="12.625" style="789" customWidth="1"/>
    <col min="12" max="12" width="12.625" style="789"/>
    <col min="13" max="13" width="14.125" style="789" bestFit="1" customWidth="1"/>
    <col min="14" max="26" width="12.625" style="789"/>
    <col min="27" max="35" width="12.625" style="2414"/>
    <col min="36" max="16384" width="12.625" style="2415"/>
  </cols>
  <sheetData>
    <row r="1" spans="1:12" ht="21.75" customHeight="1" thickBot="1">
      <c r="A1" s="2215" t="s">
        <v>2115</v>
      </c>
      <c r="B1" s="2409"/>
      <c r="C1" s="2410" t="s">
        <v>3066</v>
      </c>
      <c r="D1" s="2409"/>
      <c r="E1" s="2409"/>
      <c r="F1" s="2411" t="s">
        <v>2116</v>
      </c>
      <c r="G1" s="2061" t="s">
        <v>3053</v>
      </c>
      <c r="H1" s="2412" t="str">
        <f>IF(G1="现房","——","估价对象范围")</f>
        <v>——</v>
      </c>
      <c r="I1" s="2413" t="s">
        <v>3118</v>
      </c>
    </row>
    <row r="2" spans="1:12" ht="21.75" customHeight="1" thickBot="1">
      <c r="A2" s="3250" t="str">
        <f>项目基本情况!S2</f>
        <v>湖北省武汉市房地产</v>
      </c>
      <c r="B2" s="3251"/>
      <c r="C2" s="3251"/>
      <c r="D2" s="3251"/>
      <c r="E2" s="3251"/>
      <c r="F2" s="3251"/>
      <c r="G2" s="3251"/>
      <c r="H2" s="3251"/>
      <c r="I2" s="3252"/>
    </row>
    <row r="3" spans="1:12" ht="12.75">
      <c r="A3" s="3253" t="s">
        <v>2117</v>
      </c>
      <c r="B3" s="3254"/>
      <c r="C3" s="3254"/>
      <c r="D3" s="3254"/>
      <c r="E3" s="3254"/>
      <c r="F3" s="3254"/>
      <c r="G3" s="3254"/>
      <c r="H3" s="3254"/>
      <c r="I3" s="3254"/>
    </row>
    <row r="4" spans="1:12" ht="14.25">
      <c r="A4" s="2416" t="s">
        <v>2118</v>
      </c>
      <c r="B4" s="2417" t="s">
        <v>2119</v>
      </c>
      <c r="C4" s="2418" t="s">
        <v>3070</v>
      </c>
      <c r="D4" s="2418" t="s">
        <v>3075</v>
      </c>
      <c r="E4" s="3234" t="s">
        <v>2120</v>
      </c>
      <c r="F4" s="3247"/>
      <c r="G4" s="3247"/>
      <c r="H4" s="3247"/>
      <c r="I4" s="3235"/>
      <c r="K4" s="2419" t="str">
        <f>IF(ISNUMBER(FIND("比较法",结果表!C4)),"比较法",IF(ISNUMBER(FIND("成本法",结果表!C4)),"成本法",IF(ISNUMBER(FIND("假设开发法",结果表!C4)),"假设开发法",IF(ISNUMBER(FIND("收益法",结果表!C4)),"收益法","基准地价系数修正法"))))</f>
        <v>收益法</v>
      </c>
      <c r="L4" s="2419" t="str">
        <f>IF(ISNUMBER(FIND("比较法",结果表!D4)),"比较法",IF(ISNUMBER(FIND("成本法",结果表!D4)),"成本法",IF(ISNUMBER(FIND("假设开发法",结果表!D4)),"假设开发法",IF(ISNUMBER(FIND("收益法",结果表!D4)),"收益法","基准地价系数修正法"))))</f>
        <v>比较法</v>
      </c>
    </row>
    <row r="5" spans="1:12" ht="12.75">
      <c r="A5" s="3225" t="s">
        <v>2121</v>
      </c>
      <c r="B5" s="3151">
        <v>25</v>
      </c>
      <c r="C5" s="3255"/>
      <c r="D5" s="3243"/>
      <c r="E5" s="139" t="s">
        <v>2122</v>
      </c>
      <c r="F5" s="2420"/>
      <c r="G5" s="2420"/>
      <c r="H5" s="2420"/>
      <c r="I5" s="1826"/>
    </row>
    <row r="6" spans="1:12" ht="12.75">
      <c r="A6" s="3225"/>
      <c r="B6" s="3151"/>
      <c r="C6" s="3257"/>
      <c r="D6" s="3243"/>
      <c r="E6" s="139" t="s">
        <v>2123</v>
      </c>
      <c r="F6" s="2420"/>
      <c r="G6" s="2420"/>
      <c r="H6" s="2420"/>
      <c r="I6" s="1826"/>
    </row>
    <row r="7" spans="1:12" ht="12.75">
      <c r="A7" s="3225"/>
      <c r="B7" s="3151"/>
      <c r="C7" s="3256"/>
      <c r="D7" s="3243"/>
      <c r="E7" s="139" t="s">
        <v>2124</v>
      </c>
      <c r="F7" s="2420"/>
      <c r="G7" s="2420"/>
      <c r="H7" s="2420"/>
      <c r="I7" s="1826"/>
    </row>
    <row r="8" spans="1:12" ht="12.75">
      <c r="A8" s="3225" t="s">
        <v>2125</v>
      </c>
      <c r="B8" s="3151">
        <v>15</v>
      </c>
      <c r="C8" s="3255"/>
      <c r="D8" s="3243"/>
      <c r="E8" s="139" t="s">
        <v>2126</v>
      </c>
      <c r="F8" s="2420"/>
      <c r="G8" s="2420"/>
      <c r="H8" s="2420"/>
      <c r="I8" s="1826"/>
    </row>
    <row r="9" spans="1:12" ht="12.75">
      <c r="A9" s="3225"/>
      <c r="B9" s="3151"/>
      <c r="C9" s="3256"/>
      <c r="D9" s="3243"/>
      <c r="E9" s="139" t="s">
        <v>2127</v>
      </c>
      <c r="F9" s="2420"/>
      <c r="G9" s="2420"/>
      <c r="H9" s="2420"/>
      <c r="I9" s="1826"/>
    </row>
    <row r="10" spans="1:12" ht="12.75">
      <c r="A10" s="3225" t="s">
        <v>2128</v>
      </c>
      <c r="B10" s="3151">
        <v>15</v>
      </c>
      <c r="C10" s="3255"/>
      <c r="D10" s="3243"/>
      <c r="E10" s="139" t="s">
        <v>2129</v>
      </c>
      <c r="F10" s="2420"/>
      <c r="G10" s="2420"/>
      <c r="H10" s="2420"/>
      <c r="I10" s="1826"/>
    </row>
    <row r="11" spans="1:12" ht="12.75">
      <c r="A11" s="3225"/>
      <c r="B11" s="3151"/>
      <c r="C11" s="3256"/>
      <c r="D11" s="3243"/>
      <c r="E11" s="139" t="s">
        <v>2130</v>
      </c>
      <c r="F11" s="2420"/>
      <c r="G11" s="2420"/>
      <c r="H11" s="2420"/>
      <c r="I11" s="1826"/>
    </row>
    <row r="12" spans="1:12" ht="12.75">
      <c r="A12" s="3225" t="s">
        <v>2131</v>
      </c>
      <c r="B12" s="3151">
        <v>15</v>
      </c>
      <c r="C12" s="3255"/>
      <c r="D12" s="3243"/>
      <c r="E12" s="139" t="s">
        <v>2132</v>
      </c>
      <c r="F12" s="2420"/>
      <c r="G12" s="2420"/>
      <c r="H12" s="2420"/>
      <c r="I12" s="1826"/>
    </row>
    <row r="13" spans="1:12" ht="12.75">
      <c r="A13" s="3225"/>
      <c r="B13" s="3151"/>
      <c r="C13" s="3256"/>
      <c r="D13" s="3243"/>
      <c r="E13" s="139" t="s">
        <v>2133</v>
      </c>
      <c r="F13" s="2420"/>
      <c r="G13" s="2420"/>
      <c r="H13" s="2420"/>
      <c r="I13" s="1826"/>
    </row>
    <row r="14" spans="1:12" ht="12.75">
      <c r="A14" s="3225" t="s">
        <v>2134</v>
      </c>
      <c r="B14" s="3151">
        <v>30</v>
      </c>
      <c r="C14" s="3255">
        <v>5</v>
      </c>
      <c r="D14" s="3243">
        <v>5</v>
      </c>
      <c r="E14" s="139" t="s">
        <v>2135</v>
      </c>
      <c r="F14" s="2420"/>
      <c r="G14" s="2420"/>
      <c r="H14" s="2420"/>
      <c r="I14" s="1826"/>
    </row>
    <row r="15" spans="1:12" ht="12.75">
      <c r="A15" s="3225"/>
      <c r="B15" s="3151"/>
      <c r="C15" s="3257"/>
      <c r="D15" s="3243"/>
      <c r="E15" s="139" t="s">
        <v>2136</v>
      </c>
      <c r="F15" s="2420"/>
      <c r="G15" s="2420"/>
      <c r="H15" s="2420"/>
      <c r="I15" s="1826"/>
    </row>
    <row r="16" spans="1:12" ht="12.75">
      <c r="A16" s="3225"/>
      <c r="B16" s="3151"/>
      <c r="C16" s="3256"/>
      <c r="D16" s="3243"/>
      <c r="E16" s="139" t="s">
        <v>2137</v>
      </c>
      <c r="F16" s="2420"/>
      <c r="G16" s="2420"/>
      <c r="H16" s="2420"/>
      <c r="I16" s="1826"/>
    </row>
    <row r="17" spans="1:35" ht="15">
      <c r="A17" s="2421" t="s">
        <v>2138</v>
      </c>
      <c r="B17" s="63"/>
      <c r="C17" s="140">
        <f>SUM(C5:C16)</f>
        <v>5</v>
      </c>
      <c r="D17" s="140">
        <f>SUM(D5:D16)</f>
        <v>5</v>
      </c>
      <c r="E17" s="137"/>
      <c r="F17" s="137"/>
      <c r="G17" s="137"/>
      <c r="H17" s="137"/>
      <c r="I17" s="137"/>
      <c r="K17" s="2419"/>
      <c r="L17" s="2422" t="s">
        <v>2139</v>
      </c>
      <c r="M17" s="2422" t="s">
        <v>2140</v>
      </c>
    </row>
    <row r="18" spans="1:35" ht="15.75" thickBot="1">
      <c r="A18" s="2423" t="s">
        <v>2141</v>
      </c>
      <c r="B18" s="2424"/>
      <c r="C18" s="141">
        <f>ROUND(C17/SUM(C17:D17),2)</f>
        <v>0.5</v>
      </c>
      <c r="D18" s="141">
        <f>1-C18</f>
        <v>0.5</v>
      </c>
      <c r="E18" s="137"/>
      <c r="F18" s="137"/>
      <c r="G18" s="137"/>
      <c r="H18" s="137"/>
      <c r="I18" s="137"/>
      <c r="K18" s="2419" t="s">
        <v>2142</v>
      </c>
      <c r="L18" s="2419">
        <f>IF(C1="",'数据-汇总表'!E3,SUMIF(项目类型,C1,'数据-汇总表'!E17:E26)+SUMIF(项目类型,C1,'数据-汇总表'!I17:I26))</f>
        <v>790.58</v>
      </c>
      <c r="M18" s="2419">
        <f>IF(C1="",'数据-汇总表'!E3,SUMIF(项目类型,C1,'数据-汇总表'!E17:E26))</f>
        <v>790.58</v>
      </c>
    </row>
    <row r="19" spans="1:35" ht="15">
      <c r="A19" s="2425" t="s">
        <v>2143</v>
      </c>
      <c r="B19" s="2426" t="s">
        <v>2144</v>
      </c>
      <c r="C19" s="142">
        <f ca="1">SUMIF(INDIRECT("'"&amp;C4&amp;"'"&amp;"!A:A"),结果表!B19,INDIRECT("'"&amp;C4&amp;"'"&amp;"!B:B"))</f>
        <v>1961</v>
      </c>
      <c r="D19" s="143">
        <f ca="1">SUMIF(INDIRECT("'"&amp;D4&amp;"'"&amp;"!A:A"),结果表!B19,INDIRECT("'"&amp;D4&amp;"'"&amp;"!B:B"))</f>
        <v>2481</v>
      </c>
      <c r="E19" s="2425" t="s">
        <v>2145</v>
      </c>
      <c r="F19" s="2426" t="s">
        <v>2144</v>
      </c>
      <c r="G19" s="144">
        <f ca="1">ROUND(C19*$C$18+D19*$D$18,0)</f>
        <v>2221</v>
      </c>
      <c r="H19" s="2427" t="s">
        <v>2146</v>
      </c>
      <c r="I19" s="137"/>
      <c r="K19" s="2419" t="s">
        <v>2147</v>
      </c>
      <c r="L19" s="2419">
        <f>IF(C1="",'数据-汇总表'!D3,SUMIF(项目类型,C1,'数据-汇总表'!D17:D26)+SUMIF(项目类型,C1,'数据-汇总表'!H17:H27))</f>
        <v>102.74</v>
      </c>
      <c r="M19" s="2419">
        <f>IF(C1="",'数据-汇总表'!D3,SUMIF(项目类型,C1,'数据-汇总表'!D17:D26))</f>
        <v>102.74</v>
      </c>
    </row>
    <row r="20" spans="1:35" ht="15">
      <c r="A20" s="2428"/>
      <c r="B20" s="1242" t="s">
        <v>2148</v>
      </c>
      <c r="C20" s="145">
        <f ca="1">SUMIF(INDIRECT("'"&amp;C4&amp;"'"&amp;"!A:A"),结果表!B20,INDIRECT("'"&amp;C4&amp;"'"&amp;"!B:B"))</f>
        <v>24805</v>
      </c>
      <c r="D20" s="146">
        <f ca="1">SUMIF(INDIRECT("'"&amp;D4&amp;"'"&amp;"!A:A"),结果表!B20,INDIRECT("'"&amp;D4&amp;"'"&amp;"!B:B"))</f>
        <v>31379</v>
      </c>
      <c r="E20" s="2428"/>
      <c r="F20" s="1242" t="s">
        <v>2148</v>
      </c>
      <c r="G20" s="147">
        <f ca="1">ROUND(C20*$C$18+D20*$D$18,0)</f>
        <v>28092</v>
      </c>
      <c r="H20" s="977" t="s">
        <v>2149</v>
      </c>
      <c r="I20" s="137"/>
    </row>
    <row r="21" spans="1:35" ht="15" customHeight="1" thickBot="1">
      <c r="A21" s="997"/>
      <c r="B21" s="2429" t="s">
        <v>2150</v>
      </c>
      <c r="C21" s="783">
        <f ca="1">ROUND(C19*10000/L19,0)</f>
        <v>190870</v>
      </c>
      <c r="D21" s="784">
        <f ca="1">ROUND(D19*10000/L19,0)</f>
        <v>241483</v>
      </c>
      <c r="E21" s="997"/>
      <c r="F21" s="2429" t="s">
        <v>2150</v>
      </c>
      <c r="G21" s="148">
        <f ca="1">ROUND(G19*10000/L19,0)</f>
        <v>216177</v>
      </c>
      <c r="H21" s="2430" t="s">
        <v>2149</v>
      </c>
      <c r="I21" s="137"/>
    </row>
    <row r="22" spans="1:35" ht="15" thickBot="1">
      <c r="A22" s="2271" t="s">
        <v>2151</v>
      </c>
      <c r="B22" s="2431"/>
      <c r="C22" s="2432"/>
      <c r="D22" s="785">
        <f ca="1">IF(C19&lt;D19,D19/C19-1,C19/D19-1)</f>
        <v>0.26517083120856699</v>
      </c>
      <c r="E22" s="137"/>
      <c r="F22" s="137"/>
      <c r="G22" s="137"/>
      <c r="H22" s="137"/>
      <c r="I22" s="137"/>
    </row>
    <row r="23" spans="1:35" ht="13.5" thickBot="1">
      <c r="A23" s="2409"/>
      <c r="B23" s="2409"/>
      <c r="C23" s="2409"/>
      <c r="D23" s="2409"/>
      <c r="E23" s="137"/>
      <c r="F23" s="137"/>
      <c r="G23" s="137"/>
      <c r="H23" s="137"/>
      <c r="I23" s="137"/>
    </row>
    <row r="24" spans="1:35" ht="14.25">
      <c r="A24" s="3264" t="s">
        <v>2152</v>
      </c>
      <c r="B24" s="2426" t="s">
        <v>2144</v>
      </c>
      <c r="C24" s="144">
        <f>IF(B30=0,0,D30)</f>
        <v>0</v>
      </c>
      <c r="D24" s="2433"/>
      <c r="E24" s="137"/>
      <c r="F24" s="137"/>
      <c r="G24" s="137"/>
      <c r="H24" s="137"/>
      <c r="I24" s="137"/>
    </row>
    <row r="25" spans="1:35" ht="14.25">
      <c r="A25" s="3265"/>
      <c r="B25" s="1242" t="s">
        <v>2148</v>
      </c>
      <c r="C25" s="149">
        <f>IF(B30=0,0,C30)</f>
        <v>0</v>
      </c>
      <c r="D25" s="2434"/>
      <c r="E25" s="137"/>
      <c r="F25" s="137"/>
      <c r="G25" s="137"/>
      <c r="H25" s="137"/>
      <c r="I25" s="137"/>
    </row>
    <row r="26" spans="1:35" ht="13.5" customHeight="1">
      <c r="A26" s="2435" t="s">
        <v>2153</v>
      </c>
      <c r="B26" s="150" t="s">
        <v>2154</v>
      </c>
      <c r="C26" s="150" t="s">
        <v>2155</v>
      </c>
      <c r="D26" s="151" t="s">
        <v>2156</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2157</v>
      </c>
      <c r="B30" s="150"/>
      <c r="C30" s="150"/>
      <c r="D30" s="150"/>
      <c r="E30" s="2918" t="s">
        <v>3032</v>
      </c>
      <c r="F30" s="137"/>
      <c r="G30" s="137"/>
      <c r="H30" s="137"/>
      <c r="I30" s="137"/>
    </row>
    <row r="31" spans="1:35" s="2437" customFormat="1" ht="15" thickBot="1">
      <c r="A31" s="2436"/>
      <c r="B31" s="2436"/>
      <c r="C31" s="2436"/>
      <c r="D31" s="2436"/>
      <c r="E31" s="137"/>
      <c r="F31" s="137"/>
      <c r="G31" s="137"/>
      <c r="H31" s="137"/>
      <c r="I31" s="137"/>
      <c r="J31" s="789"/>
      <c r="K31" s="789"/>
      <c r="L31" s="789"/>
      <c r="M31" s="789"/>
      <c r="N31" s="789"/>
      <c r="O31" s="789"/>
      <c r="P31" s="789"/>
      <c r="Q31" s="789"/>
      <c r="R31" s="789"/>
      <c r="S31" s="789"/>
      <c r="T31" s="789"/>
      <c r="U31" s="789"/>
      <c r="V31" s="789"/>
      <c r="W31" s="789"/>
      <c r="X31" s="789"/>
      <c r="Y31" s="789"/>
      <c r="Z31" s="789"/>
      <c r="AA31" s="2414"/>
      <c r="AB31" s="2414"/>
      <c r="AC31" s="2414"/>
      <c r="AD31" s="2414"/>
      <c r="AE31" s="2414"/>
      <c r="AF31" s="2414"/>
      <c r="AG31" s="2414"/>
      <c r="AH31" s="2414"/>
      <c r="AI31" s="2414"/>
    </row>
    <row r="32" spans="1:35" ht="15.75" thickBot="1">
      <c r="A32" s="2438" t="s">
        <v>2158</v>
      </c>
      <c r="B32" s="2439"/>
      <c r="C32" s="152">
        <f ca="1">IF(D32="总价",G19-C24,G20-C25)</f>
        <v>2221</v>
      </c>
      <c r="D32" s="2440" t="s">
        <v>2159</v>
      </c>
      <c r="E32" s="137"/>
      <c r="F32" s="137"/>
      <c r="G32" s="137"/>
      <c r="H32" s="137"/>
      <c r="I32" s="137"/>
    </row>
    <row r="33" spans="1:15" ht="15">
      <c r="A33" s="954" t="s">
        <v>2160</v>
      </c>
      <c r="B33" s="2441"/>
      <c r="C33" s="2442"/>
      <c r="D33" s="2443"/>
      <c r="E33" s="2444" t="s">
        <v>2161</v>
      </c>
      <c r="F33" s="2445" t="str">
        <f>IF(D32="楼面单价","取值（单价）","取值（总价）")</f>
        <v>取值（总价）</v>
      </c>
      <c r="G33" s="137"/>
      <c r="H33" s="137"/>
      <c r="I33" s="137"/>
    </row>
    <row r="34" spans="1:15" ht="15">
      <c r="A34" s="2446"/>
      <c r="B34" s="2447" t="s">
        <v>2162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2163</v>
      </c>
      <c r="F34" s="1731"/>
      <c r="G34" s="137"/>
      <c r="H34" s="137"/>
      <c r="I34" s="137"/>
    </row>
    <row r="35" spans="1:15" ht="15.75" thickBot="1">
      <c r="A35" s="2449"/>
      <c r="B35" s="2450" t="s">
        <v>2164</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1" t="s">
        <v>2165</v>
      </c>
      <c r="F35" s="162"/>
      <c r="G35" s="137"/>
      <c r="H35" s="137"/>
      <c r="I35" s="137"/>
    </row>
    <row r="36" spans="1:15" ht="15.75" thickBot="1">
      <c r="A36" s="3244" t="s">
        <v>2166</v>
      </c>
      <c r="B36" s="2452" t="s">
        <v>2167</v>
      </c>
      <c r="C36" s="153"/>
      <c r="D36" s="2453"/>
      <c r="E36" s="2454"/>
      <c r="F36" s="2455"/>
      <c r="G36" s="137"/>
      <c r="H36" s="137"/>
      <c r="I36" s="137"/>
    </row>
    <row r="37" spans="1:15" ht="15.75" thickBot="1">
      <c r="A37" s="3245"/>
      <c r="B37" s="2257" t="s">
        <v>2168</v>
      </c>
      <c r="C37" s="155"/>
      <c r="D37" s="1387"/>
      <c r="E37" s="1387"/>
      <c r="F37" s="2455"/>
      <c r="G37" s="137"/>
      <c r="H37" s="137"/>
      <c r="I37" s="137"/>
    </row>
    <row r="38" spans="1:15" ht="15.75" thickBot="1">
      <c r="A38" s="3246"/>
      <c r="B38" s="2456" t="s">
        <v>2169</v>
      </c>
      <c r="C38" s="721"/>
      <c r="D38" s="2457" t="s">
        <v>2170</v>
      </c>
      <c r="E38" s="1387"/>
      <c r="F38" s="2455"/>
      <c r="G38" s="137"/>
      <c r="H38" s="137"/>
      <c r="I38" s="137"/>
    </row>
    <row r="39" spans="1:15" ht="15">
      <c r="A39" s="2428" t="s">
        <v>2171</v>
      </c>
      <c r="B39" s="2458" t="s">
        <v>2172</v>
      </c>
      <c r="C39" s="2459" t="s">
        <v>2173</v>
      </c>
      <c r="D39" s="2459" t="s">
        <v>2174</v>
      </c>
      <c r="E39" s="2460" t="s">
        <v>2175</v>
      </c>
      <c r="F39" s="2455"/>
      <c r="G39" s="137"/>
      <c r="H39" s="137"/>
      <c r="I39" s="137"/>
    </row>
    <row r="40" spans="1:15" ht="14.25">
      <c r="A40" s="2461" t="s">
        <v>2176</v>
      </c>
      <c r="B40" s="157"/>
      <c r="C40" s="158"/>
      <c r="D40" s="158"/>
      <c r="E40" s="159"/>
      <c r="F40" s="2455"/>
      <c r="G40" s="137"/>
      <c r="H40" s="137"/>
      <c r="I40" s="137"/>
    </row>
    <row r="41" spans="1:15" ht="14.25">
      <c r="A41" s="2461" t="s">
        <v>2177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5"/>
      <c r="B43" s="2155"/>
      <c r="C43" s="2155"/>
      <c r="D43" s="2155"/>
      <c r="E43" s="2155"/>
      <c r="F43" s="2463"/>
      <c r="G43" s="2463"/>
      <c r="H43" s="2463"/>
      <c r="I43" s="2464"/>
    </row>
    <row r="44" spans="1:15" ht="18.75">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261" t="s">
        <v>2180</v>
      </c>
      <c r="B45" s="3262"/>
      <c r="C45" s="3263"/>
      <c r="D45" s="163">
        <f ca="1">ROUND(H101*F45,0)</f>
        <v>2221</v>
      </c>
      <c r="E45" s="164" t="s">
        <v>2181</v>
      </c>
      <c r="F45" s="165">
        <v>1</v>
      </c>
      <c r="G45" s="166" t="s">
        <v>2182</v>
      </c>
      <c r="H45" s="137"/>
      <c r="I45" s="137"/>
      <c r="J45" s="3180" t="s">
        <v>2183</v>
      </c>
      <c r="K45" s="3180"/>
      <c r="L45" s="3180"/>
      <c r="M45" s="3180"/>
      <c r="N45" s="3180"/>
      <c r="O45" s="3180"/>
    </row>
    <row r="46" spans="1:15" ht="14.25" customHeight="1">
      <c r="A46" s="3258" t="s">
        <v>2184</v>
      </c>
      <c r="B46" s="3259"/>
      <c r="C46" s="3259"/>
      <c r="D46" s="3259"/>
      <c r="E46" s="3259"/>
      <c r="F46" s="3259"/>
      <c r="G46" s="3260"/>
      <c r="H46" s="2471"/>
      <c r="I46" s="167"/>
      <c r="J46" s="1804">
        <v>1</v>
      </c>
      <c r="K46" s="3180" t="s">
        <v>2185</v>
      </c>
      <c r="L46" s="3180"/>
      <c r="M46" s="3181"/>
      <c r="N46" s="3181"/>
      <c r="O46" s="3181"/>
    </row>
    <row r="47" spans="1:15" ht="12" customHeight="1">
      <c r="A47" s="168" t="s">
        <v>2186</v>
      </c>
      <c r="B47" s="169"/>
      <c r="C47" s="170"/>
      <c r="D47" s="171" t="s">
        <v>2187</v>
      </c>
      <c r="E47" s="23" t="s">
        <v>2188</v>
      </c>
      <c r="F47" s="172" t="s">
        <v>2189</v>
      </c>
      <c r="G47" s="173" t="s">
        <v>2190</v>
      </c>
      <c r="H47" s="2471"/>
      <c r="I47" s="167"/>
      <c r="J47" s="1804">
        <v>2</v>
      </c>
      <c r="K47" s="3180" t="s">
        <v>2191</v>
      </c>
      <c r="L47" s="3180"/>
      <c r="M47" s="3182">
        <f>'数据-取费表'!B2</f>
        <v>43209</v>
      </c>
      <c r="N47" s="3182"/>
      <c r="O47" s="3182"/>
    </row>
    <row r="48" spans="1:15" ht="25.5">
      <c r="A48" s="3248" t="s">
        <v>2192</v>
      </c>
      <c r="B48" s="3249"/>
      <c r="C48" s="3249"/>
      <c r="D48" s="139">
        <f>IF(H48="情况1",0,IF(H48="情况2",D52,IF(H48="情况3",D53,IF(H48="情况4",D54))))</f>
        <v>0</v>
      </c>
      <c r="E48" s="1793" t="str">
        <f>IF(H48="情况4","(销售额-原购置价)×税（费）率","销售额×税（费）率")</f>
        <v>销售额×税（费）率</v>
      </c>
      <c r="F48" s="174" t="str">
        <f>IF(H48="情况1","免征",'数据-取费表'!B41)</f>
        <v>免征</v>
      </c>
      <c r="G48" s="2472" t="s">
        <v>2193</v>
      </c>
      <c r="H48" s="2473" t="s">
        <v>2194</v>
      </c>
      <c r="I48" s="2471"/>
      <c r="J48" s="1804">
        <v>3</v>
      </c>
      <c r="K48" s="3180" t="s">
        <v>2195</v>
      </c>
      <c r="L48" s="3180"/>
      <c r="M48" s="3183">
        <f ca="1">H101</f>
        <v>2221</v>
      </c>
      <c r="N48" s="3183"/>
      <c r="O48" s="3183"/>
    </row>
    <row r="49" spans="1:35" ht="25.5" customHeight="1">
      <c r="A49" s="175" t="s">
        <v>2196</v>
      </c>
      <c r="B49" s="3228" t="s">
        <v>2197</v>
      </c>
      <c r="C49" s="3228"/>
      <c r="D49" s="176">
        <v>0</v>
      </c>
      <c r="E49" s="22" t="s">
        <v>2198</v>
      </c>
      <c r="F49" s="27" t="s">
        <v>34</v>
      </c>
      <c r="G49" s="3209"/>
      <c r="H49" s="137"/>
      <c r="I49" s="2474"/>
      <c r="J49" s="1804">
        <v>4</v>
      </c>
      <c r="K49" s="3180" t="str">
        <f>IF(项目基本情况!E8="房地产抵押价值","房地产抵押价值","抵押担保权已注销时的房地产抵押价值")</f>
        <v>房地产抵押价值</v>
      </c>
      <c r="L49" s="3180"/>
      <c r="M49" s="3183">
        <f ca="1">IF(项目基本情况!E8="房地产抵押价值",H107,H109)</f>
        <v>2221</v>
      </c>
      <c r="N49" s="3183"/>
      <c r="O49" s="3183"/>
    </row>
    <row r="50" spans="1:35" ht="25.5" customHeight="1">
      <c r="A50" s="177"/>
      <c r="B50" s="3228" t="s">
        <v>2199</v>
      </c>
      <c r="C50" s="3228"/>
      <c r="D50" s="178"/>
      <c r="E50" s="30"/>
      <c r="F50" s="179"/>
      <c r="G50" s="3210"/>
      <c r="H50" s="137"/>
      <c r="I50" s="2474"/>
      <c r="J50" s="3180" t="s">
        <v>2200</v>
      </c>
      <c r="K50" s="3180"/>
      <c r="L50" s="3180"/>
      <c r="M50" s="3180"/>
      <c r="N50" s="3180"/>
      <c r="O50" s="3180"/>
    </row>
    <row r="51" spans="1:35" ht="12" customHeight="1">
      <c r="A51" s="180"/>
      <c r="B51" s="3228" t="s">
        <v>2201</v>
      </c>
      <c r="C51" s="3228"/>
      <c r="D51" s="181"/>
      <c r="E51" s="29"/>
      <c r="F51" s="179"/>
      <c r="G51" s="3211"/>
      <c r="H51" s="137"/>
      <c r="I51" s="2474"/>
      <c r="J51" s="2475" t="s">
        <v>2202</v>
      </c>
      <c r="K51" s="3180" t="s">
        <v>2203</v>
      </c>
      <c r="L51" s="3180"/>
      <c r="M51" s="2475" t="s">
        <v>2204</v>
      </c>
      <c r="N51" s="2475" t="s">
        <v>2205</v>
      </c>
      <c r="O51" s="2475" t="s">
        <v>2206</v>
      </c>
    </row>
    <row r="52" spans="1:35" ht="24" customHeight="1">
      <c r="A52" s="182" t="s">
        <v>2207</v>
      </c>
      <c r="B52" s="3228" t="s">
        <v>2208</v>
      </c>
      <c r="C52" s="3228"/>
      <c r="D52" s="181">
        <f ca="1">ROUND(D45*'数据-取费表'!B41/(1+'数据-取费表'!C42),0)</f>
        <v>118</v>
      </c>
      <c r="E52" s="11" t="s">
        <v>2209</v>
      </c>
      <c r="F52" s="183">
        <f>'数据-取费表'!B41</f>
        <v>5.6000000000000001E-2</v>
      </c>
      <c r="G52" s="2476"/>
      <c r="H52" s="137"/>
      <c r="I52" s="2474"/>
      <c r="J52" s="1804">
        <v>1</v>
      </c>
      <c r="K52" s="3203" t="s">
        <v>2210</v>
      </c>
      <c r="L52" s="3203"/>
      <c r="M52" s="1746">
        <f>D48</f>
        <v>0</v>
      </c>
      <c r="N52" s="1804" t="str">
        <f>E48</f>
        <v>销售额×税（费）率</v>
      </c>
      <c r="O52" s="1747" t="str">
        <f>F48</f>
        <v>免征</v>
      </c>
    </row>
    <row r="53" spans="1:35" ht="12" customHeight="1">
      <c r="A53" s="182" t="s">
        <v>2211</v>
      </c>
      <c r="B53" s="3229" t="s">
        <v>2212</v>
      </c>
      <c r="C53" s="3230"/>
      <c r="D53" s="181">
        <f ca="1">ROUND(D45*'数据-取费表'!B41/(1+'数据-取费表'!C42),0)</f>
        <v>118</v>
      </c>
      <c r="E53" s="11" t="s">
        <v>2209</v>
      </c>
      <c r="F53" s="183">
        <f>'数据-取费表'!B41</f>
        <v>5.6000000000000001E-2</v>
      </c>
      <c r="G53" s="2476"/>
      <c r="H53" s="137"/>
      <c r="I53" s="2474"/>
      <c r="J53" s="1804">
        <v>2</v>
      </c>
      <c r="K53" s="3203" t="s">
        <v>2213</v>
      </c>
      <c r="L53" s="3203"/>
      <c r="M53" s="1746">
        <f t="shared" ref="M53:O54" ca="1" si="0">D55</f>
        <v>1</v>
      </c>
      <c r="N53" s="1804" t="str">
        <f t="shared" si="0"/>
        <v>销售额×税（费）率</v>
      </c>
      <c r="O53" s="1747">
        <f t="shared" si="0"/>
        <v>5.0000000000000001E-4</v>
      </c>
    </row>
    <row r="54" spans="1:35" ht="12" customHeight="1">
      <c r="A54" s="182" t="s">
        <v>2214</v>
      </c>
      <c r="B54" s="3229" t="s">
        <v>2215</v>
      </c>
      <c r="C54" s="3230"/>
      <c r="D54" s="181">
        <f ca="1">C68</f>
        <v>118</v>
      </c>
      <c r="E54" s="29" t="s">
        <v>2216</v>
      </c>
      <c r="F54" s="183">
        <f>'数据-取费表'!B41</f>
        <v>5.6000000000000001E-2</v>
      </c>
      <c r="G54" s="2476"/>
      <c r="H54" s="2477"/>
      <c r="I54" s="2474"/>
      <c r="J54" s="1804">
        <v>3</v>
      </c>
      <c r="K54" s="3203" t="s">
        <v>2217</v>
      </c>
      <c r="L54" s="3203"/>
      <c r="M54" s="1746">
        <f t="shared" ca="1" si="0"/>
        <v>1257</v>
      </c>
      <c r="N54" s="1804" t="str">
        <f t="shared" si="0"/>
        <v>增值额×税（费）率</v>
      </c>
      <c r="O54" s="1748" t="str">
        <f t="shared" si="0"/>
        <v>——</v>
      </c>
    </row>
    <row r="55" spans="1:35" ht="24" customHeight="1">
      <c r="A55" s="3267" t="s">
        <v>2218</v>
      </c>
      <c r="B55" s="3249"/>
      <c r="C55" s="3249"/>
      <c r="D55" s="184">
        <f ca="1">IF(H55="个人住宅",0,ROUND(D45*I55,0))</f>
        <v>1</v>
      </c>
      <c r="E55" s="11" t="s">
        <v>2219</v>
      </c>
      <c r="F55" s="183">
        <f>IF(H55="正常",I55,"免征")</f>
        <v>5.0000000000000001E-4</v>
      </c>
      <c r="G55" s="2476"/>
      <c r="H55" s="2473" t="s">
        <v>2220</v>
      </c>
      <c r="I55" s="185">
        <f>'数据-取费表'!B49</f>
        <v>5.0000000000000001E-4</v>
      </c>
      <c r="J55" s="1804" t="str">
        <f>IF(H59="非个人房产","",4)</f>
        <v/>
      </c>
      <c r="K55" s="3203" t="str">
        <f>IF(H59="非个人房产","——","个人所得税")</f>
        <v>——</v>
      </c>
      <c r="L55" s="3203"/>
      <c r="M55" s="1749" t="str">
        <f>D59</f>
        <v>——</v>
      </c>
      <c r="N55" s="1802" t="str">
        <f>E59</f>
        <v>——</v>
      </c>
      <c r="O55" s="1750" t="str">
        <f>F59</f>
        <v>——</v>
      </c>
    </row>
    <row r="56" spans="1:35" ht="24.75">
      <c r="A56" s="3267" t="s">
        <v>2221</v>
      </c>
      <c r="B56" s="3249"/>
      <c r="C56" s="3249"/>
      <c r="D56" s="184">
        <f ca="1">IF(H56="个人住宅",D57,D58)</f>
        <v>1257</v>
      </c>
      <c r="E56" s="11" t="s">
        <v>2222</v>
      </c>
      <c r="F56" s="183" t="str">
        <f>IF(H56="正常",F58,"免征")</f>
        <v>——</v>
      </c>
      <c r="G56" s="2478" t="s">
        <v>2223</v>
      </c>
      <c r="H56" s="2479" t="s">
        <v>2220</v>
      </c>
      <c r="I56" s="2480"/>
      <c r="J56" s="1804" t="str">
        <f>IF(项目基本情况!K6="上海银行",IF(J55="",4,J55+1),"")</f>
        <v/>
      </c>
      <c r="K56" s="3186" t="str">
        <f>IF(项目基本情况!K6="上海银行","其他处置费用","")</f>
        <v/>
      </c>
      <c r="L56" s="3187"/>
      <c r="M56" s="1746" t="str">
        <f>IF(项目基本情况!K6="上海银行",M69,"")</f>
        <v/>
      </c>
      <c r="N56" s="3189" t="str">
        <f>IF(项目基本情况!K6="上海银行","包含处置中涉及的律师、诉讼、拍卖、评估等费用","")</f>
        <v/>
      </c>
      <c r="O56" s="3190"/>
    </row>
    <row r="57" spans="1:35" ht="12.75">
      <c r="A57" s="182" t="s">
        <v>2196</v>
      </c>
      <c r="B57" s="3234" t="s">
        <v>2224</v>
      </c>
      <c r="C57" s="3235"/>
      <c r="D57" s="186">
        <v>0</v>
      </c>
      <c r="E57" s="22" t="s">
        <v>2198</v>
      </c>
      <c r="F57" s="154"/>
      <c r="G57" s="2476"/>
      <c r="H57" s="2480"/>
      <c r="I57" s="2480"/>
      <c r="J57" s="3203">
        <f>IF(AND(J55="",J56=""),4,IF(项目基本情况!K6="上海银行",结果表!J56+1,结果表!J55+1))</f>
        <v>4</v>
      </c>
      <c r="K57" s="3203" t="s">
        <v>2225</v>
      </c>
      <c r="L57" s="2481" t="s">
        <v>2226</v>
      </c>
      <c r="M57" s="1751"/>
      <c r="N57" s="1752">
        <f ca="1">SUMIF(M52:M56,"&lt;9e307")</f>
        <v>1258</v>
      </c>
      <c r="O57" s="2482"/>
      <c r="P57" s="1745">
        <f ca="1">N57/M49</f>
        <v>0.56641152633948677</v>
      </c>
    </row>
    <row r="58" spans="1:35" ht="24.75">
      <c r="A58" s="182" t="s">
        <v>2207</v>
      </c>
      <c r="B58" s="3234" t="s">
        <v>2227</v>
      </c>
      <c r="C58" s="3247"/>
      <c r="D58" s="184">
        <f ca="1">IF(H58="转让取得",C81,C97)</f>
        <v>1257</v>
      </c>
      <c r="E58" s="11" t="s">
        <v>2222</v>
      </c>
      <c r="F58" s="23" t="s">
        <v>34</v>
      </c>
      <c r="G58" s="2476"/>
      <c r="H58" s="2479" t="s">
        <v>2228</v>
      </c>
      <c r="I58" s="2480"/>
      <c r="J58" s="3203"/>
      <c r="K58" s="3203"/>
      <c r="L58" s="2481" t="s">
        <v>2229</v>
      </c>
      <c r="M58" s="1753"/>
      <c r="N58" s="2483" t="str">
        <f ca="1">NUMBERSTRING(INT(N57*10000),2)&amp;"元整"</f>
        <v>壹仟贰佰伍拾捌万元整</v>
      </c>
      <c r="O58" s="2484"/>
    </row>
    <row r="59" spans="1:35" ht="24.75" thickBot="1">
      <c r="A59" s="3207" t="s">
        <v>2230</v>
      </c>
      <c r="B59" s="3208"/>
      <c r="C59" s="3208"/>
      <c r="D59" s="187" t="str">
        <f>IF(H59="非个人房产","——",IF(H59="个人住宅",0,ROUND(D45*I59,0)))</f>
        <v>——</v>
      </c>
      <c r="E59" s="188" t="str">
        <f>IF(H59="非个人房产","——","销售额×税（费）率")</f>
        <v>——</v>
      </c>
      <c r="F59" s="189" t="str">
        <f>IF(H59="非个人房产","——",IF(H59="个人住宅","免征",I59))</f>
        <v>——</v>
      </c>
      <c r="G59" s="2485" t="s">
        <v>2223</v>
      </c>
      <c r="H59" s="2479" t="s">
        <v>2231</v>
      </c>
      <c r="I59" s="190">
        <v>0.01</v>
      </c>
      <c r="J59" s="3205">
        <f>J57+1</f>
        <v>5</v>
      </c>
      <c r="K59" s="3203" t="s">
        <v>2232</v>
      </c>
      <c r="L59" s="1804" t="s">
        <v>2226</v>
      </c>
      <c r="M59" s="1754"/>
      <c r="N59" s="1755">
        <f ca="1">M49-N57</f>
        <v>963</v>
      </c>
      <c r="O59" s="2486"/>
    </row>
    <row r="60" spans="1:35" ht="12" customHeight="1">
      <c r="A60" s="2487"/>
      <c r="B60" s="2409"/>
      <c r="C60" s="2409"/>
      <c r="D60" s="2409"/>
      <c r="E60" s="2156"/>
      <c r="F60" s="2480"/>
      <c r="G60" s="2480"/>
      <c r="H60" s="2488"/>
      <c r="I60" s="137"/>
      <c r="J60" s="3206"/>
      <c r="K60" s="3203"/>
      <c r="L60" s="2481" t="s">
        <v>2229</v>
      </c>
      <c r="M60" s="1753"/>
      <c r="N60" s="2483" t="str">
        <f ca="1">NUMBERSTRING(INT(N59*10000),2)&amp;"元整"</f>
        <v>玖佰陆拾叁万元整</v>
      </c>
      <c r="O60" s="2484"/>
    </row>
    <row r="61" spans="1:35" ht="13.5" thickBot="1">
      <c r="A61" s="3266" t="s">
        <v>2233</v>
      </c>
      <c r="B61" s="3266"/>
      <c r="C61" s="3266"/>
      <c r="D61" s="3266"/>
      <c r="E61" s="3266"/>
      <c r="F61" s="2480"/>
      <c r="G61" s="2480"/>
      <c r="H61" s="2488"/>
      <c r="I61" s="137"/>
      <c r="J61" s="1804">
        <f>J59+1</f>
        <v>6</v>
      </c>
      <c r="K61" s="3203" t="s">
        <v>2234</v>
      </c>
      <c r="L61" s="3203"/>
      <c r="M61" s="1756"/>
      <c r="N61" s="1757">
        <f ca="1">ROUND(N59*10000/'数据-汇总表'!E3,0)</f>
        <v>683</v>
      </c>
      <c r="O61" s="2489"/>
    </row>
    <row r="62" spans="1:35" ht="12.75">
      <c r="A62" s="3223" t="s">
        <v>2235</v>
      </c>
      <c r="B62" s="3224"/>
      <c r="C62" s="1796"/>
      <c r="D62" s="1796" t="s">
        <v>2236</v>
      </c>
      <c r="E62" s="191" t="s">
        <v>2237</v>
      </c>
      <c r="F62" s="2480"/>
      <c r="G62" s="2480"/>
      <c r="H62" s="2488"/>
      <c r="I62" s="137"/>
    </row>
    <row r="63" spans="1:35" ht="12.75">
      <c r="A63" s="202" t="s">
        <v>775</v>
      </c>
      <c r="B63" s="192" t="s">
        <v>2238</v>
      </c>
      <c r="C63" s="193">
        <f ca="1">ROUND((C64+C65)/(1+'数据-取费表'!C42),0)</f>
        <v>2115</v>
      </c>
      <c r="D63" s="194"/>
      <c r="E63" s="195"/>
      <c r="F63" s="2480"/>
      <c r="G63" s="2480"/>
      <c r="H63" s="2488"/>
      <c r="I63" s="137"/>
      <c r="J63" s="3188" t="s">
        <v>2239</v>
      </c>
      <c r="K63" s="2490" t="s">
        <v>2240</v>
      </c>
      <c r="L63" s="1744">
        <f ca="1">IF(M49&gt;10000,M49*0.5%,IF(AND(M49&gt;1000,M49&lt;=10000),M49*1%,IF(AND(M49&gt;100,M49&lt;=1000),M49*3%,IF(AND(M49&gt;10,M49&lt;=100),M49*5%,M49*8%))))</f>
        <v>22.21</v>
      </c>
      <c r="M63" s="23">
        <f ca="1">ROUND(L63,1)</f>
        <v>22.2</v>
      </c>
      <c r="Z63" s="2414"/>
      <c r="AI63" s="2415"/>
    </row>
    <row r="64" spans="1:35" ht="14.25" customHeight="1">
      <c r="A64" s="196" t="s">
        <v>770</v>
      </c>
      <c r="B64" s="197" t="s">
        <v>2241</v>
      </c>
      <c r="C64" s="198">
        <f ca="1">D45</f>
        <v>2221</v>
      </c>
      <c r="D64" s="199" t="s">
        <v>32</v>
      </c>
      <c r="E64" s="200"/>
      <c r="F64" s="2480"/>
      <c r="G64" s="2480"/>
      <c r="H64" s="2488"/>
      <c r="I64" s="137"/>
      <c r="J64" s="3188"/>
      <c r="K64" s="2490" t="s">
        <v>2242</v>
      </c>
      <c r="L64" s="1744">
        <f ca="1">IF(M49&gt;2000,M49*0.5%,IF(AND(M49&gt;1000,M49&lt;=2000),M49*0.6%,IF(AND(M49&gt;500,M49&lt;=1000),M49*0.7%,IF(AND(M49&gt;200,M49&lt;=500),M49*0.8%,IF(AND(M49&gt;100,M49&lt;=200),M49*0.9%,IF(AND(M49&gt;50,M49&lt;=100),M49*1%,IF(AND(M49&gt;20,M49&lt;=50),M49*1.5%,IF(AND(M49&gt;10,M49&lt;=20),M49*2%,IF(AND(M49&gt;1,M49&lt;=10),M49*2.5%)))))))))</f>
        <v>11.105</v>
      </c>
      <c r="M64" s="23">
        <f t="shared" ref="M64:M65" ca="1" si="1">ROUND(L64,1)</f>
        <v>11.1</v>
      </c>
      <c r="N64" s="137" t="s">
        <v>2243</v>
      </c>
      <c r="Z64" s="2414"/>
      <c r="AI64" s="2415"/>
    </row>
    <row r="65" spans="1:35" ht="14.25" customHeight="1">
      <c r="A65" s="196" t="s">
        <v>771</v>
      </c>
      <c r="B65" s="197" t="s">
        <v>2244</v>
      </c>
      <c r="C65" s="201"/>
      <c r="D65" s="199"/>
      <c r="E65" s="200"/>
      <c r="F65" s="2480"/>
      <c r="G65" s="2480"/>
      <c r="H65" s="2488"/>
      <c r="I65" s="137"/>
      <c r="J65" s="3188"/>
      <c r="K65" s="2490" t="s">
        <v>2245</v>
      </c>
      <c r="L65" s="1744">
        <f ca="1">IF(M49&gt;1000,M49*0.1%,IF(AND(M49&gt;500,M49&lt;=1000),M49*0.5%,IF(AND(M49&gt;50,M49&lt;=500),M49*1%,IF(AND(M49&gt;1,M49&lt;=50),M49*1.5%))))</f>
        <v>2.2210000000000001</v>
      </c>
      <c r="M65" s="23">
        <f t="shared" ca="1" si="1"/>
        <v>2.2000000000000002</v>
      </c>
      <c r="N65" s="137" t="s">
        <v>2243</v>
      </c>
      <c r="Z65" s="2414"/>
      <c r="AI65" s="2415"/>
    </row>
    <row r="66" spans="1:35" ht="14.25" customHeight="1">
      <c r="A66" s="202" t="s">
        <v>772</v>
      </c>
      <c r="B66" s="203" t="s">
        <v>2246</v>
      </c>
      <c r="C66" s="204"/>
      <c r="D66" s="205" t="s">
        <v>32</v>
      </c>
      <c r="E66" s="1768" t="s">
        <v>1371</v>
      </c>
      <c r="F66" s="2480"/>
      <c r="G66" s="2480"/>
      <c r="H66" s="2488"/>
      <c r="I66" s="137"/>
      <c r="J66" s="3188"/>
      <c r="K66" s="2490" t="s">
        <v>2247</v>
      </c>
      <c r="L66" s="1744">
        <f ca="1">M49*0.5%</f>
        <v>11.105</v>
      </c>
      <c r="M66" s="23">
        <f ca="1">IF(L66&gt;0.5,0.5,ROUND(L66,0))</f>
        <v>0.5</v>
      </c>
      <c r="N66" s="137" t="s">
        <v>2248</v>
      </c>
      <c r="Z66" s="2414"/>
      <c r="AI66" s="2415"/>
    </row>
    <row r="67" spans="1:35" ht="14.25" customHeight="1">
      <c r="A67" s="202" t="s">
        <v>773</v>
      </c>
      <c r="B67" s="203" t="s">
        <v>2249</v>
      </c>
      <c r="C67" s="206">
        <f ca="1">C63-C66</f>
        <v>2115</v>
      </c>
      <c r="D67" s="199" t="s">
        <v>32</v>
      </c>
      <c r="E67" s="200"/>
      <c r="F67" s="2480"/>
      <c r="G67" s="2480"/>
      <c r="H67" s="2488"/>
      <c r="I67" s="137"/>
      <c r="J67" s="3188"/>
      <c r="K67" s="2490" t="s">
        <v>2250</v>
      </c>
      <c r="L67" s="1744">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2251</v>
      </c>
      <c r="C68" s="209">
        <f ca="1">IF(C67&lt;=0,0,ROUND(C67*D68,0))</f>
        <v>118</v>
      </c>
      <c r="D68" s="210">
        <f>'数据-取费表'!B41</f>
        <v>5.6000000000000001E-2</v>
      </c>
      <c r="E68" s="211"/>
      <c r="F68" s="2480"/>
      <c r="G68" s="2480"/>
      <c r="H68" s="2488"/>
      <c r="I68" s="137"/>
      <c r="J68" s="3188"/>
      <c r="K68" s="2490" t="s">
        <v>2252</v>
      </c>
      <c r="L68" s="1744">
        <f ca="1">IF(M49&gt;10000,M49*0.5%,IF(AND(M49&gt;5000,M49&lt;=10000),M49*1%,IF(AND(M49&gt;1000,M49&lt;=5000),M49*2%,IF(AND(M49&gt;200,M49&lt;=1000),M49*3%,M49*5%))))</f>
        <v>44.42</v>
      </c>
      <c r="M68" s="23">
        <f ca="1">ROUND(L68,1)</f>
        <v>44.4</v>
      </c>
      <c r="Z68" s="2414"/>
      <c r="AI68" s="2415"/>
    </row>
    <row r="69" spans="1:35" s="2437" customFormat="1" ht="16.5" customHeight="1">
      <c r="A69" s="2491"/>
      <c r="B69" s="2492"/>
      <c r="C69" s="2493"/>
      <c r="D69" s="2494"/>
      <c r="E69" s="2495"/>
      <c r="F69" s="2156"/>
      <c r="G69" s="2156"/>
      <c r="H69" s="2155"/>
      <c r="I69" s="2409"/>
      <c r="J69" s="3188"/>
      <c r="K69" s="2490" t="s">
        <v>2253</v>
      </c>
      <c r="L69" s="2496"/>
      <c r="M69" s="23">
        <f ca="1">ROUND(SUM(M63:M68),0)</f>
        <v>83</v>
      </c>
      <c r="N69" s="1745">
        <f ca="1">M69/M49</f>
        <v>3.7370553804592525E-2</v>
      </c>
      <c r="O69" s="789"/>
      <c r="P69" s="789"/>
      <c r="Q69" s="789"/>
      <c r="R69" s="789"/>
      <c r="S69" s="789"/>
      <c r="T69" s="789"/>
      <c r="U69" s="789"/>
      <c r="V69" s="789"/>
      <c r="W69" s="789"/>
      <c r="X69" s="789"/>
      <c r="Y69" s="789"/>
      <c r="Z69" s="2414"/>
      <c r="AA69" s="2414"/>
      <c r="AB69" s="2414"/>
      <c r="AC69" s="2414"/>
      <c r="AD69" s="2414"/>
      <c r="AE69" s="2414"/>
      <c r="AF69" s="2414"/>
      <c r="AG69" s="2414"/>
      <c r="AH69" s="2414"/>
    </row>
    <row r="70" spans="1:35" s="2498" customFormat="1" ht="15" thickBot="1">
      <c r="A70" s="3232" t="s">
        <v>2254</v>
      </c>
      <c r="B70" s="3233"/>
      <c r="C70" s="3233"/>
      <c r="D70" s="3233"/>
      <c r="E70" s="3233"/>
      <c r="F70" s="3233"/>
      <c r="G70" s="3233"/>
      <c r="H70" s="3233"/>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223" t="s">
        <v>2235</v>
      </c>
      <c r="B71" s="3224"/>
      <c r="C71" s="1796"/>
      <c r="D71" s="1796" t="s">
        <v>2236</v>
      </c>
      <c r="E71" s="212" t="s">
        <v>2237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2255</v>
      </c>
      <c r="C72" s="206">
        <f ca="1">ROUND(D45/(1+'数据-取费表'!C42),0)</f>
        <v>2115</v>
      </c>
      <c r="D72" s="199" t="s">
        <v>32</v>
      </c>
      <c r="E72" s="1795"/>
      <c r="F72" s="1789"/>
      <c r="G72" s="1789"/>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2256</v>
      </c>
      <c r="C73" s="206">
        <f ca="1">C74+C78</f>
        <v>13</v>
      </c>
      <c r="D73" s="199" t="s">
        <v>32</v>
      </c>
      <c r="E73" s="1795"/>
      <c r="F73" s="1789"/>
      <c r="G73" s="1789"/>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2257</v>
      </c>
      <c r="C74" s="199">
        <f>ROUND(IF(G77="2016年5月1日后购买",C75/(1+'数据-取费表'!C42)+C76+C77,C75+C76+C77),0)</f>
        <v>0</v>
      </c>
      <c r="D74" s="199" t="s">
        <v>32</v>
      </c>
      <c r="E74" s="1795"/>
      <c r="F74" s="1789"/>
      <c r="G74" s="1789"/>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2258</v>
      </c>
      <c r="C75" s="217"/>
      <c r="D75" s="199" t="s">
        <v>32</v>
      </c>
      <c r="E75" s="218" t="s">
        <v>2259</v>
      </c>
      <c r="F75" s="2502" t="s">
        <v>2260</v>
      </c>
      <c r="G75" s="218" t="s">
        <v>2261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2262</v>
      </c>
      <c r="C76" s="199">
        <f>IF(F75="购房发票",ROUND(C75*H75*D76,0),0)</f>
        <v>0</v>
      </c>
      <c r="D76" s="221">
        <v>0.05</v>
      </c>
      <c r="E76" s="3229" t="s">
        <v>2263</v>
      </c>
      <c r="F76" s="3228"/>
      <c r="G76" s="3228"/>
      <c r="H76" s="3231"/>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2264</v>
      </c>
      <c r="C77" s="199">
        <f>ROUND(IF(G77="个人住宅",0,IF(G77="2016年5月1日前购买",C75*D77,C75*D77/(1+'数据-取费表'!C42))),0)</f>
        <v>0</v>
      </c>
      <c r="D77" s="222">
        <f>'数据-取费表'!B48+'数据-取费表'!B49</f>
        <v>3.0499999999999999E-2</v>
      </c>
      <c r="E77" s="14" t="s">
        <v>2265</v>
      </c>
      <c r="F77" s="223"/>
      <c r="G77" s="2504" t="s">
        <v>2266</v>
      </c>
      <c r="H77" s="1800" t="str">
        <f>IF(G77="个人买卖住房","免征印花税"," ")</f>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2267</v>
      </c>
      <c r="C78" s="224">
        <f ca="1">ROUND(D45*D78/(1+'数据-取费表'!C42),0)</f>
        <v>13</v>
      </c>
      <c r="D78" s="225">
        <f>'数据-取费表'!B43</f>
        <v>6.000000000000001E-3</v>
      </c>
      <c r="E78" s="3220" t="s">
        <v>2268</v>
      </c>
      <c r="F78" s="3221"/>
      <c r="G78" s="3221"/>
      <c r="H78" s="3222"/>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2269</v>
      </c>
      <c r="C79" s="206">
        <f ca="1">C72-C73</f>
        <v>2102</v>
      </c>
      <c r="D79" s="199" t="s">
        <v>32</v>
      </c>
      <c r="E79" s="1795"/>
      <c r="F79" s="1789"/>
      <c r="G79" s="1789"/>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2270</v>
      </c>
      <c r="C80" s="226">
        <f ca="1">IF(C79&lt;=0,0,C79/C73)</f>
        <v>161.69230769230768</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2271</v>
      </c>
      <c r="C81" s="227">
        <f ca="1">ROUND(IF(C79&lt;=0,0,IF(C80&gt;=200%,C79*60%-C73*35%,IF(C80&gt;=100%,C79*50%-C73*15%,IF(C80&gt;=50%,C79*40%-C73*5%,IF(C80&lt;50%,C79*30%,0))))),0)</f>
        <v>1257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27"/>
      <c r="B82" s="728"/>
      <c r="C82" s="7"/>
      <c r="D82" s="7"/>
      <c r="E82" s="728"/>
      <c r="F82" s="728"/>
      <c r="G82" s="728"/>
      <c r="H82" s="729"/>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232" t="s">
        <v>2272</v>
      </c>
      <c r="B83" s="3233"/>
      <c r="C83" s="3233"/>
      <c r="D83" s="3233"/>
      <c r="E83" s="3233"/>
      <c r="F83" s="3233"/>
      <c r="G83" s="3233"/>
      <c r="H83" s="3233"/>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223" t="s">
        <v>2235</v>
      </c>
      <c r="B84" s="3224"/>
      <c r="C84" s="1796"/>
      <c r="D84" s="1796" t="s">
        <v>2236</v>
      </c>
      <c r="E84" s="212" t="s">
        <v>2237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2255</v>
      </c>
      <c r="C85" s="206">
        <f ca="1">ROUND(D45/(1+'数据-取费表'!C42),0)</f>
        <v>2115</v>
      </c>
      <c r="D85" s="199" t="s">
        <v>32</v>
      </c>
      <c r="E85" s="1795"/>
      <c r="F85" s="1789"/>
      <c r="G85" s="1789"/>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2256</v>
      </c>
      <c r="C86" s="206">
        <f ca="1">IF(H88="仅含出让金",C87+C90+C91+C92+C93+C94,C87+C91+C92+C93+C94)</f>
        <v>13</v>
      </c>
      <c r="D86" s="234"/>
      <c r="E86" s="1795"/>
      <c r="F86" s="1789"/>
      <c r="G86" s="1789"/>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2273</v>
      </c>
      <c r="C87" s="224">
        <f>C88+C89</f>
        <v>0</v>
      </c>
      <c r="D87" s="225"/>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2274</v>
      </c>
      <c r="C88" s="235"/>
      <c r="D88" s="225"/>
      <c r="E88" s="236" t="s">
        <v>2275</v>
      </c>
      <c r="F88" s="1792"/>
      <c r="G88" s="237" t="s">
        <v>2276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2264</v>
      </c>
      <c r="C89" s="224">
        <f>ROUND(C88*D89,0)</f>
        <v>0</v>
      </c>
      <c r="D89" s="225">
        <f>'数据-取费表'!B48+'数据-取费表'!B49</f>
        <v>3.0499999999999999E-2</v>
      </c>
      <c r="E89" s="236" t="s">
        <v>2277</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2278</v>
      </c>
      <c r="C90" s="235"/>
      <c r="D90" s="225"/>
      <c r="E90" s="236" t="str">
        <f>IF(H88="-","土地取得成本中已包含该笔费用"," ")</f>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2279</v>
      </c>
      <c r="B91" s="197" t="s">
        <v>2280</v>
      </c>
      <c r="C91" s="224">
        <f>IF(H91="——",成本法!C33,I91)</f>
        <v>0</v>
      </c>
      <c r="D91" s="225"/>
      <c r="E91" s="3220" t="s">
        <v>2281</v>
      </c>
      <c r="F91" s="3221"/>
      <c r="G91" s="3221"/>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ROUND((C87+C90+C91)*D92,0)</f>
        <v>0</v>
      </c>
      <c r="D92" s="225">
        <v>0.1</v>
      </c>
      <c r="E92" s="3220" t="s">
        <v>2285</v>
      </c>
      <c r="F92" s="3221"/>
      <c r="G92" s="3221"/>
      <c r="H92" s="3222"/>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2267</v>
      </c>
      <c r="C93" s="224">
        <f ca="1">ROUND(D45*D93/(1+'数据-取费表'!C42),0)</f>
        <v>13</v>
      </c>
      <c r="D93" s="225">
        <f>'数据-取费表'!B43</f>
        <v>6.000000000000001E-3</v>
      </c>
      <c r="E93" s="3220" t="s">
        <v>2268</v>
      </c>
      <c r="F93" s="3221"/>
      <c r="G93" s="3221"/>
      <c r="H93" s="3222"/>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ROUND((C87+C90+C91)*D94,0)</f>
        <v>0</v>
      </c>
      <c r="D94" s="225">
        <v>0.2</v>
      </c>
      <c r="E94" s="3268" t="s">
        <v>2289</v>
      </c>
      <c r="F94" s="3269"/>
      <c r="G94" s="3269"/>
      <c r="H94" s="3270"/>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2269</v>
      </c>
      <c r="C95" s="206">
        <f ca="1">ROUND(C85-C86,0)</f>
        <v>2102</v>
      </c>
      <c r="D95" s="199" t="s">
        <v>32</v>
      </c>
      <c r="E95" s="1795"/>
      <c r="F95" s="1789"/>
      <c r="G95" s="1789"/>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2270</v>
      </c>
      <c r="C96" s="226">
        <f ca="1">IF(C95&lt;=0,0,C95/C86)</f>
        <v>161.69230769230768</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2271</v>
      </c>
      <c r="C97" s="227">
        <f ca="1">ROUND(IF(C95&lt;=0,0,IF(C96&gt;=200%,C95*60%-C86*35%,IF(C96&gt;=100%,C95*50%-C86*15%,IF(C96&gt;=50%,C95*40%-C86*5%,IF(C96&lt;50%,C95*30%,0))))),0)</f>
        <v>1257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6"/>
      <c r="F98" s="2156"/>
      <c r="G98" s="2156"/>
      <c r="H98" s="2155"/>
      <c r="I98" s="137"/>
    </row>
    <row r="99" spans="1:35" ht="21.75" customHeight="1" thickBot="1">
      <c r="A99" s="2465" t="s">
        <v>2290</v>
      </c>
      <c r="B99" s="2409"/>
      <c r="C99" s="2409"/>
      <c r="D99" s="2409"/>
      <c r="E99" s="2156"/>
      <c r="F99" s="2156"/>
      <c r="G99" s="2156"/>
      <c r="H99" s="2155"/>
      <c r="I99" s="137"/>
    </row>
    <row r="100" spans="1:35" ht="18.75" customHeight="1">
      <c r="A100" s="3172" t="s">
        <v>2291</v>
      </c>
      <c r="B100" s="3173"/>
      <c r="C100" s="3173"/>
      <c r="D100" s="3204"/>
      <c r="E100" s="3173" t="s">
        <v>2292</v>
      </c>
      <c r="F100" s="3173"/>
      <c r="G100" s="3173"/>
      <c r="H100" s="3204"/>
      <c r="I100" s="137"/>
    </row>
    <row r="101" spans="1:35" ht="18.75" customHeight="1">
      <c r="A101" s="3212" t="s">
        <v>2293</v>
      </c>
      <c r="B101" s="3213"/>
      <c r="C101" s="730" t="str">
        <f>C4</f>
        <v>收益法</v>
      </c>
      <c r="D101" s="731" t="str">
        <f>D4</f>
        <v>比较法-商业</v>
      </c>
      <c r="E101" s="3184" t="s">
        <v>2294</v>
      </c>
      <c r="F101" s="3185"/>
      <c r="G101" s="2511" t="s">
        <v>2295</v>
      </c>
      <c r="H101" s="1042">
        <f ca="1">H118</f>
        <v>2221</v>
      </c>
      <c r="I101" s="137"/>
    </row>
    <row r="102" spans="1:35" ht="18.75" customHeight="1">
      <c r="A102" s="3214" t="s">
        <v>2296</v>
      </c>
      <c r="B102" s="2511" t="s">
        <v>2295</v>
      </c>
      <c r="C102" s="730">
        <f ca="1">C19</f>
        <v>1961</v>
      </c>
      <c r="D102" s="731">
        <f ca="1">D19</f>
        <v>2481</v>
      </c>
      <c r="E102" s="3184"/>
      <c r="F102" s="3185"/>
      <c r="G102" s="2511" t="s">
        <v>2297</v>
      </c>
      <c r="H102" s="370">
        <f ca="1">I118</f>
        <v>28093</v>
      </c>
      <c r="I102" s="137"/>
    </row>
    <row r="103" spans="1:35" ht="42.75" customHeight="1">
      <c r="A103" s="3214"/>
      <c r="B103" s="2511" t="s">
        <v>2297</v>
      </c>
      <c r="C103" s="732">
        <f ca="1">C20</f>
        <v>24805</v>
      </c>
      <c r="D103" s="733">
        <f ca="1">D20</f>
        <v>31379</v>
      </c>
      <c r="E103" s="3178" t="s">
        <v>2298</v>
      </c>
      <c r="F103" s="3179"/>
      <c r="G103" s="2512" t="s">
        <v>2299</v>
      </c>
      <c r="H103" s="1042">
        <f>IF(D36="正常操作",H104+H105+H106,H105+H106)</f>
        <v>0</v>
      </c>
      <c r="I103" s="137"/>
    </row>
    <row r="104" spans="1:35" ht="18.75" customHeight="1">
      <c r="A104" s="3214" t="s">
        <v>2300</v>
      </c>
      <c r="B104" s="2513" t="s">
        <v>2295</v>
      </c>
      <c r="C104" s="734">
        <f ca="1">H118</f>
        <v>2221</v>
      </c>
      <c r="D104" s="735"/>
      <c r="E104" s="2257" t="s">
        <v>2301</v>
      </c>
      <c r="F104" s="2248"/>
      <c r="G104" s="2512" t="s">
        <v>2299</v>
      </c>
      <c r="H104" s="1043">
        <f>IF(D36="同一抵押权人同一抵押物续贷",C36&amp;"（未扣减，详见特别提示）",C36)</f>
        <v>0</v>
      </c>
      <c r="I104" s="137"/>
    </row>
    <row r="105" spans="1:35" ht="18.75" customHeight="1" thickBot="1">
      <c r="A105" s="3226"/>
      <c r="B105" s="2514" t="s">
        <v>2297</v>
      </c>
      <c r="C105" s="736">
        <f ca="1">I118</f>
        <v>28093</v>
      </c>
      <c r="D105" s="737"/>
      <c r="E105" s="2257" t="s">
        <v>2302</v>
      </c>
      <c r="F105" s="2248"/>
      <c r="G105" s="2512" t="s">
        <v>2299</v>
      </c>
      <c r="H105" s="1043">
        <f>C37</f>
        <v>0</v>
      </c>
      <c r="I105" s="137"/>
    </row>
    <row r="106" spans="1:35" ht="18.75" customHeight="1">
      <c r="A106" s="2409" t="s">
        <v>2303</v>
      </c>
      <c r="B106" s="2409"/>
      <c r="C106" s="2409"/>
      <c r="D106" s="2409"/>
      <c r="E106" s="2515" t="s">
        <v>2304</v>
      </c>
      <c r="F106" s="2248"/>
      <c r="G106" s="2512" t="s">
        <v>2299</v>
      </c>
      <c r="H106" s="1043">
        <f>C38</f>
        <v>0</v>
      </c>
      <c r="I106" s="137"/>
    </row>
    <row r="107" spans="1:35" ht="18.75" customHeight="1">
      <c r="A107" s="137"/>
      <c r="B107" s="137"/>
      <c r="C107" s="137"/>
      <c r="D107" s="137"/>
      <c r="E107" s="3215" t="str">
        <f>IF(项目基本情况!E8="已注销","——","3.房地产抵押价值")</f>
        <v>3.房地产抵押价值</v>
      </c>
      <c r="F107" s="3185"/>
      <c r="G107" s="2511" t="s">
        <v>2295</v>
      </c>
      <c r="H107" s="1042">
        <f ca="1">IF(E107="——","——",H101-H103)</f>
        <v>2221</v>
      </c>
      <c r="I107" s="137"/>
    </row>
    <row r="108" spans="1:35" ht="18.75" customHeight="1">
      <c r="A108" s="137"/>
      <c r="B108" s="137"/>
      <c r="C108" s="137"/>
      <c r="D108" s="137"/>
      <c r="E108" s="3215"/>
      <c r="F108" s="3185"/>
      <c r="G108" s="2511" t="s">
        <v>2297</v>
      </c>
      <c r="H108" s="370">
        <f ca="1">ROUND(H107*10000/'数据-汇总表'!E3,0)</f>
        <v>1575</v>
      </c>
      <c r="I108" s="137"/>
    </row>
    <row r="109" spans="1:35" ht="18.75" customHeight="1">
      <c r="A109" s="137"/>
      <c r="B109" s="137"/>
      <c r="C109" s="137"/>
      <c r="D109" s="137"/>
      <c r="E109" s="3215" t="str">
        <f>IF(项目基本情况!E8="已注销及未注销","4.抵押担保权已注销时的房地产抵押价值",IF(项目基本情况!E8="已注销","3.抵押担保权已注销时的房地产抵押价值","——"))</f>
        <v>——</v>
      </c>
      <c r="F109" s="3185"/>
      <c r="G109" s="2511" t="s">
        <v>2295</v>
      </c>
      <c r="H109" s="347" t="str">
        <f>IF(E109="——","——",H101-H105-H106)</f>
        <v>——</v>
      </c>
      <c r="I109" s="137"/>
    </row>
    <row r="110" spans="1:35" ht="18.75" customHeight="1">
      <c r="A110" s="137"/>
      <c r="B110" s="137"/>
      <c r="C110" s="137"/>
      <c r="D110" s="137"/>
      <c r="E110" s="3215"/>
      <c r="F110" s="3185"/>
      <c r="G110" s="2511" t="s">
        <v>2297</v>
      </c>
      <c r="H110" s="370" t="str">
        <f>IF(H109="——","——",ROUND(H109*10000/'数据-汇总表'!E3,0))</f>
        <v>——</v>
      </c>
      <c r="I110" s="137"/>
    </row>
    <row r="111" spans="1:35" ht="18.75" customHeight="1">
      <c r="A111" s="137"/>
      <c r="B111" s="137"/>
      <c r="C111" s="137"/>
      <c r="D111" s="137"/>
      <c r="E111" s="3216" t="str">
        <f>IF(项目基本情况!E9="抵押净值",IF(OR(项目基本情况!E8="已注销",项目基本情况!E8="房地产抵押价值"),"4.抵押净值","5.抵押净值"),"——")</f>
        <v>——</v>
      </c>
      <c r="F111" s="3217"/>
      <c r="G111" s="2511" t="s">
        <v>2295</v>
      </c>
      <c r="H111" s="1042" t="str">
        <f>IF(E111="——","——",N59)</f>
        <v>——</v>
      </c>
      <c r="I111" s="137"/>
    </row>
    <row r="112" spans="1:35" ht="18.75" customHeight="1" thickBot="1">
      <c r="A112" s="137"/>
      <c r="B112" s="137"/>
      <c r="C112" s="137"/>
      <c r="D112" s="137"/>
      <c r="E112" s="3218"/>
      <c r="F112" s="3219"/>
      <c r="G112" s="2516" t="s">
        <v>2297</v>
      </c>
      <c r="H112" s="784" t="str">
        <f>IF(E111="——","——",N61)</f>
        <v>——</v>
      </c>
      <c r="I112" s="137"/>
    </row>
    <row r="113" spans="1:11" ht="18.75" customHeight="1">
      <c r="A113" s="137"/>
      <c r="B113" s="137"/>
      <c r="C113" s="137"/>
      <c r="D113" s="137"/>
      <c r="E113" s="3227" t="s">
        <v>2303</v>
      </c>
      <c r="F113" s="3227"/>
      <c r="G113" s="3227"/>
      <c r="H113" s="3227"/>
      <c r="I113" s="137"/>
    </row>
    <row r="114" spans="1:11" ht="3.75" customHeight="1">
      <c r="A114" s="2409"/>
      <c r="B114" s="2409"/>
      <c r="C114" s="2409"/>
      <c r="D114" s="2409"/>
      <c r="E114" s="2487"/>
      <c r="F114" s="2487"/>
      <c r="G114" s="2487"/>
      <c r="H114" s="2487"/>
      <c r="I114" s="2409"/>
    </row>
    <row r="115" spans="1:11" ht="18.75" customHeight="1">
      <c r="A115" s="3240" t="s">
        <v>2305</v>
      </c>
      <c r="B115" s="3241"/>
      <c r="C115" s="3241"/>
      <c r="D115" s="3241"/>
      <c r="E115" s="3241"/>
      <c r="F115" s="3241"/>
      <c r="G115" s="3241"/>
      <c r="H115" s="3241"/>
      <c r="I115" s="3242"/>
    </row>
    <row r="116" spans="1:11" ht="27" customHeight="1">
      <c r="A116" s="3151" t="s">
        <v>2306</v>
      </c>
      <c r="B116" s="3194" t="s">
        <v>2307</v>
      </c>
      <c r="C116" s="3194" t="s">
        <v>2308</v>
      </c>
      <c r="D116" s="3200" t="s">
        <v>2309</v>
      </c>
      <c r="E116" s="3201"/>
      <c r="F116" s="3236" t="s">
        <v>2310</v>
      </c>
      <c r="G116" s="3236"/>
      <c r="H116" s="3151" t="s">
        <v>2311</v>
      </c>
      <c r="I116" s="3151"/>
    </row>
    <row r="117" spans="1:11" ht="18.75" customHeight="1">
      <c r="A117" s="3151"/>
      <c r="B117" s="3195"/>
      <c r="C117" s="3195"/>
      <c r="D117" s="1790" t="s">
        <v>2312</v>
      </c>
      <c r="E117" s="1790" t="s">
        <v>2313</v>
      </c>
      <c r="F117" s="1790" t="s">
        <v>2312</v>
      </c>
      <c r="G117" s="1790" t="s">
        <v>2314</v>
      </c>
      <c r="H117" s="1790" t="s">
        <v>2312</v>
      </c>
      <c r="I117" s="1790" t="s">
        <v>2314</v>
      </c>
    </row>
    <row r="118" spans="1:11" ht="24.75" customHeight="1">
      <c r="A118" s="2517" t="str">
        <f>项目基本情况!S2</f>
        <v>湖北省武汉市房地产</v>
      </c>
      <c r="B118" s="1790">
        <f>M18</f>
        <v>790.58</v>
      </c>
      <c r="C118" s="1790">
        <f>M19</f>
        <v>102.74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2221</v>
      </c>
      <c r="I118" s="1790">
        <f ca="1">ROUND(IF(D32="楼面单价",C32,H118*10000/B118),0)</f>
        <v>28093</v>
      </c>
    </row>
    <row r="119" spans="1:11" ht="18.75" customHeight="1">
      <c r="A119" s="3151" t="s">
        <v>2315</v>
      </c>
      <c r="B119" s="3151"/>
      <c r="C119" s="3151"/>
      <c r="D119" s="3196" t="e">
        <f ca="1">NUMBERSTRING(INT(D118*10000),2)&amp;"元整"</f>
        <v>#REF!</v>
      </c>
      <c r="E119" s="3197"/>
      <c r="F119" s="3196" t="e">
        <f ca="1">NUMBERSTRING(INT(F118*10000),2)&amp;"元整"</f>
        <v>#REF!</v>
      </c>
      <c r="G119" s="3197"/>
      <c r="H119" s="3196" t="str">
        <f ca="1">NUMBERSTRING(INT(H118*10000),2)&amp;"元整"</f>
        <v>贰仟贰佰贰拾壹万元整</v>
      </c>
      <c r="I119" s="3197"/>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414" t="str">
        <f>IF(D120=0,"故，本次评估不存在"&amp;A120,"故，本次评估"&amp;A120&amp;"为人民币"&amp;D120&amp;"万元整。")</f>
        <v>故，本次评估不存在估价师知悉的法定优先受偿款</v>
      </c>
    </row>
    <row r="121" spans="1:11" ht="18.75" customHeight="1">
      <c r="A121" s="3237" t="s">
        <v>2315</v>
      </c>
      <c r="B121" s="3238"/>
      <c r="C121" s="3239"/>
      <c r="D121" s="3196" t="str">
        <f>IF(D120=0,"零元整",NUMBERSTRING(INT(D120*10000),2)&amp;"元整")</f>
        <v>零元整</v>
      </c>
      <c r="E121" s="3198"/>
      <c r="F121" s="3198"/>
      <c r="G121" s="3198"/>
      <c r="H121" s="3198"/>
      <c r="I121" s="3197"/>
    </row>
    <row r="122" spans="1:11" ht="18.75" customHeight="1">
      <c r="A122" s="3202" t="str">
        <f>IF(项目基本情况!B9="房地产市场价值","",MID(E107,3,LEN(E107)-2))</f>
        <v>房地产抵押价值</v>
      </c>
      <c r="B122" s="3202"/>
      <c r="C122" s="3202"/>
      <c r="D122" s="3191">
        <f ca="1">H107</f>
        <v>2221</v>
      </c>
      <c r="E122" s="3192"/>
      <c r="F122" s="3192"/>
      <c r="G122" s="3192"/>
      <c r="H122" s="3192"/>
      <c r="I122" s="3193"/>
    </row>
    <row r="123" spans="1:11" ht="18.75" customHeight="1">
      <c r="A123" s="3151" t="s">
        <v>2315</v>
      </c>
      <c r="B123" s="3151"/>
      <c r="C123" s="3151"/>
      <c r="D123" s="3196" t="str">
        <f ca="1">NUMBERSTRING(INT(D122*10000),2)&amp;"元整"</f>
        <v>贰仟贰佰贰拾壹万元整</v>
      </c>
      <c r="E123" s="3198"/>
      <c r="F123" s="3198"/>
      <c r="G123" s="3198"/>
      <c r="H123" s="3198"/>
      <c r="I123" s="3197"/>
    </row>
    <row r="124" spans="1:11" ht="18.75" customHeight="1">
      <c r="A124" s="3202" t="str">
        <f>IF(项目基本情况!B9="房地产市场价值","",MID(E109,3,LEN(E109)-2))</f>
        <v/>
      </c>
      <c r="B124" s="3202"/>
      <c r="C124" s="3202"/>
      <c r="D124" s="3191" t="str">
        <f>H109</f>
        <v>——</v>
      </c>
      <c r="E124" s="3192"/>
      <c r="F124" s="3192"/>
      <c r="G124" s="3192"/>
      <c r="H124" s="3192"/>
      <c r="I124" s="3193"/>
    </row>
    <row r="125" spans="1:11" ht="18.75" customHeight="1">
      <c r="A125" s="3151" t="s">
        <v>2315</v>
      </c>
      <c r="B125" s="3151"/>
      <c r="C125" s="3151"/>
      <c r="D125" s="3196" t="e">
        <f>NUMBERSTRING(INT(D124*10000),2)&amp;"元整"</f>
        <v>#VALUE!</v>
      </c>
      <c r="E125" s="3198"/>
      <c r="F125" s="3198"/>
      <c r="G125" s="3198"/>
      <c r="H125" s="3198"/>
      <c r="I125" s="3197"/>
    </row>
    <row r="126" spans="1:11" ht="18.75" customHeight="1">
      <c r="A126" s="3202" t="str">
        <f>IF(项目基本情况!B9="房地产市场价值","",MID(E111,3,LEN(E111)-2))</f>
        <v/>
      </c>
      <c r="B126" s="3202"/>
      <c r="C126" s="3202"/>
      <c r="D126" s="3191" t="str">
        <f>H111</f>
        <v>——</v>
      </c>
      <c r="E126" s="3192"/>
      <c r="F126" s="3192"/>
      <c r="G126" s="3192"/>
      <c r="H126" s="3192"/>
      <c r="I126" s="3193"/>
    </row>
    <row r="127" spans="1:11" ht="18.75" customHeight="1">
      <c r="A127" s="3151" t="s">
        <v>2315</v>
      </c>
      <c r="B127" s="3151"/>
      <c r="C127" s="3151"/>
      <c r="D127" s="3196" t="e">
        <f>NUMBERSTRING(INT(D126*10000),2)&amp;"元整"</f>
        <v>#VALUE!</v>
      </c>
      <c r="E127" s="3198"/>
      <c r="F127" s="3198"/>
      <c r="G127" s="3198"/>
      <c r="H127" s="3198"/>
      <c r="I127" s="3197"/>
    </row>
    <row r="128" spans="1:11" ht="21.75" customHeight="1">
      <c r="A128" s="3199" t="s">
        <v>2316</v>
      </c>
      <c r="B128" s="3199"/>
      <c r="C128" s="3199"/>
      <c r="D128" s="3199"/>
      <c r="E128" s="3199"/>
      <c r="F128" s="3199"/>
      <c r="G128" s="3199"/>
      <c r="H128" s="3199"/>
      <c r="I128" s="3199"/>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89"/>
    </row>
    <row r="135" spans="1:35" ht="21.75" customHeight="1">
      <c r="A135" s="789"/>
      <c r="B135" s="789"/>
      <c r="C135" s="789"/>
      <c r="D135" s="789"/>
      <c r="E135" s="789"/>
      <c r="F135" s="2534" t="s">
        <v>2319</v>
      </c>
      <c r="G135" s="2535"/>
      <c r="H135" s="2535"/>
      <c r="I135" s="2536" t="s">
        <v>2320</v>
      </c>
    </row>
    <row r="136" spans="1:35" ht="21.75" customHeight="1">
      <c r="A136" s="789"/>
      <c r="B136" s="2537" t="s">
        <v>2321</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5"/>
      <c r="C138" s="2535"/>
      <c r="D138" s="2535"/>
      <c r="E138" s="2535"/>
      <c r="F138" s="2535"/>
      <c r="G138" s="2535"/>
      <c r="H138" s="2535"/>
      <c r="I138" s="2536" t="s">
        <v>2322</v>
      </c>
    </row>
    <row r="139" spans="1:35" ht="21.75" customHeight="1">
      <c r="A139" s="789"/>
      <c r="B139" s="2537" t="s">
        <v>2323</v>
      </c>
      <c r="C139" s="789"/>
      <c r="D139" s="789"/>
      <c r="E139" s="789"/>
      <c r="F139" s="789"/>
      <c r="G139" s="789"/>
      <c r="H139" s="789"/>
      <c r="I139" s="789"/>
    </row>
    <row r="140" spans="1:35" ht="21.75" customHeight="1">
      <c r="A140" s="789"/>
      <c r="B140" s="2537"/>
      <c r="C140" s="789"/>
      <c r="D140" s="789"/>
      <c r="E140" s="789"/>
      <c r="F140" s="789"/>
      <c r="G140" s="789"/>
      <c r="H140" s="789"/>
      <c r="I140" s="789"/>
    </row>
    <row r="141" spans="1:35" ht="21.75" customHeight="1">
      <c r="A141" s="789"/>
      <c r="B141" s="2535"/>
      <c r="C141" s="2535"/>
      <c r="D141" s="2535"/>
      <c r="E141" s="2535"/>
      <c r="F141" s="2535"/>
      <c r="G141" s="2535"/>
      <c r="H141" s="2535"/>
      <c r="I141" s="2536" t="s">
        <v>2322</v>
      </c>
    </row>
    <row r="142" spans="1:35" ht="21.75" customHeight="1">
      <c r="A142" s="789"/>
      <c r="B142" s="2537"/>
      <c r="C142" s="2538"/>
      <c r="D142" s="2539"/>
      <c r="E142" s="2539"/>
      <c r="F142" s="2331"/>
      <c r="G142" s="789"/>
      <c r="H142" s="789"/>
      <c r="I142" s="789"/>
    </row>
    <row r="143" spans="1:35" s="138" customFormat="1" ht="21.75" customHeight="1">
      <c r="A143" s="789"/>
      <c r="B143" s="2537"/>
      <c r="C143" s="2538"/>
      <c r="D143" s="2539"/>
      <c r="E143" s="2539"/>
      <c r="F143" s="2331"/>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8"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8"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4"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4"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4"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4"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4"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4"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4"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4"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4"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4"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4"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4"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4"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4"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4"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4"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4"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4"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4"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4"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4"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4"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4"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4"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4"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4"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4"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4"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4"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4"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4"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4"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4"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4"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4"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4"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4"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4"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4"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4"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4"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4"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4"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4"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4"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4"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4"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4"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4"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4"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4"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4"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4"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4"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4"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4"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4"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4"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4"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4"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4"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4"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4"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4"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4"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4"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4"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4"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4"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4"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4"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4"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4"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4"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4"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4"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4"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4"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4"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4"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4"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4"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4"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4"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4"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4"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4"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4"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4"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4"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4"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4"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4"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4"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4"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4"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4"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4"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4"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4"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4"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4"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4"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4"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14">
    <tabColor rgb="FF00B0F0"/>
    <pageSetUpPr fitToPage="1"/>
  </sheetPr>
  <dimension ref="A1:AC132"/>
  <sheetViews>
    <sheetView tabSelected="1" topLeftCell="A2" zoomScale="85" zoomScaleNormal="85" workbookViewId="0">
      <selection activeCell="I5" sqref="I5:J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2526</v>
      </c>
      <c r="B1" s="2575" t="s">
        <v>2640</v>
      </c>
      <c r="C1" s="1629" t="s">
        <v>2528</v>
      </c>
      <c r="D1" s="1616" t="s">
        <v>3066</v>
      </c>
      <c r="E1" s="2650"/>
      <c r="F1" s="2577" t="s">
        <v>3074</v>
      </c>
      <c r="G1" s="1626" t="s">
        <v>2641</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7" customFormat="1" ht="28.5" customHeight="1" thickTop="1">
      <c r="A2" s="1612" t="s">
        <v>2325</v>
      </c>
      <c r="B2" s="1413">
        <f>IF(C2="——",ROUND(C49*D3/10000,0),ROUND(C49*D3/10000,0)-D2)</f>
        <v>2481</v>
      </c>
      <c r="C2" s="2579" t="s">
        <v>70</v>
      </c>
      <c r="D2" s="1360">
        <f ca="1">SUMIF(INDIRECT("'"&amp;F2&amp;"'"&amp;"!A:A"),"承租人权益价值",INDIRECT("'"&amp;F2&amp;"'"&amp;"!c:c"))</f>
        <v>0</v>
      </c>
      <c r="E2" s="2580" t="s">
        <v>2326</v>
      </c>
      <c r="F2" s="2581" t="s">
        <v>3075</v>
      </c>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2327</v>
      </c>
      <c r="B3" s="608">
        <f>IF(C2="——",C49,ROUND(B2*10000/D3,0))</f>
        <v>31379</v>
      </c>
      <c r="C3" s="399" t="s">
        <v>2642</v>
      </c>
      <c r="D3" s="398">
        <f>IF(D1="",'数据-汇总表'!E3,SUMIF('数据-汇总表'!$C19:$C33,D1,'数据-汇总表'!$E19:$E33))</f>
        <v>790.58</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4" t="s">
        <v>2646</v>
      </c>
      <c r="AC4" s="3271" t="s">
        <v>2647</v>
      </c>
    </row>
    <row r="5" spans="1:29" ht="15">
      <c r="A5" s="403"/>
      <c r="B5" s="404"/>
      <c r="C5" s="3283" t="s">
        <v>3220</v>
      </c>
      <c r="D5" s="3284"/>
      <c r="E5" s="3281" t="s">
        <v>3382</v>
      </c>
      <c r="F5" s="3282"/>
      <c r="G5" s="3283" t="s">
        <v>3383</v>
      </c>
      <c r="H5" s="3284"/>
      <c r="I5" s="3283" t="s">
        <v>3244</v>
      </c>
      <c r="J5" s="3284"/>
      <c r="K5" s="609"/>
      <c r="L5" s="1127"/>
      <c r="M5" s="1128"/>
      <c r="N5" s="1128"/>
      <c r="O5" s="1128"/>
      <c r="P5" s="3296"/>
      <c r="Q5" s="3297"/>
      <c r="R5" s="3279"/>
      <c r="S5" s="3280"/>
      <c r="T5" s="3279"/>
      <c r="U5" s="3280"/>
      <c r="V5" s="3274"/>
      <c r="W5" s="3274"/>
      <c r="X5" s="1808"/>
      <c r="Y5" s="3279"/>
      <c r="Z5" s="3280"/>
      <c r="AA5" s="3272"/>
      <c r="AB5" s="3274"/>
      <c r="AC5" s="3272"/>
    </row>
    <row r="6" spans="1:29" ht="15.75" thickBot="1">
      <c r="A6" s="405"/>
      <c r="B6" s="406"/>
      <c r="C6" s="3285" t="s">
        <v>3246</v>
      </c>
      <c r="D6" s="3286"/>
      <c r="E6" s="3287" t="s">
        <v>3243</v>
      </c>
      <c r="F6" s="3288"/>
      <c r="G6" s="3285" t="s">
        <v>3213</v>
      </c>
      <c r="H6" s="3286"/>
      <c r="I6" s="3285" t="s">
        <v>3245</v>
      </c>
      <c r="J6" s="3286"/>
      <c r="K6" s="609" t="s">
        <v>2545</v>
      </c>
      <c r="L6" s="1127"/>
      <c r="M6" s="1128"/>
      <c r="N6" s="1128"/>
      <c r="O6" s="1128"/>
      <c r="P6" s="3298"/>
      <c r="Q6" s="3299"/>
      <c r="R6" s="3279"/>
      <c r="S6" s="3280"/>
      <c r="T6" s="3300"/>
      <c r="U6" s="3301"/>
      <c r="V6" s="3274"/>
      <c r="W6" s="3274"/>
      <c r="X6" s="1808"/>
      <c r="Y6" s="3300"/>
      <c r="Z6" s="3301"/>
      <c r="AA6" s="3273"/>
      <c r="AB6" s="3274"/>
      <c r="AC6" s="3273"/>
    </row>
    <row r="7" spans="1:29" s="116" customFormat="1" ht="15.75" thickBot="1">
      <c r="A7" s="407" t="s">
        <v>2546</v>
      </c>
      <c r="B7" s="408"/>
      <c r="C7" s="409">
        <f>'数据-取费表'!B2</f>
        <v>43209</v>
      </c>
      <c r="D7" s="410">
        <v>100</v>
      </c>
      <c r="E7" s="411">
        <f>C7</f>
        <v>43209</v>
      </c>
      <c r="F7" s="412">
        <f>SUMIF(58:58,YEAR(E7)&amp;"-"&amp;MONTH(E7),59:59)</f>
        <v>100</v>
      </c>
      <c r="G7" s="411">
        <f>C7</f>
        <v>43209</v>
      </c>
      <c r="H7" s="410">
        <f>SUMIF(58:58,YEAR(G7)&amp;"-"&amp;MONTH(G7),59:59)</f>
        <v>100</v>
      </c>
      <c r="I7" s="411">
        <f>C7</f>
        <v>43209</v>
      </c>
      <c r="J7" s="410">
        <f>SUMIF(58:58,YEAR(I7)&amp;"-"&amp;MONTH(I7),59:59)</f>
        <v>100</v>
      </c>
      <c r="K7" s="610"/>
      <c r="L7" s="1129"/>
      <c r="M7" s="1130"/>
      <c r="N7" s="1130"/>
      <c r="O7" s="1130"/>
      <c r="P7" s="3275" t="s">
        <v>2547</v>
      </c>
      <c r="Q7" s="3302"/>
      <c r="R7" s="764" t="s">
        <v>17</v>
      </c>
      <c r="S7" s="765">
        <f t="shared" ref="S7:S15" si="0">F7</f>
        <v>100</v>
      </c>
      <c r="T7" s="764" t="s">
        <v>17</v>
      </c>
      <c r="U7" s="765">
        <f t="shared" ref="U7:U15" si="1">H7</f>
        <v>100</v>
      </c>
      <c r="V7" s="764" t="s">
        <v>17</v>
      </c>
      <c r="W7" s="765">
        <f t="shared" ref="W7:W15" si="2">J7</f>
        <v>100</v>
      </c>
      <c r="X7" s="766"/>
      <c r="Y7" s="3275" t="s">
        <v>2547</v>
      </c>
      <c r="Z7" s="3276"/>
      <c r="AA7" s="767">
        <f>D7/F7</f>
        <v>1</v>
      </c>
      <c r="AB7" s="767">
        <f>D7/H7</f>
        <v>1</v>
      </c>
      <c r="AC7" s="767">
        <f>D7/J7</f>
        <v>1</v>
      </c>
    </row>
    <row r="8" spans="1:29" s="116" customFormat="1" ht="15.75" thickBot="1">
      <c r="A8" s="407" t="s">
        <v>2548</v>
      </c>
      <c r="B8" s="408"/>
      <c r="C8" s="413" t="s">
        <v>2650</v>
      </c>
      <c r="D8" s="410">
        <v>100</v>
      </c>
      <c r="E8" s="413" t="s">
        <v>3076</v>
      </c>
      <c r="F8" s="412">
        <f>SUMIF(61:61,E8,62:62)-SUMIF(61:61,C8,62:62)+100</f>
        <v>100</v>
      </c>
      <c r="G8" s="413" t="s">
        <v>3076</v>
      </c>
      <c r="H8" s="410">
        <f>SUMIF(61:61,G8,62:62)-SUMIF(61:61,C8,62:62)+100</f>
        <v>100</v>
      </c>
      <c r="I8" s="413" t="s">
        <v>3076</v>
      </c>
      <c r="J8" s="410">
        <f>SUMIF(61:61,I8,62:62)-SUMIF(61:61,C8,62:62)+100</f>
        <v>100</v>
      </c>
      <c r="K8" s="610"/>
      <c r="L8" s="1129"/>
      <c r="M8" s="1130"/>
      <c r="N8" s="1130"/>
      <c r="O8" s="1130"/>
      <c r="P8" s="3275" t="s">
        <v>2550</v>
      </c>
      <c r="Q8" s="3276"/>
      <c r="R8" s="764" t="s">
        <v>17</v>
      </c>
      <c r="S8" s="765">
        <f t="shared" si="0"/>
        <v>100</v>
      </c>
      <c r="T8" s="764" t="s">
        <v>17</v>
      </c>
      <c r="U8" s="765">
        <f t="shared" si="1"/>
        <v>100</v>
      </c>
      <c r="V8" s="764" t="s">
        <v>17</v>
      </c>
      <c r="W8" s="765">
        <f t="shared" si="2"/>
        <v>100</v>
      </c>
      <c r="X8" s="766"/>
      <c r="Y8" s="3275" t="s">
        <v>2550</v>
      </c>
      <c r="Z8" s="3276"/>
      <c r="AA8" s="767">
        <f t="shared" ref="AA8:AA46" si="3">D8/F8</f>
        <v>1</v>
      </c>
      <c r="AB8" s="767">
        <f t="shared" ref="AB8:AB46" si="4">D8/H8</f>
        <v>1</v>
      </c>
      <c r="AC8" s="767">
        <f t="shared" ref="AC8:AC46" si="5">D8/J8</f>
        <v>1</v>
      </c>
    </row>
    <row r="9" spans="1:29" s="116" customFormat="1">
      <c r="A9" s="414" t="s">
        <v>2551</v>
      </c>
      <c r="B9" s="70" t="s">
        <v>2552</v>
      </c>
      <c r="C9" s="2940" t="s">
        <v>3077</v>
      </c>
      <c r="D9" s="134">
        <v>100</v>
      </c>
      <c r="E9" s="416" t="s">
        <v>1377</v>
      </c>
      <c r="F9" s="417">
        <f>SUMIF(63:63,E9,64:64)-SUMIF(63:63,C9,64:64)+100</f>
        <v>100</v>
      </c>
      <c r="G9" s="416" t="s">
        <v>1377</v>
      </c>
      <c r="H9" s="134">
        <f>SUMIF(63:63,G9,64:64)-SUMIF(63:63,C9,64:64)+100</f>
        <v>100</v>
      </c>
      <c r="I9" s="416" t="s">
        <v>1377</v>
      </c>
      <c r="J9" s="134">
        <f>SUMIF(63:63,I9,64:64)-SUMIF(63:63,C9,64:64)+100</f>
        <v>100</v>
      </c>
      <c r="K9" s="610"/>
      <c r="L9" s="1129"/>
      <c r="M9" s="1130"/>
      <c r="N9" s="1130"/>
      <c r="O9" s="1130"/>
      <c r="P9" s="3289"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767">
        <f t="shared" si="5"/>
        <v>1</v>
      </c>
    </row>
    <row r="10" spans="1:29" s="426" customFormat="1" ht="27">
      <c r="A10" s="420"/>
      <c r="B10" s="421" t="s">
        <v>2555</v>
      </c>
      <c r="C10" s="2947" t="s">
        <v>3367</v>
      </c>
      <c r="D10" s="135">
        <v>100</v>
      </c>
      <c r="E10" s="2948" t="s">
        <v>3123</v>
      </c>
      <c r="F10" s="424">
        <f>SUMIF(65:65,E10,66:66)-SUMIF(65:65,C10,66:66)+100</f>
        <v>102</v>
      </c>
      <c r="G10" s="2947" t="s">
        <v>3123</v>
      </c>
      <c r="H10" s="135">
        <f>SUMIF(65:65,G10,66:66)-SUMIF(65:65,C10,66:66)+100</f>
        <v>102</v>
      </c>
      <c r="I10" s="2947" t="s">
        <v>3123</v>
      </c>
      <c r="J10" s="135">
        <f>SUMIF(65:65,I10,66:66)-SUMIF(65:65,C10,66:66)+100</f>
        <v>102</v>
      </c>
      <c r="K10" s="611">
        <v>2</v>
      </c>
      <c r="L10" s="1132"/>
      <c r="M10" s="1133"/>
      <c r="N10" s="1133"/>
      <c r="O10" s="1133"/>
      <c r="P10" s="3289"/>
      <c r="Q10" s="1790" t="str">
        <f t="shared" si="6"/>
        <v>土地使用年限（年）</v>
      </c>
      <c r="R10" s="764" t="s">
        <v>17</v>
      </c>
      <c r="S10" s="765">
        <f t="shared" si="0"/>
        <v>102</v>
      </c>
      <c r="T10" s="764" t="s">
        <v>17</v>
      </c>
      <c r="U10" s="765">
        <f t="shared" si="1"/>
        <v>102</v>
      </c>
      <c r="V10" s="764" t="s">
        <v>17</v>
      </c>
      <c r="W10" s="765">
        <f t="shared" si="2"/>
        <v>102</v>
      </c>
      <c r="X10" s="766"/>
      <c r="Y10" s="3151"/>
      <c r="Z10" s="54" t="str">
        <f t="shared" si="7"/>
        <v>土地使用年限（年）</v>
      </c>
      <c r="AA10" s="767">
        <f t="shared" si="3"/>
        <v>0.98039215686274506</v>
      </c>
      <c r="AB10" s="767">
        <f t="shared" si="4"/>
        <v>0.98039215686274506</v>
      </c>
      <c r="AC10" s="767">
        <f t="shared" si="5"/>
        <v>0.98039215686274506</v>
      </c>
    </row>
    <row r="11" spans="1:29" ht="15.75" thickBot="1">
      <c r="A11" s="427"/>
      <c r="B11" s="421" t="s">
        <v>2556</v>
      </c>
      <c r="C11" s="428">
        <v>3.5</v>
      </c>
      <c r="D11" s="135">
        <v>100</v>
      </c>
      <c r="E11" s="3038">
        <v>3.5</v>
      </c>
      <c r="F11" s="3039">
        <f>LOOKUP(E11,68:68,69:69)-LOOKUP(C11,68:68,69:69)+100</f>
        <v>100</v>
      </c>
      <c r="G11" s="3040">
        <v>3.5</v>
      </c>
      <c r="H11" s="3041">
        <f>LOOKUP(G11,68:68,69:69)-LOOKUP(C11,68:68,69:69)+100</f>
        <v>100</v>
      </c>
      <c r="I11" s="3040">
        <v>3.2</v>
      </c>
      <c r="J11" s="3041">
        <f>LOOKUP(I11,68:68,69:69)-LOOKUP(C11,68:68,69:69)+100</f>
        <v>100</v>
      </c>
      <c r="K11" s="611">
        <v>5</v>
      </c>
      <c r="L11" s="1135"/>
      <c r="M11" s="1128"/>
      <c r="N11" s="1128"/>
      <c r="O11" s="1128"/>
      <c r="P11" s="3289"/>
      <c r="Q11" s="1790" t="str">
        <f t="shared" si="6"/>
        <v>容积率</v>
      </c>
      <c r="R11" s="764" t="s">
        <v>17</v>
      </c>
      <c r="S11" s="765">
        <f t="shared" si="0"/>
        <v>100</v>
      </c>
      <c r="T11" s="764" t="s">
        <v>17</v>
      </c>
      <c r="U11" s="765">
        <f t="shared" si="1"/>
        <v>100</v>
      </c>
      <c r="V11" s="764" t="s">
        <v>17</v>
      </c>
      <c r="W11" s="765">
        <f t="shared" si="2"/>
        <v>100</v>
      </c>
      <c r="X11" s="766"/>
      <c r="Y11" s="3151"/>
      <c r="Z11" s="54" t="str">
        <f t="shared" si="7"/>
        <v>容积率</v>
      </c>
      <c r="AA11" s="767">
        <f t="shared" si="3"/>
        <v>1</v>
      </c>
      <c r="AB11" s="767">
        <f t="shared" si="4"/>
        <v>1</v>
      </c>
      <c r="AC11" s="767">
        <f t="shared" si="5"/>
        <v>1</v>
      </c>
    </row>
    <row r="12" spans="1:29" s="116" customFormat="1" ht="15" hidden="1">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89"/>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767">
        <f>D12/J12</f>
        <v>1</v>
      </c>
    </row>
    <row r="13" spans="1:29" ht="15" hidden="1">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89"/>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767">
        <f t="shared" si="5"/>
        <v>1</v>
      </c>
    </row>
    <row r="14" spans="1:29" ht="15.75" hidden="1"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89"/>
      <c r="Q14" s="1790">
        <f t="shared" si="6"/>
        <v>111</v>
      </c>
      <c r="R14" s="764" t="s">
        <v>17</v>
      </c>
      <c r="S14" s="765">
        <f t="shared" si="0"/>
        <v>100</v>
      </c>
      <c r="T14" s="764" t="s">
        <v>17</v>
      </c>
      <c r="U14" s="765">
        <f t="shared" si="1"/>
        <v>100</v>
      </c>
      <c r="V14" s="764" t="s">
        <v>17</v>
      </c>
      <c r="W14" s="765">
        <f t="shared" si="2"/>
        <v>100</v>
      </c>
      <c r="X14" s="766"/>
      <c r="Y14" s="3151"/>
      <c r="Z14" s="54">
        <f t="shared" si="7"/>
        <v>111</v>
      </c>
      <c r="AA14" s="767">
        <f t="shared" si="3"/>
        <v>1</v>
      </c>
      <c r="AB14" s="767">
        <f t="shared" si="4"/>
        <v>1</v>
      </c>
      <c r="AC14" s="767">
        <f t="shared" si="5"/>
        <v>1</v>
      </c>
    </row>
    <row r="15" spans="1:29" ht="71.25">
      <c r="A15" s="439" t="s">
        <v>2557</v>
      </c>
      <c r="B15" s="68" t="s">
        <v>2651</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v>3</v>
      </c>
      <c r="L15" s="1137"/>
      <c r="M15" s="1128"/>
      <c r="N15" s="1128"/>
      <c r="O15" s="1128"/>
      <c r="P15" s="3303" t="s">
        <v>2558</v>
      </c>
      <c r="Q15" s="1805" t="str">
        <f t="shared" si="6"/>
        <v>商业繁华度</v>
      </c>
      <c r="R15" s="768" t="s">
        <v>17</v>
      </c>
      <c r="S15" s="769">
        <f t="shared" si="0"/>
        <v>100</v>
      </c>
      <c r="T15" s="768" t="s">
        <v>17</v>
      </c>
      <c r="U15" s="769">
        <f t="shared" si="1"/>
        <v>100</v>
      </c>
      <c r="V15" s="768" t="s">
        <v>17</v>
      </c>
      <c r="W15" s="769">
        <f t="shared" si="2"/>
        <v>100</v>
      </c>
      <c r="X15" s="1808"/>
      <c r="Y15" s="3305" t="s">
        <v>2558</v>
      </c>
      <c r="Z15" s="1809" t="str">
        <f t="shared" si="7"/>
        <v>商业繁华度</v>
      </c>
      <c r="AA15" s="1806">
        <f t="shared" si="3"/>
        <v>1</v>
      </c>
      <c r="AB15" s="1806">
        <f t="shared" si="4"/>
        <v>1</v>
      </c>
      <c r="AC15" s="1806">
        <f t="shared" si="5"/>
        <v>1</v>
      </c>
    </row>
    <row r="16" spans="1:29" ht="15">
      <c r="A16" s="427"/>
      <c r="B16" s="445"/>
      <c r="C16" s="446" t="s">
        <v>3078</v>
      </c>
      <c r="D16" s="447"/>
      <c r="E16" s="446" t="s">
        <v>3078</v>
      </c>
      <c r="F16" s="448"/>
      <c r="G16" s="446" t="s">
        <v>3078</v>
      </c>
      <c r="H16" s="449"/>
      <c r="I16" s="446" t="s">
        <v>3078</v>
      </c>
      <c r="J16" s="447"/>
      <c r="K16" s="614"/>
      <c r="L16" s="1137"/>
      <c r="M16" s="1128"/>
      <c r="N16" s="1128"/>
      <c r="O16" s="1128"/>
      <c r="P16" s="3304"/>
      <c r="Q16" s="1805"/>
      <c r="R16" s="768"/>
      <c r="S16" s="769"/>
      <c r="T16" s="768"/>
      <c r="U16" s="769"/>
      <c r="V16" s="768"/>
      <c r="W16" s="769"/>
      <c r="X16" s="1808"/>
      <c r="Y16" s="3306"/>
      <c r="Z16" s="1809"/>
      <c r="AA16" s="1806">
        <v>1</v>
      </c>
      <c r="AB16" s="1806">
        <v>1</v>
      </c>
      <c r="AC16" s="1806">
        <v>1</v>
      </c>
    </row>
    <row r="17" spans="1:29" ht="85.5">
      <c r="A17" s="427"/>
      <c r="B17" s="450" t="s">
        <v>2094</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v>3</v>
      </c>
      <c r="L17" s="1137"/>
      <c r="M17" s="1128"/>
      <c r="N17" s="1128"/>
      <c r="O17" s="1128"/>
      <c r="P17" s="3304"/>
      <c r="Q17" s="1805" t="str">
        <f>B17</f>
        <v>交通便捷度</v>
      </c>
      <c r="R17" s="768" t="s">
        <v>17</v>
      </c>
      <c r="S17" s="769">
        <f>F17</f>
        <v>100</v>
      </c>
      <c r="T17" s="768" t="s">
        <v>17</v>
      </c>
      <c r="U17" s="769">
        <f>H17</f>
        <v>100</v>
      </c>
      <c r="V17" s="768" t="s">
        <v>17</v>
      </c>
      <c r="W17" s="769">
        <f>J17</f>
        <v>100</v>
      </c>
      <c r="X17" s="1808"/>
      <c r="Y17" s="3306"/>
      <c r="Z17" s="1809" t="str">
        <f>Q17</f>
        <v>交通便捷度</v>
      </c>
      <c r="AA17" s="1806">
        <f t="shared" si="3"/>
        <v>1</v>
      </c>
      <c r="AB17" s="1806">
        <f t="shared" si="4"/>
        <v>1</v>
      </c>
      <c r="AC17" s="1806">
        <f t="shared" si="5"/>
        <v>1</v>
      </c>
    </row>
    <row r="18" spans="1:29" ht="15">
      <c r="A18" s="427"/>
      <c r="B18" s="455"/>
      <c r="C18" s="2601" t="s">
        <v>3078</v>
      </c>
      <c r="D18" s="449"/>
      <c r="E18" s="2603" t="s">
        <v>3078</v>
      </c>
      <c r="F18" s="452"/>
      <c r="G18" s="2602" t="s">
        <v>3078</v>
      </c>
      <c r="H18" s="447"/>
      <c r="I18" s="2603" t="s">
        <v>3078</v>
      </c>
      <c r="J18" s="447"/>
      <c r="K18" s="614"/>
      <c r="L18" s="1137"/>
      <c r="M18" s="1128"/>
      <c r="N18" s="1128"/>
      <c r="O18" s="1128"/>
      <c r="P18" s="3304"/>
      <c r="Q18" s="1805"/>
      <c r="R18" s="768"/>
      <c r="S18" s="769"/>
      <c r="T18" s="768"/>
      <c r="U18" s="769"/>
      <c r="V18" s="768"/>
      <c r="W18" s="769"/>
      <c r="X18" s="1808"/>
      <c r="Y18" s="3306"/>
      <c r="Z18" s="1809"/>
      <c r="AA18" s="1806">
        <v>1</v>
      </c>
      <c r="AB18" s="1806">
        <v>1</v>
      </c>
      <c r="AC18" s="1806">
        <v>1</v>
      </c>
    </row>
    <row r="19" spans="1:29" ht="42.75">
      <c r="A19" s="427"/>
      <c r="B19" s="450" t="s">
        <v>2652</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v>3</v>
      </c>
      <c r="L19" s="1137"/>
      <c r="M19" s="1128"/>
      <c r="N19" s="1128"/>
      <c r="O19" s="1128"/>
      <c r="P19" s="3304"/>
      <c r="Q19" s="1805" t="str">
        <f>B19</f>
        <v>公共配套设施</v>
      </c>
      <c r="R19" s="768" t="s">
        <v>17</v>
      </c>
      <c r="S19" s="769">
        <f>F19</f>
        <v>100</v>
      </c>
      <c r="T19" s="768" t="s">
        <v>17</v>
      </c>
      <c r="U19" s="769">
        <f>H19</f>
        <v>100</v>
      </c>
      <c r="V19" s="768" t="s">
        <v>17</v>
      </c>
      <c r="W19" s="769">
        <f>J19</f>
        <v>100</v>
      </c>
      <c r="X19" s="1808"/>
      <c r="Y19" s="3306"/>
      <c r="Z19" s="1809" t="str">
        <f>Q19</f>
        <v>公共配套设施</v>
      </c>
      <c r="AA19" s="1806">
        <f t="shared" si="3"/>
        <v>1</v>
      </c>
      <c r="AB19" s="1806">
        <f t="shared" si="4"/>
        <v>1</v>
      </c>
      <c r="AC19" s="1806">
        <f t="shared" si="5"/>
        <v>1</v>
      </c>
    </row>
    <row r="20" spans="1:29" ht="15">
      <c r="A20" s="427"/>
      <c r="B20" s="455"/>
      <c r="C20" s="446" t="s">
        <v>3078</v>
      </c>
      <c r="D20" s="447"/>
      <c r="E20" s="2598" t="s">
        <v>3078</v>
      </c>
      <c r="F20" s="448"/>
      <c r="G20" s="2597" t="s">
        <v>3078</v>
      </c>
      <c r="H20" s="447"/>
      <c r="I20" s="2598" t="s">
        <v>3078</v>
      </c>
      <c r="J20" s="447"/>
      <c r="K20" s="614"/>
      <c r="L20" s="1137"/>
      <c r="M20" s="1128"/>
      <c r="N20" s="1128"/>
      <c r="O20" s="1128"/>
      <c r="P20" s="3304"/>
      <c r="Q20" s="1805"/>
      <c r="R20" s="768"/>
      <c r="S20" s="769"/>
      <c r="T20" s="768"/>
      <c r="U20" s="769"/>
      <c r="V20" s="768"/>
      <c r="W20" s="769"/>
      <c r="X20" s="1808"/>
      <c r="Y20" s="3306"/>
      <c r="Z20" s="1809"/>
      <c r="AA20" s="1806">
        <v>1</v>
      </c>
      <c r="AB20" s="1806">
        <v>1</v>
      </c>
      <c r="AC20" s="1806">
        <v>1</v>
      </c>
    </row>
    <row r="21" spans="1:29" ht="28.5">
      <c r="A21" s="427"/>
      <c r="B21" s="1379" t="s">
        <v>2653</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v>1</v>
      </c>
      <c r="L21" s="1137"/>
      <c r="M21" s="1128"/>
      <c r="N21" s="1128"/>
      <c r="O21" s="1128"/>
      <c r="P21" s="3304"/>
      <c r="Q21" s="1805" t="str">
        <f>B21</f>
        <v>基础设施水平</v>
      </c>
      <c r="R21" s="768" t="s">
        <v>17</v>
      </c>
      <c r="S21" s="769">
        <f>F21</f>
        <v>100</v>
      </c>
      <c r="T21" s="768" t="s">
        <v>17</v>
      </c>
      <c r="U21" s="769">
        <f>H21</f>
        <v>100</v>
      </c>
      <c r="V21" s="768" t="s">
        <v>17</v>
      </c>
      <c r="W21" s="769">
        <f>J21</f>
        <v>100</v>
      </c>
      <c r="X21" s="1808"/>
      <c r="Y21" s="3306"/>
      <c r="Z21" s="1809" t="str">
        <f>Q21</f>
        <v>基础设施水平</v>
      </c>
      <c r="AA21" s="1806">
        <f t="shared" ref="AA21" si="8">D21/F21</f>
        <v>1</v>
      </c>
      <c r="AB21" s="1806">
        <f t="shared" ref="AB21" si="9">D21/H21</f>
        <v>1</v>
      </c>
      <c r="AC21" s="1806">
        <f t="shared" ref="AC21" si="10">D21/J21</f>
        <v>1</v>
      </c>
    </row>
    <row r="22" spans="1:29" ht="15">
      <c r="A22" s="427"/>
      <c r="B22" s="1379"/>
      <c r="C22" s="2601" t="s">
        <v>3079</v>
      </c>
      <c r="D22" s="447"/>
      <c r="E22" s="446" t="s">
        <v>3079</v>
      </c>
      <c r="F22" s="448"/>
      <c r="G22" s="446" t="s">
        <v>3079</v>
      </c>
      <c r="H22" s="447"/>
      <c r="I22" s="446" t="s">
        <v>3079</v>
      </c>
      <c r="J22" s="447"/>
      <c r="K22" s="1378"/>
      <c r="L22" s="1137"/>
      <c r="M22" s="1128"/>
      <c r="N22" s="1128"/>
      <c r="O22" s="1128"/>
      <c r="P22" s="3304"/>
      <c r="Q22" s="1805"/>
      <c r="R22" s="768"/>
      <c r="S22" s="769"/>
      <c r="T22" s="768"/>
      <c r="U22" s="769"/>
      <c r="V22" s="768"/>
      <c r="W22" s="769"/>
      <c r="X22" s="1808"/>
      <c r="Y22" s="3306"/>
      <c r="Z22" s="1809"/>
      <c r="AA22" s="1806">
        <v>1</v>
      </c>
      <c r="AB22" s="1806">
        <v>1</v>
      </c>
      <c r="AC22" s="1806">
        <v>1</v>
      </c>
    </row>
    <row r="23" spans="1:29" ht="57">
      <c r="A23" s="427"/>
      <c r="B23" s="450" t="s">
        <v>2099</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v>3</v>
      </c>
      <c r="L23" s="1137"/>
      <c r="M23" s="1128"/>
      <c r="N23" s="1128"/>
      <c r="O23" s="1128"/>
      <c r="P23" s="3304"/>
      <c r="Q23" s="1805" t="str">
        <f>B23</f>
        <v>自然及人文环境</v>
      </c>
      <c r="R23" s="768" t="s">
        <v>17</v>
      </c>
      <c r="S23" s="769">
        <f>F23</f>
        <v>100</v>
      </c>
      <c r="T23" s="768" t="s">
        <v>17</v>
      </c>
      <c r="U23" s="769">
        <f>H23</f>
        <v>100</v>
      </c>
      <c r="V23" s="768" t="s">
        <v>17</v>
      </c>
      <c r="W23" s="769">
        <f>J23</f>
        <v>100</v>
      </c>
      <c r="X23" s="1808"/>
      <c r="Y23" s="3306"/>
      <c r="Z23" s="1809" t="str">
        <f>Q23</f>
        <v>自然及人文环境</v>
      </c>
      <c r="AA23" s="1806">
        <f t="shared" si="3"/>
        <v>1</v>
      </c>
      <c r="AB23" s="1806">
        <f t="shared" si="4"/>
        <v>1</v>
      </c>
      <c r="AC23" s="1806">
        <f t="shared" si="5"/>
        <v>1</v>
      </c>
    </row>
    <row r="24" spans="1:29" ht="15">
      <c r="A24" s="427"/>
      <c r="B24" s="455"/>
      <c r="C24" s="446" t="s">
        <v>3078</v>
      </c>
      <c r="D24" s="447"/>
      <c r="E24" s="2598" t="s">
        <v>3078</v>
      </c>
      <c r="F24" s="448"/>
      <c r="G24" s="2597" t="s">
        <v>3078</v>
      </c>
      <c r="H24" s="447"/>
      <c r="I24" s="2598" t="s">
        <v>3078</v>
      </c>
      <c r="J24" s="447"/>
      <c r="K24" s="614"/>
      <c r="L24" s="1137"/>
      <c r="M24" s="1128"/>
      <c r="N24" s="1128"/>
      <c r="O24" s="1128"/>
      <c r="P24" s="3304"/>
      <c r="Q24" s="1805"/>
      <c r="R24" s="768"/>
      <c r="S24" s="769"/>
      <c r="T24" s="768"/>
      <c r="U24" s="769"/>
      <c r="V24" s="768"/>
      <c r="W24" s="769"/>
      <c r="X24" s="1808"/>
      <c r="Y24" s="3306"/>
      <c r="Z24" s="1809"/>
      <c r="AA24" s="1806">
        <v>1</v>
      </c>
      <c r="AB24" s="1806">
        <v>1</v>
      </c>
      <c r="AC24" s="1806">
        <v>1</v>
      </c>
    </row>
    <row r="25" spans="1:29" ht="15">
      <c r="A25" s="427"/>
      <c r="B25" s="421" t="s">
        <v>2654</v>
      </c>
      <c r="C25" s="615" t="s">
        <v>3082</v>
      </c>
      <c r="D25" s="434">
        <v>100</v>
      </c>
      <c r="E25" s="615" t="s">
        <v>3082</v>
      </c>
      <c r="F25" s="460">
        <f>SUMIF(86:86,E25,87:87)-SUMIF(86:86,C25,87:87)+100</f>
        <v>100</v>
      </c>
      <c r="G25" s="615" t="s">
        <v>3082</v>
      </c>
      <c r="H25" s="434">
        <f>SUMIF(86:86,G25,87:87)-SUMIF(86:86,C25,87:87)+100</f>
        <v>100</v>
      </c>
      <c r="I25" s="615" t="s">
        <v>3082</v>
      </c>
      <c r="J25" s="434">
        <f>SUMIF(86:86,I25,87:87)-SUMIF(86:86,C25,87:87)+100</f>
        <v>100</v>
      </c>
      <c r="K25" s="611">
        <v>3</v>
      </c>
      <c r="L25" s="1137"/>
      <c r="M25" s="1128"/>
      <c r="N25" s="1128"/>
      <c r="O25" s="1128"/>
      <c r="P25" s="3304"/>
      <c r="Q25" s="1805" t="str">
        <f t="shared" ref="Q25:Q46" si="11">B25</f>
        <v>临街状况</v>
      </c>
      <c r="R25" s="768" t="s">
        <v>17</v>
      </c>
      <c r="S25" s="769">
        <f>F25</f>
        <v>100</v>
      </c>
      <c r="T25" s="768" t="s">
        <v>17</v>
      </c>
      <c r="U25" s="769">
        <f>H25</f>
        <v>100</v>
      </c>
      <c r="V25" s="768" t="s">
        <v>17</v>
      </c>
      <c r="W25" s="769">
        <f>J25</f>
        <v>100</v>
      </c>
      <c r="X25" s="1808"/>
      <c r="Y25" s="3306"/>
      <c r="Z25" s="1809" t="str">
        <f>Q25</f>
        <v>临街状况</v>
      </c>
      <c r="AA25" s="1806">
        <f t="shared" si="3"/>
        <v>1</v>
      </c>
      <c r="AB25" s="1806">
        <f t="shared" si="4"/>
        <v>1</v>
      </c>
      <c r="AC25" s="1806">
        <f t="shared" si="5"/>
        <v>1</v>
      </c>
    </row>
    <row r="26" spans="1:29" ht="15">
      <c r="A26" s="427"/>
      <c r="B26" s="1381" t="s">
        <v>2655</v>
      </c>
      <c r="C26" s="2945" t="s">
        <v>3086</v>
      </c>
      <c r="D26" s="434">
        <v>100</v>
      </c>
      <c r="E26" s="2945" t="s">
        <v>3086</v>
      </c>
      <c r="F26" s="460">
        <f>SUMIF(88:88,E26,89:89)-SUMIF(88:88,C26,89:89)+100</f>
        <v>100</v>
      </c>
      <c r="G26" s="2945" t="s">
        <v>3086</v>
      </c>
      <c r="H26" s="434">
        <f>SUMIF(88:88,G26,89:89)-SUMIF(88:88,C26,89:89)+100</f>
        <v>100</v>
      </c>
      <c r="I26" s="2945" t="s">
        <v>3086</v>
      </c>
      <c r="J26" s="434">
        <f>SUMIF(88:88,I26,89:89)-SUMIF(88:88,C26,89:89)+100</f>
        <v>100</v>
      </c>
      <c r="K26" s="612"/>
      <c r="L26" s="1137"/>
      <c r="M26" s="1128"/>
      <c r="N26" s="1128"/>
      <c r="O26" s="1128"/>
      <c r="P26" s="3304"/>
      <c r="Q26" s="1805" t="str">
        <f t="shared" si="11"/>
        <v>平面位置/可视性</v>
      </c>
      <c r="R26" s="768" t="s">
        <v>17</v>
      </c>
      <c r="S26" s="769">
        <f>F26</f>
        <v>100</v>
      </c>
      <c r="T26" s="768" t="s">
        <v>17</v>
      </c>
      <c r="U26" s="769">
        <f>H26</f>
        <v>100</v>
      </c>
      <c r="V26" s="768" t="s">
        <v>17</v>
      </c>
      <c r="W26" s="769">
        <f>J26</f>
        <v>100</v>
      </c>
      <c r="X26" s="1808"/>
      <c r="Y26" s="3306"/>
      <c r="Z26" s="1809" t="str">
        <f>Q26</f>
        <v>平面位置/可视性</v>
      </c>
      <c r="AA26" s="1806">
        <f t="shared" si="3"/>
        <v>1</v>
      </c>
      <c r="AB26" s="1806">
        <f t="shared" si="4"/>
        <v>1</v>
      </c>
      <c r="AC26" s="1806">
        <f t="shared" si="5"/>
        <v>1</v>
      </c>
    </row>
    <row r="27" spans="1:29" s="116" customFormat="1" ht="15.75">
      <c r="A27" s="430"/>
      <c r="B27" s="450" t="s">
        <v>2656</v>
      </c>
      <c r="C27" s="2658" t="s">
        <v>3078</v>
      </c>
      <c r="D27" s="461">
        <v>100</v>
      </c>
      <c r="E27" s="2658" t="s">
        <v>3078</v>
      </c>
      <c r="F27" s="2951">
        <f>SUMIF(90:90,E27,91:91)-SUMIF(90:90,C27,91:91)+100</f>
        <v>100</v>
      </c>
      <c r="G27" s="2658" t="s">
        <v>3078</v>
      </c>
      <c r="H27" s="2950">
        <f>SUMIF(90:90,G27,91:91)-SUMIF(90:90,C27,91:91)+100</f>
        <v>100</v>
      </c>
      <c r="I27" s="2658" t="s">
        <v>3078</v>
      </c>
      <c r="J27" s="2950">
        <f>SUMIF(90:90,I27,91:91)-SUMIF(90:90,C27,91:91)+100</f>
        <v>100</v>
      </c>
      <c r="K27" s="2949">
        <v>1</v>
      </c>
      <c r="L27" s="1129"/>
      <c r="M27" s="1130"/>
      <c r="N27" s="1130"/>
      <c r="O27" s="1130"/>
      <c r="P27" s="3304"/>
      <c r="Q27" s="1790" t="str">
        <f t="shared" si="11"/>
        <v>人流量</v>
      </c>
      <c r="R27" s="764" t="s">
        <v>17</v>
      </c>
      <c r="S27" s="765">
        <f>F27</f>
        <v>100</v>
      </c>
      <c r="T27" s="764" t="s">
        <v>17</v>
      </c>
      <c r="U27" s="765">
        <f>H27</f>
        <v>100</v>
      </c>
      <c r="V27" s="764" t="s">
        <v>17</v>
      </c>
      <c r="W27" s="765">
        <f>J27</f>
        <v>100</v>
      </c>
      <c r="X27" s="766"/>
      <c r="Y27" s="3306"/>
      <c r="Z27" s="54" t="str">
        <f>Q27</f>
        <v>人流量</v>
      </c>
      <c r="AA27" s="1806">
        <f>D27/F27</f>
        <v>1</v>
      </c>
      <c r="AB27" s="1806">
        <f>D27/H27</f>
        <v>1</v>
      </c>
      <c r="AC27" s="1806">
        <f>D27/J27</f>
        <v>1</v>
      </c>
    </row>
    <row r="28" spans="1:29" ht="15.75" thickBot="1">
      <c r="A28" s="427"/>
      <c r="B28" s="421" t="s">
        <v>2657</v>
      </c>
      <c r="C28" s="615" t="s">
        <v>3212</v>
      </c>
      <c r="D28" s="434">
        <v>100</v>
      </c>
      <c r="E28" s="615" t="s">
        <v>3117</v>
      </c>
      <c r="F28" s="3039">
        <f>SUMIF(92:92,E28,93:93)-SUMIF(92:92,C28,93:93)+100</f>
        <v>115</v>
      </c>
      <c r="G28" s="615" t="s">
        <v>3117</v>
      </c>
      <c r="H28" s="3041">
        <f>SUMIF(92:92,G28,93:93)-SUMIF(92:92,C28,93:93)+100</f>
        <v>115</v>
      </c>
      <c r="I28" s="615" t="s">
        <v>3117</v>
      </c>
      <c r="J28" s="3041">
        <f>SUMIF(92:92,I28,93:93)-SUMIF(92:92,C28,93:93)+100</f>
        <v>115</v>
      </c>
      <c r="K28" s="612"/>
      <c r="L28" s="1137"/>
      <c r="M28" s="1128"/>
      <c r="N28" s="1128"/>
      <c r="O28" s="1128"/>
      <c r="P28" s="3304"/>
      <c r="Q28" s="1805" t="str">
        <f t="shared" si="11"/>
        <v>楼层</v>
      </c>
      <c r="R28" s="768" t="s">
        <v>17</v>
      </c>
      <c r="S28" s="769">
        <f t="shared" ref="S28:S46" si="12">F28</f>
        <v>115</v>
      </c>
      <c r="T28" s="768" t="s">
        <v>17</v>
      </c>
      <c r="U28" s="769">
        <f t="shared" ref="U28:U46" si="13">H28</f>
        <v>115</v>
      </c>
      <c r="V28" s="768" t="s">
        <v>17</v>
      </c>
      <c r="W28" s="769">
        <f t="shared" ref="W28:W46" si="14">J28</f>
        <v>115</v>
      </c>
      <c r="X28" s="1808"/>
      <c r="Y28" s="3306"/>
      <c r="Z28" s="1809" t="str">
        <f t="shared" ref="Z28:Z46" si="15">Q28</f>
        <v>楼层</v>
      </c>
      <c r="AA28" s="1806">
        <f t="shared" si="3"/>
        <v>0.86956521739130432</v>
      </c>
      <c r="AB28" s="1806">
        <f t="shared" si="4"/>
        <v>0.86956521739130432</v>
      </c>
      <c r="AC28" s="1806">
        <f t="shared" si="5"/>
        <v>0.86956521739130432</v>
      </c>
    </row>
    <row r="29" spans="1:29" ht="15" hidden="1">
      <c r="A29" s="427"/>
      <c r="B29" s="1381">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04"/>
      <c r="Q29" s="1805">
        <f t="shared" si="11"/>
        <v>111</v>
      </c>
      <c r="R29" s="768" t="s">
        <v>17</v>
      </c>
      <c r="S29" s="769">
        <f t="shared" si="12"/>
        <v>100</v>
      </c>
      <c r="T29" s="768" t="s">
        <v>17</v>
      </c>
      <c r="U29" s="769">
        <f t="shared" si="13"/>
        <v>100</v>
      </c>
      <c r="V29" s="768" t="s">
        <v>17</v>
      </c>
      <c r="W29" s="769">
        <f t="shared" si="14"/>
        <v>100</v>
      </c>
      <c r="X29" s="1808"/>
      <c r="Y29" s="3306"/>
      <c r="Z29" s="1809">
        <f t="shared" si="15"/>
        <v>111</v>
      </c>
      <c r="AA29" s="1806">
        <f t="shared" si="3"/>
        <v>1</v>
      </c>
      <c r="AB29" s="1806">
        <f t="shared" si="4"/>
        <v>1</v>
      </c>
      <c r="AC29" s="1806">
        <f t="shared" si="5"/>
        <v>1</v>
      </c>
    </row>
    <row r="30" spans="1:29" ht="15" hidden="1">
      <c r="A30" s="427"/>
      <c r="B30" s="1381">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04"/>
      <c r="Q30" s="1805">
        <f t="shared" si="11"/>
        <v>111</v>
      </c>
      <c r="R30" s="768" t="s">
        <v>17</v>
      </c>
      <c r="S30" s="769">
        <f t="shared" si="12"/>
        <v>100</v>
      </c>
      <c r="T30" s="768" t="s">
        <v>17</v>
      </c>
      <c r="U30" s="769">
        <f t="shared" si="13"/>
        <v>100</v>
      </c>
      <c r="V30" s="768" t="s">
        <v>17</v>
      </c>
      <c r="W30" s="769">
        <f t="shared" si="14"/>
        <v>100</v>
      </c>
      <c r="X30" s="1808"/>
      <c r="Y30" s="3306"/>
      <c r="Z30" s="1809">
        <f t="shared" si="15"/>
        <v>111</v>
      </c>
      <c r="AA30" s="1806">
        <f t="shared" si="3"/>
        <v>1</v>
      </c>
      <c r="AB30" s="1806">
        <f t="shared" si="4"/>
        <v>1</v>
      </c>
      <c r="AC30" s="1806">
        <f t="shared" si="5"/>
        <v>1</v>
      </c>
    </row>
    <row r="31" spans="1:29" ht="15.75" hidden="1" thickBot="1">
      <c r="A31" s="435"/>
      <c r="B31" s="1381">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04"/>
      <c r="Q31" s="1805">
        <f t="shared" si="11"/>
        <v>111</v>
      </c>
      <c r="R31" s="768" t="s">
        <v>17</v>
      </c>
      <c r="S31" s="769">
        <f t="shared" si="12"/>
        <v>100</v>
      </c>
      <c r="T31" s="768" t="s">
        <v>17</v>
      </c>
      <c r="U31" s="769">
        <f t="shared" si="13"/>
        <v>100</v>
      </c>
      <c r="V31" s="768" t="s">
        <v>17</v>
      </c>
      <c r="W31" s="769">
        <f t="shared" si="14"/>
        <v>100</v>
      </c>
      <c r="X31" s="1808"/>
      <c r="Y31" s="3306"/>
      <c r="Z31" s="1809">
        <f t="shared" si="15"/>
        <v>111</v>
      </c>
      <c r="AA31" s="1806">
        <f t="shared" si="3"/>
        <v>1</v>
      </c>
      <c r="AB31" s="1806">
        <f t="shared" si="4"/>
        <v>1</v>
      </c>
      <c r="AC31" s="1806">
        <f t="shared" si="5"/>
        <v>1</v>
      </c>
    </row>
    <row r="32" spans="1:29" ht="15">
      <c r="A32" s="439" t="s">
        <v>2561</v>
      </c>
      <c r="B32" s="70" t="s">
        <v>2658</v>
      </c>
      <c r="C32" s="2610" t="s">
        <v>3091</v>
      </c>
      <c r="D32" s="466">
        <v>100</v>
      </c>
      <c r="E32" s="2610" t="s">
        <v>3091</v>
      </c>
      <c r="F32" s="460">
        <f>SUMIF(100:100,E32,101:101)-SUMIF(100:100,C32,101:101)+100</f>
        <v>100</v>
      </c>
      <c r="G32" s="2610" t="s">
        <v>3091</v>
      </c>
      <c r="H32" s="434">
        <f>SUMIF(100:100,G32,101:101)-SUMIF(100:100,C32,101:101)+100</f>
        <v>100</v>
      </c>
      <c r="I32" s="2610" t="s">
        <v>3091</v>
      </c>
      <c r="J32" s="466">
        <f>SUMIF(100:100,I32,101:101)-SUMIF(100:100,C32,101:101)+100</f>
        <v>100</v>
      </c>
      <c r="K32" s="611">
        <v>5</v>
      </c>
      <c r="L32" s="1137"/>
      <c r="M32" s="1128"/>
      <c r="N32" s="1128"/>
      <c r="O32" s="1128"/>
      <c r="P32" s="3307" t="s">
        <v>2563</v>
      </c>
      <c r="Q32" s="1805" t="str">
        <f t="shared" si="11"/>
        <v>商业类型</v>
      </c>
      <c r="R32" s="768" t="s">
        <v>17</v>
      </c>
      <c r="S32" s="769">
        <f t="shared" si="12"/>
        <v>100</v>
      </c>
      <c r="T32" s="768" t="s">
        <v>17</v>
      </c>
      <c r="U32" s="769">
        <f t="shared" si="13"/>
        <v>100</v>
      </c>
      <c r="V32" s="768" t="s">
        <v>17</v>
      </c>
      <c r="W32" s="769">
        <f t="shared" si="14"/>
        <v>100</v>
      </c>
      <c r="X32" s="1808"/>
      <c r="Y32" s="3310" t="s">
        <v>2563</v>
      </c>
      <c r="Z32" s="1809" t="str">
        <f t="shared" si="15"/>
        <v>商业类型</v>
      </c>
      <c r="AA32" s="1806">
        <f t="shared" si="3"/>
        <v>1</v>
      </c>
      <c r="AB32" s="1806">
        <f t="shared" si="4"/>
        <v>1</v>
      </c>
      <c r="AC32" s="1806">
        <f t="shared" si="5"/>
        <v>1</v>
      </c>
    </row>
    <row r="33" spans="1:29" s="470" customFormat="1" ht="15" hidden="1">
      <c r="A33" s="467"/>
      <c r="B33" s="421" t="s">
        <v>2564</v>
      </c>
      <c r="C33" s="468">
        <v>191290</v>
      </c>
      <c r="D33" s="135">
        <v>100</v>
      </c>
      <c r="E33" s="429">
        <v>191290</v>
      </c>
      <c r="F33" s="424">
        <f>LOOKUP(E33,103:103,104:104)-LOOKUP(C33,103:103,104:104)+100</f>
        <v>100</v>
      </c>
      <c r="G33" s="428">
        <v>191290</v>
      </c>
      <c r="H33" s="135">
        <f>LOOKUP(G33,103:103,104:104)-LOOKUP(C33,103:103,104:104)+100</f>
        <v>100</v>
      </c>
      <c r="I33" s="428">
        <v>191290</v>
      </c>
      <c r="J33" s="135">
        <f>LOOKUP(I33,103:103,104:104)-LOOKUP(C33,103:103,104:104)+100</f>
        <v>100</v>
      </c>
      <c r="K33" s="612"/>
      <c r="L33" s="1135"/>
      <c r="M33" s="1138"/>
      <c r="N33" s="1138"/>
      <c r="O33" s="1138"/>
      <c r="P33" s="3308"/>
      <c r="Q33" s="770" t="str">
        <f t="shared" si="11"/>
        <v>项目建筑规模</v>
      </c>
      <c r="R33" s="771" t="s">
        <v>17</v>
      </c>
      <c r="S33" s="772">
        <f t="shared" si="12"/>
        <v>100</v>
      </c>
      <c r="T33" s="771" t="s">
        <v>17</v>
      </c>
      <c r="U33" s="772">
        <f t="shared" si="13"/>
        <v>100</v>
      </c>
      <c r="V33" s="771" t="s">
        <v>17</v>
      </c>
      <c r="W33" s="772">
        <f t="shared" si="14"/>
        <v>100</v>
      </c>
      <c r="X33" s="773"/>
      <c r="Y33" s="3310"/>
      <c r="Z33" s="774" t="str">
        <f t="shared" si="15"/>
        <v>项目建筑规模</v>
      </c>
      <c r="AA33" s="1806">
        <f t="shared" si="3"/>
        <v>1</v>
      </c>
      <c r="AB33" s="1806">
        <f t="shared" si="4"/>
        <v>1</v>
      </c>
      <c r="AC33" s="1806">
        <f t="shared" si="5"/>
        <v>1</v>
      </c>
    </row>
    <row r="34" spans="1:29" ht="15">
      <c r="A34" s="471"/>
      <c r="B34" s="421" t="s">
        <v>2565</v>
      </c>
      <c r="C34" s="2612" t="s">
        <v>3071</v>
      </c>
      <c r="D34" s="434">
        <v>100</v>
      </c>
      <c r="E34" s="2612" t="s">
        <v>3071</v>
      </c>
      <c r="F34" s="460">
        <f>SUMIF(105:105,E34,106:106)-SUMIF(105:105,C34,106:106)+100</f>
        <v>100</v>
      </c>
      <c r="G34" s="2612" t="s">
        <v>3071</v>
      </c>
      <c r="H34" s="434">
        <f>SUMIF(105:105,G34,106:106)-SUMIF(105:105,C34,106:106)+100</f>
        <v>100</v>
      </c>
      <c r="I34" s="2612" t="s">
        <v>3071</v>
      </c>
      <c r="J34" s="434">
        <f>SUMIF(105:105,I34,106:106)-SUMIF(105:105,C34,106:106)+100</f>
        <v>100</v>
      </c>
      <c r="K34" s="611"/>
      <c r="L34" s="1137"/>
      <c r="M34" s="1128"/>
      <c r="N34" s="1128"/>
      <c r="O34" s="1128"/>
      <c r="P34" s="3308"/>
      <c r="Q34" s="1805" t="str">
        <f t="shared" si="11"/>
        <v>建筑结构</v>
      </c>
      <c r="R34" s="768" t="s">
        <v>17</v>
      </c>
      <c r="S34" s="769">
        <f t="shared" si="12"/>
        <v>100</v>
      </c>
      <c r="T34" s="768" t="s">
        <v>17</v>
      </c>
      <c r="U34" s="769">
        <f t="shared" si="13"/>
        <v>100</v>
      </c>
      <c r="V34" s="768" t="s">
        <v>17</v>
      </c>
      <c r="W34" s="769">
        <f t="shared" si="14"/>
        <v>100</v>
      </c>
      <c r="X34" s="1808"/>
      <c r="Y34" s="3310"/>
      <c r="Z34" s="1809" t="str">
        <f t="shared" si="15"/>
        <v>建筑结构</v>
      </c>
      <c r="AA34" s="1806">
        <f t="shared" si="3"/>
        <v>1</v>
      </c>
      <c r="AB34" s="1806">
        <f t="shared" si="4"/>
        <v>1</v>
      </c>
      <c r="AC34" s="1806">
        <f t="shared" si="5"/>
        <v>1</v>
      </c>
    </row>
    <row r="35" spans="1:29" ht="15">
      <c r="A35" s="471"/>
      <c r="B35" s="421" t="s">
        <v>2659</v>
      </c>
      <c r="C35" s="2606" t="s">
        <v>3101</v>
      </c>
      <c r="D35" s="434">
        <v>100</v>
      </c>
      <c r="E35" s="2606" t="s">
        <v>3101</v>
      </c>
      <c r="F35" s="460">
        <f>SUMIF(107:107,E35,108:108)-SUMIF(107:107,C35,108:108)+100</f>
        <v>100</v>
      </c>
      <c r="G35" s="2606" t="s">
        <v>3101</v>
      </c>
      <c r="H35" s="434">
        <f>SUMIF(107:107,G35,108:108)-SUMIF(107:107,C35,108:108)+100</f>
        <v>100</v>
      </c>
      <c r="I35" s="2606" t="s">
        <v>3101</v>
      </c>
      <c r="J35" s="434">
        <f>SUMIF(107:107,I35,108:108)-SUMIF(107:107,C35,108:108)+100</f>
        <v>100</v>
      </c>
      <c r="K35" s="611">
        <v>3</v>
      </c>
      <c r="L35" s="1137"/>
      <c r="M35" s="1128"/>
      <c r="N35" s="1128"/>
      <c r="O35" s="1128"/>
      <c r="P35" s="3308"/>
      <c r="Q35" s="1805" t="str">
        <f t="shared" si="11"/>
        <v>公共部分装修</v>
      </c>
      <c r="R35" s="768" t="s">
        <v>17</v>
      </c>
      <c r="S35" s="769">
        <f t="shared" si="12"/>
        <v>100</v>
      </c>
      <c r="T35" s="768" t="s">
        <v>17</v>
      </c>
      <c r="U35" s="769">
        <f t="shared" si="13"/>
        <v>100</v>
      </c>
      <c r="V35" s="768" t="s">
        <v>17</v>
      </c>
      <c r="W35" s="769">
        <f t="shared" si="14"/>
        <v>100</v>
      </c>
      <c r="X35" s="1808"/>
      <c r="Y35" s="3310"/>
      <c r="Z35" s="1809" t="str">
        <f t="shared" si="15"/>
        <v>公共部分装修</v>
      </c>
      <c r="AA35" s="1806">
        <f t="shared" si="3"/>
        <v>1</v>
      </c>
      <c r="AB35" s="1806">
        <f t="shared" si="4"/>
        <v>1</v>
      </c>
      <c r="AC35" s="1806">
        <f t="shared" si="5"/>
        <v>1</v>
      </c>
    </row>
    <row r="36" spans="1:29" ht="15">
      <c r="A36" s="471"/>
      <c r="B36" s="421" t="s">
        <v>2660</v>
      </c>
      <c r="C36" s="473">
        <f>'数据-取费表'!N6</f>
        <v>0.92</v>
      </c>
      <c r="D36" s="434">
        <v>100</v>
      </c>
      <c r="E36" s="473">
        <v>0.95</v>
      </c>
      <c r="F36" s="460">
        <f>LOOKUP(E36,110:110,111:111)-LOOKUP(C36,110:110,111:111)+100</f>
        <v>100</v>
      </c>
      <c r="G36" s="473">
        <v>0.95</v>
      </c>
      <c r="H36" s="460">
        <f>LOOKUP(G36,110:110,111:111)-LOOKUP(C36,110:110,111:111)+100</f>
        <v>100</v>
      </c>
      <c r="I36" s="473">
        <v>0.95</v>
      </c>
      <c r="J36" s="434">
        <f>LOOKUP(I36,110:110,111:111)-LOOKUP(C36,110:110,111:111)+100</f>
        <v>100</v>
      </c>
      <c r="K36" s="611">
        <v>2</v>
      </c>
      <c r="L36" s="1137"/>
      <c r="M36" s="1128"/>
      <c r="N36" s="1128"/>
      <c r="O36" s="1128"/>
      <c r="P36" s="3308"/>
      <c r="Q36" s="1805" t="str">
        <f t="shared" si="11"/>
        <v>成新度</v>
      </c>
      <c r="R36" s="768" t="s">
        <v>17</v>
      </c>
      <c r="S36" s="769">
        <f t="shared" si="12"/>
        <v>100</v>
      </c>
      <c r="T36" s="768" t="s">
        <v>17</v>
      </c>
      <c r="U36" s="769">
        <f t="shared" si="13"/>
        <v>100</v>
      </c>
      <c r="V36" s="768" t="s">
        <v>17</v>
      </c>
      <c r="W36" s="769">
        <f t="shared" si="14"/>
        <v>100</v>
      </c>
      <c r="X36" s="1808"/>
      <c r="Y36" s="3310"/>
      <c r="Z36" s="1809" t="str">
        <f t="shared" si="15"/>
        <v>成新度</v>
      </c>
      <c r="AA36" s="1806">
        <f t="shared" si="3"/>
        <v>1</v>
      </c>
      <c r="AB36" s="1806">
        <f t="shared" si="4"/>
        <v>1</v>
      </c>
      <c r="AC36" s="1806">
        <f t="shared" si="5"/>
        <v>1</v>
      </c>
    </row>
    <row r="37" spans="1:29" s="116" customFormat="1" ht="15">
      <c r="A37" s="472"/>
      <c r="B37" s="421" t="s">
        <v>2661</v>
      </c>
      <c r="C37" s="2606" t="s">
        <v>3079</v>
      </c>
      <c r="D37" s="135">
        <v>100</v>
      </c>
      <c r="E37" s="2606" t="s">
        <v>3079</v>
      </c>
      <c r="F37" s="460">
        <f>SUMIF(112:112,E37,113:113)-SUMIF(112:112,C37,113:113)+100</f>
        <v>100</v>
      </c>
      <c r="G37" s="2606" t="s">
        <v>3079</v>
      </c>
      <c r="H37" s="434">
        <f>SUMIF(112:112,G37,113:113)-SUMIF(112:112,C37,113:113)+100</f>
        <v>100</v>
      </c>
      <c r="I37" s="2606" t="s">
        <v>3079</v>
      </c>
      <c r="J37" s="434">
        <f>SUMIF(112:112,I37,113:113)-SUMIF(112:112,C37,113:113)+100</f>
        <v>100</v>
      </c>
      <c r="K37" s="611"/>
      <c r="L37" s="1129"/>
      <c r="M37" s="1130"/>
      <c r="N37" s="1130"/>
      <c r="O37" s="1130"/>
      <c r="P37" s="3308"/>
      <c r="Q37" s="1790" t="str">
        <f t="shared" si="11"/>
        <v>市政基础设施</v>
      </c>
      <c r="R37" s="764" t="s">
        <v>17</v>
      </c>
      <c r="S37" s="765">
        <f t="shared" si="12"/>
        <v>100</v>
      </c>
      <c r="T37" s="764" t="s">
        <v>17</v>
      </c>
      <c r="U37" s="765">
        <f t="shared" si="13"/>
        <v>100</v>
      </c>
      <c r="V37" s="764" t="s">
        <v>17</v>
      </c>
      <c r="W37" s="765">
        <f t="shared" si="14"/>
        <v>100</v>
      </c>
      <c r="X37" s="766"/>
      <c r="Y37" s="3310"/>
      <c r="Z37" s="54" t="str">
        <f t="shared" si="15"/>
        <v>市政基础设施</v>
      </c>
      <c r="AA37" s="767">
        <f t="shared" si="3"/>
        <v>1</v>
      </c>
      <c r="AB37" s="767">
        <f t="shared" si="4"/>
        <v>1</v>
      </c>
      <c r="AC37" s="767">
        <f t="shared" si="5"/>
        <v>1</v>
      </c>
    </row>
    <row r="38" spans="1:29" ht="15">
      <c r="A38" s="471"/>
      <c r="B38" s="421" t="s">
        <v>2662</v>
      </c>
      <c r="C38" s="2606" t="s">
        <v>3110</v>
      </c>
      <c r="D38" s="434">
        <v>100</v>
      </c>
      <c r="E38" s="2606" t="s">
        <v>3110</v>
      </c>
      <c r="F38" s="460">
        <f>SUMIF(114:114,E38,115:115)-SUMIF(114:114,C38,115:115)+100</f>
        <v>100</v>
      </c>
      <c r="G38" s="2606" t="s">
        <v>3110</v>
      </c>
      <c r="H38" s="434">
        <f>SUMIF(114:114,G38,115:115)-SUMIF(114:114,C38,115:115)+100</f>
        <v>100</v>
      </c>
      <c r="I38" s="2606" t="s">
        <v>3110</v>
      </c>
      <c r="J38" s="434">
        <f>SUMIF(114:114,I38,115:115)-SUMIF(114:114,C38,115:115)+100</f>
        <v>100</v>
      </c>
      <c r="K38" s="611">
        <v>3</v>
      </c>
      <c r="L38" s="1137"/>
      <c r="M38" s="1128"/>
      <c r="N38" s="1128"/>
      <c r="O38" s="1128"/>
      <c r="P38" s="3308" t="s">
        <v>2563</v>
      </c>
      <c r="Q38" s="1805" t="str">
        <f t="shared" si="11"/>
        <v>业态</v>
      </c>
      <c r="R38" s="768" t="s">
        <v>17</v>
      </c>
      <c r="S38" s="769">
        <f t="shared" si="12"/>
        <v>100</v>
      </c>
      <c r="T38" s="768" t="s">
        <v>17</v>
      </c>
      <c r="U38" s="769">
        <f t="shared" si="13"/>
        <v>100</v>
      </c>
      <c r="V38" s="768" t="s">
        <v>17</v>
      </c>
      <c r="W38" s="769">
        <f t="shared" si="14"/>
        <v>100</v>
      </c>
      <c r="X38" s="1808"/>
      <c r="Y38" s="3310" t="s">
        <v>2563</v>
      </c>
      <c r="Z38" s="1809" t="str">
        <f t="shared" si="15"/>
        <v>业态</v>
      </c>
      <c r="AA38" s="1806">
        <f t="shared" si="3"/>
        <v>1</v>
      </c>
      <c r="AB38" s="1806">
        <f t="shared" si="4"/>
        <v>1</v>
      </c>
      <c r="AC38" s="1806">
        <f t="shared" si="5"/>
        <v>1</v>
      </c>
    </row>
    <row r="39" spans="1:29" ht="15">
      <c r="A39" s="471"/>
      <c r="B39" s="421" t="s">
        <v>2663</v>
      </c>
      <c r="C39" s="2606" t="s">
        <v>3215</v>
      </c>
      <c r="D39" s="434">
        <v>100</v>
      </c>
      <c r="E39" s="2606" t="s">
        <v>3114</v>
      </c>
      <c r="F39" s="460">
        <f>SUMIF(116:116,E39,117:117)-SUMIF(116:116,C39,117:117)+100</f>
        <v>102</v>
      </c>
      <c r="G39" s="2606" t="s">
        <v>3114</v>
      </c>
      <c r="H39" s="434">
        <f>SUMIF(116:116,G39,117:117)-SUMIF(116:116,C39,117:117)+100</f>
        <v>102</v>
      </c>
      <c r="I39" s="2606" t="s">
        <v>3114</v>
      </c>
      <c r="J39" s="434">
        <f>SUMIF(116:116,I39,117:117)-SUMIF(116:116,C39,117:117)+100</f>
        <v>102</v>
      </c>
      <c r="K39" s="611">
        <v>2</v>
      </c>
      <c r="L39" s="1137"/>
      <c r="M39" s="1128"/>
      <c r="N39" s="1128"/>
      <c r="O39" s="1128"/>
      <c r="P39" s="3308"/>
      <c r="Q39" s="1805" t="str">
        <f t="shared" si="11"/>
        <v>层高</v>
      </c>
      <c r="R39" s="768" t="s">
        <v>17</v>
      </c>
      <c r="S39" s="769">
        <f t="shared" si="12"/>
        <v>102</v>
      </c>
      <c r="T39" s="768" t="s">
        <v>17</v>
      </c>
      <c r="U39" s="769">
        <f t="shared" si="13"/>
        <v>102</v>
      </c>
      <c r="V39" s="768" t="s">
        <v>17</v>
      </c>
      <c r="W39" s="769">
        <f t="shared" si="14"/>
        <v>102</v>
      </c>
      <c r="X39" s="1808"/>
      <c r="Y39" s="3310"/>
      <c r="Z39" s="1809" t="str">
        <f t="shared" si="15"/>
        <v>层高</v>
      </c>
      <c r="AA39" s="1806">
        <f t="shared" si="3"/>
        <v>0.98039215686274506</v>
      </c>
      <c r="AB39" s="1806">
        <f t="shared" si="4"/>
        <v>0.98039215686274506</v>
      </c>
      <c r="AC39" s="1806">
        <f t="shared" si="5"/>
        <v>0.98039215686274506</v>
      </c>
    </row>
    <row r="40" spans="1:29" ht="15">
      <c r="A40" s="471"/>
      <c r="B40" s="421" t="s">
        <v>2664</v>
      </c>
      <c r="C40" s="2946">
        <f>Sheet1!E29</f>
        <v>790.58</v>
      </c>
      <c r="D40" s="434">
        <v>100</v>
      </c>
      <c r="E40" s="616">
        <v>550</v>
      </c>
      <c r="F40" s="3039">
        <f>SUMIF(118:118,E40,119:119)-SUMIF(118:118,C40,119:119)+100</f>
        <v>100</v>
      </c>
      <c r="G40" s="616">
        <v>750</v>
      </c>
      <c r="H40" s="3041">
        <f>SUMIF(118:118,G40,119:119)-SUMIF(118:118,C40,119:119)+100</f>
        <v>100</v>
      </c>
      <c r="I40" s="616">
        <v>690</v>
      </c>
      <c r="J40" s="3041">
        <f>SUMIF(118:118,I40,119:119)-SUMIF(118:118,C40,119:119)+100</f>
        <v>100</v>
      </c>
      <c r="K40" s="612"/>
      <c r="L40" s="1137"/>
      <c r="M40" s="1128"/>
      <c r="N40" s="1128"/>
      <c r="O40" s="1128"/>
      <c r="P40" s="3308"/>
      <c r="Q40" s="1805" t="str">
        <f t="shared" si="11"/>
        <v>单套建筑面积</v>
      </c>
      <c r="R40" s="768" t="s">
        <v>17</v>
      </c>
      <c r="S40" s="769">
        <f t="shared" si="12"/>
        <v>100</v>
      </c>
      <c r="T40" s="768" t="s">
        <v>17</v>
      </c>
      <c r="U40" s="769">
        <f t="shared" si="13"/>
        <v>100</v>
      </c>
      <c r="V40" s="768" t="s">
        <v>17</v>
      </c>
      <c r="W40" s="769">
        <f t="shared" si="14"/>
        <v>100</v>
      </c>
      <c r="X40" s="1808"/>
      <c r="Y40" s="3310"/>
      <c r="Z40" s="1809" t="str">
        <f t="shared" si="15"/>
        <v>单套建筑面积</v>
      </c>
      <c r="AA40" s="1806">
        <f t="shared" si="3"/>
        <v>1</v>
      </c>
      <c r="AB40" s="1806">
        <f t="shared" si="4"/>
        <v>1</v>
      </c>
      <c r="AC40" s="1806">
        <f t="shared" si="5"/>
        <v>1</v>
      </c>
    </row>
    <row r="41" spans="1:29" s="470" customFormat="1" ht="15">
      <c r="A41" s="467"/>
      <c r="B41" s="1807" t="s">
        <v>2665</v>
      </c>
      <c r="C41" s="615" t="s">
        <v>3078</v>
      </c>
      <c r="D41" s="434">
        <v>100</v>
      </c>
      <c r="E41" s="615" t="s">
        <v>3078</v>
      </c>
      <c r="F41" s="460">
        <f>SUMIF(120:120,E41,121:121)-SUMIF(120:120,C41,121:121)+100</f>
        <v>100</v>
      </c>
      <c r="G41" s="615" t="s">
        <v>3078</v>
      </c>
      <c r="H41" s="434">
        <f>SUMIF(120:120,G41,121:121)-SUMIF(120:120,C41,121:121)+100</f>
        <v>100</v>
      </c>
      <c r="I41" s="615" t="s">
        <v>3078</v>
      </c>
      <c r="J41" s="434">
        <f>SUMIF(120:120,I41,121:121)-SUMIF(120:120,C41,121:121)+100</f>
        <v>100</v>
      </c>
      <c r="K41" s="611">
        <v>3</v>
      </c>
      <c r="L41" s="1135"/>
      <c r="M41" s="1138"/>
      <c r="N41" s="1138"/>
      <c r="O41" s="1138"/>
      <c r="P41" s="3308"/>
      <c r="Q41" s="770" t="str">
        <f t="shared" si="11"/>
        <v>进深比</v>
      </c>
      <c r="R41" s="771" t="s">
        <v>17</v>
      </c>
      <c r="S41" s="772">
        <f t="shared" si="12"/>
        <v>100</v>
      </c>
      <c r="T41" s="771" t="s">
        <v>17</v>
      </c>
      <c r="U41" s="772">
        <f t="shared" si="13"/>
        <v>100</v>
      </c>
      <c r="V41" s="771" t="s">
        <v>17</v>
      </c>
      <c r="W41" s="772">
        <f t="shared" si="14"/>
        <v>100</v>
      </c>
      <c r="X41" s="773"/>
      <c r="Y41" s="3310"/>
      <c r="Z41" s="774" t="str">
        <f t="shared" si="15"/>
        <v>进深比</v>
      </c>
      <c r="AA41" s="1806">
        <f t="shared" si="3"/>
        <v>1</v>
      </c>
      <c r="AB41" s="1806">
        <f t="shared" si="4"/>
        <v>1</v>
      </c>
      <c r="AC41" s="1806">
        <f t="shared" si="5"/>
        <v>1</v>
      </c>
    </row>
    <row r="42" spans="1:29" ht="15">
      <c r="A42" s="471"/>
      <c r="B42" s="421" t="s">
        <v>2666</v>
      </c>
      <c r="C42" s="2606" t="s">
        <v>3103</v>
      </c>
      <c r="D42" s="434">
        <v>100</v>
      </c>
      <c r="E42" s="2606" t="s">
        <v>3103</v>
      </c>
      <c r="F42" s="460">
        <f>SUMIF(122:122,E42,123:123)-SUMIF(122:122,C42,123:123)+100</f>
        <v>100</v>
      </c>
      <c r="G42" s="2606" t="s">
        <v>3103</v>
      </c>
      <c r="H42" s="434">
        <f>SUMIF(122:122,G42,123:123)-SUMIF(122:122,C42,123:123)+100</f>
        <v>100</v>
      </c>
      <c r="I42" s="2606" t="s">
        <v>3103</v>
      </c>
      <c r="J42" s="434">
        <f>SUMIF(122:122,I42,123:123)-SUMIF(122:122,C42,123:123)+100</f>
        <v>100</v>
      </c>
      <c r="K42" s="611">
        <v>5</v>
      </c>
      <c r="L42" s="1137"/>
      <c r="M42" s="1128"/>
      <c r="N42" s="1128"/>
      <c r="O42" s="1128"/>
      <c r="P42" s="3308"/>
      <c r="Q42" s="1805" t="str">
        <f t="shared" si="11"/>
        <v>内部装修</v>
      </c>
      <c r="R42" s="768" t="s">
        <v>17</v>
      </c>
      <c r="S42" s="769">
        <f t="shared" si="12"/>
        <v>100</v>
      </c>
      <c r="T42" s="768" t="s">
        <v>17</v>
      </c>
      <c r="U42" s="769">
        <f t="shared" si="13"/>
        <v>100</v>
      </c>
      <c r="V42" s="768" t="s">
        <v>17</v>
      </c>
      <c r="W42" s="769">
        <f t="shared" si="14"/>
        <v>100</v>
      </c>
      <c r="X42" s="1808"/>
      <c r="Y42" s="3310"/>
      <c r="Z42" s="1809" t="str">
        <f t="shared" si="15"/>
        <v>内部装修</v>
      </c>
      <c r="AA42" s="1806">
        <f t="shared" si="3"/>
        <v>1</v>
      </c>
      <c r="AB42" s="1806">
        <f t="shared" si="4"/>
        <v>1</v>
      </c>
      <c r="AC42" s="1806">
        <f t="shared" si="5"/>
        <v>1</v>
      </c>
    </row>
    <row r="43" spans="1:29" ht="15.75" thickBot="1">
      <c r="A43" s="471"/>
      <c r="B43" s="421" t="s">
        <v>2574</v>
      </c>
      <c r="C43" s="2606" t="s">
        <v>3078</v>
      </c>
      <c r="D43" s="434">
        <v>100</v>
      </c>
      <c r="E43" s="2606" t="s">
        <v>3078</v>
      </c>
      <c r="F43" s="460">
        <f>SUMIF(124:124,E43,125:125)-SUMIF(124:124,C43,125:125)+100</f>
        <v>100</v>
      </c>
      <c r="G43" s="2606" t="s">
        <v>3078</v>
      </c>
      <c r="H43" s="434">
        <f>SUMIF(124:124,G43,125:125)-SUMIF(124:124,C43,125:125)+100</f>
        <v>100</v>
      </c>
      <c r="I43" s="2606" t="s">
        <v>3078</v>
      </c>
      <c r="J43" s="434">
        <f>SUMIF(124:124,I43,125:125)-SUMIF(124:124,C43,125:125)+100</f>
        <v>100</v>
      </c>
      <c r="K43" s="611">
        <v>3</v>
      </c>
      <c r="L43" s="1137"/>
      <c r="M43" s="1128"/>
      <c r="N43" s="1128"/>
      <c r="O43" s="1128"/>
      <c r="P43" s="3308"/>
      <c r="Q43" s="1805" t="str">
        <f t="shared" si="11"/>
        <v>内部装修维护情况</v>
      </c>
      <c r="R43" s="768" t="s">
        <v>17</v>
      </c>
      <c r="S43" s="769">
        <f t="shared" si="12"/>
        <v>100</v>
      </c>
      <c r="T43" s="768" t="s">
        <v>17</v>
      </c>
      <c r="U43" s="769">
        <f t="shared" si="13"/>
        <v>100</v>
      </c>
      <c r="V43" s="768" t="s">
        <v>17</v>
      </c>
      <c r="W43" s="769">
        <f t="shared" si="14"/>
        <v>100</v>
      </c>
      <c r="X43" s="1808"/>
      <c r="Y43" s="3310"/>
      <c r="Z43" s="1809" t="str">
        <f t="shared" si="15"/>
        <v>内部装修维护情况</v>
      </c>
      <c r="AA43" s="1806">
        <f t="shared" si="3"/>
        <v>1</v>
      </c>
      <c r="AB43" s="1806">
        <f t="shared" si="4"/>
        <v>1</v>
      </c>
      <c r="AC43" s="1806">
        <f t="shared" si="5"/>
        <v>1</v>
      </c>
    </row>
    <row r="44" spans="1:29" s="116" customFormat="1" ht="15" hidden="1">
      <c r="A44" s="472"/>
      <c r="B44" s="1381">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08"/>
      <c r="Q44" s="1790">
        <f t="shared" si="11"/>
        <v>111</v>
      </c>
      <c r="R44" s="764" t="s">
        <v>17</v>
      </c>
      <c r="S44" s="765">
        <f t="shared" si="12"/>
        <v>100</v>
      </c>
      <c r="T44" s="764" t="s">
        <v>17</v>
      </c>
      <c r="U44" s="765">
        <f t="shared" si="13"/>
        <v>100</v>
      </c>
      <c r="V44" s="764" t="s">
        <v>17</v>
      </c>
      <c r="W44" s="765">
        <f t="shared" si="14"/>
        <v>100</v>
      </c>
      <c r="X44" s="766"/>
      <c r="Y44" s="3310"/>
      <c r="Z44" s="54">
        <f t="shared" si="15"/>
        <v>111</v>
      </c>
      <c r="AA44" s="767">
        <f t="shared" si="3"/>
        <v>1</v>
      </c>
      <c r="AB44" s="767">
        <f t="shared" si="4"/>
        <v>1</v>
      </c>
      <c r="AC44" s="767">
        <f t="shared" si="5"/>
        <v>1</v>
      </c>
    </row>
    <row r="45" spans="1:29" ht="15" hidden="1">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08"/>
      <c r="Q45" s="1805">
        <f t="shared" si="11"/>
        <v>111</v>
      </c>
      <c r="R45" s="768" t="s">
        <v>17</v>
      </c>
      <c r="S45" s="769">
        <f t="shared" si="12"/>
        <v>100</v>
      </c>
      <c r="T45" s="768" t="s">
        <v>17</v>
      </c>
      <c r="U45" s="769">
        <f t="shared" si="13"/>
        <v>100</v>
      </c>
      <c r="V45" s="768" t="s">
        <v>17</v>
      </c>
      <c r="W45" s="769">
        <f t="shared" si="14"/>
        <v>100</v>
      </c>
      <c r="X45" s="1808"/>
      <c r="Y45" s="3310"/>
      <c r="Z45" s="1809">
        <f t="shared" si="15"/>
        <v>111</v>
      </c>
      <c r="AA45" s="1806">
        <f t="shared" si="3"/>
        <v>1</v>
      </c>
      <c r="AB45" s="1806">
        <f t="shared" si="4"/>
        <v>1</v>
      </c>
      <c r="AC45" s="1806">
        <f t="shared" si="5"/>
        <v>1</v>
      </c>
    </row>
    <row r="46" spans="1:29" ht="15.75" hidden="1"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09"/>
      <c r="Q46" s="1805">
        <f t="shared" si="11"/>
        <v>111</v>
      </c>
      <c r="R46" s="768" t="s">
        <v>17</v>
      </c>
      <c r="S46" s="769">
        <f t="shared" si="12"/>
        <v>100</v>
      </c>
      <c r="T46" s="768" t="s">
        <v>17</v>
      </c>
      <c r="U46" s="769">
        <f t="shared" si="13"/>
        <v>100</v>
      </c>
      <c r="V46" s="768" t="s">
        <v>17</v>
      </c>
      <c r="W46" s="769">
        <f t="shared" si="14"/>
        <v>100</v>
      </c>
      <c r="X46" s="1808"/>
      <c r="Y46" s="3311"/>
      <c r="Z46" s="1809">
        <f t="shared" si="15"/>
        <v>111</v>
      </c>
      <c r="AA46" s="1806">
        <f t="shared" si="3"/>
        <v>1</v>
      </c>
      <c r="AB46" s="1806">
        <f t="shared" si="4"/>
        <v>1</v>
      </c>
      <c r="AC46" s="1806">
        <f t="shared" si="5"/>
        <v>1</v>
      </c>
    </row>
    <row r="47" spans="1:29" ht="15">
      <c r="A47" s="478" t="s">
        <v>2575</v>
      </c>
      <c r="B47" s="479"/>
      <c r="C47" s="1402" t="s">
        <v>1</v>
      </c>
      <c r="D47" s="1403"/>
      <c r="E47" s="1404">
        <f>ROUND(38915*0.97,0)</f>
        <v>37748</v>
      </c>
      <c r="F47" s="1405"/>
      <c r="G47" s="1406">
        <f>ROUND(37615*0.97,0)</f>
        <v>36487</v>
      </c>
      <c r="H47" s="1407"/>
      <c r="I47" s="1404">
        <f>ROUND(39583*0.97,0)</f>
        <v>38396</v>
      </c>
      <c r="J47" s="1407"/>
      <c r="K47" s="777"/>
      <c r="L47" s="1140"/>
      <c r="M47" s="1141"/>
      <c r="N47" s="1128"/>
      <c r="O47" s="1141"/>
      <c r="P47" s="3312" t="str">
        <f>A47</f>
        <v>成交单价（元/平方米）</v>
      </c>
      <c r="Q47" s="3312"/>
      <c r="R47" s="3274">
        <f>E47</f>
        <v>37748</v>
      </c>
      <c r="S47" s="3274"/>
      <c r="T47" s="3274">
        <f>G47</f>
        <v>36487</v>
      </c>
      <c r="U47" s="3274"/>
      <c r="V47" s="3274">
        <f>I47</f>
        <v>38396</v>
      </c>
      <c r="W47" s="3274"/>
      <c r="X47" s="753"/>
      <c r="Y47" s="775"/>
      <c r="Z47" s="753"/>
      <c r="AA47" s="753"/>
      <c r="AB47" s="753"/>
      <c r="AC47" s="753"/>
    </row>
    <row r="48" spans="1:29" ht="15.75" thickBot="1">
      <c r="A48" s="485" t="s">
        <v>2667</v>
      </c>
      <c r="B48" s="486"/>
      <c r="C48" s="1408">
        <f>R49</f>
        <v>31379</v>
      </c>
      <c r="D48" s="1409"/>
      <c r="E48" s="1410">
        <f>R48</f>
        <v>31550</v>
      </c>
      <c r="F48" s="1410"/>
      <c r="G48" s="1408">
        <f>T48</f>
        <v>30496</v>
      </c>
      <c r="H48" s="1409"/>
      <c r="I48" s="1410">
        <f>V48</f>
        <v>32091</v>
      </c>
      <c r="J48" s="1409"/>
      <c r="K48" s="778"/>
      <c r="L48" s="1140"/>
      <c r="M48" s="1141"/>
      <c r="N48" s="1128"/>
      <c r="O48" s="1141"/>
      <c r="P48" s="3312" t="str">
        <f>A48</f>
        <v>比较价值（元/平方米）</v>
      </c>
      <c r="Q48" s="3312"/>
      <c r="R48" s="3313">
        <f>IF(F1="售价",ROUND(PRODUCT(R47,AA7:AA46),0),ROUND(PRODUCT(R47,AA7:AA46),1))</f>
        <v>31550</v>
      </c>
      <c r="S48" s="3313"/>
      <c r="T48" s="3313">
        <f>IF(F1="售价",ROUND(PRODUCT(T47,AB7:AB46),0),ROUND(PRODUCT(T47,AB7:AB46),1))</f>
        <v>30496</v>
      </c>
      <c r="U48" s="3313"/>
      <c r="V48" s="3313">
        <f>IF(F1="售价",ROUND(PRODUCT(V47,AC7:AC46),0),ROUND(PRODUCT(V47,AC7:AC46),1))</f>
        <v>32091</v>
      </c>
      <c r="W48" s="3313"/>
      <c r="X48" s="753"/>
      <c r="Y48" s="753"/>
      <c r="Z48" s="753"/>
      <c r="AA48" s="753"/>
      <c r="AB48" s="753"/>
      <c r="AC48" s="753"/>
    </row>
    <row r="49" spans="1:29" ht="15.75" thickBot="1">
      <c r="A49" s="491" t="s">
        <v>2668</v>
      </c>
      <c r="B49" s="492"/>
      <c r="C49" s="1412">
        <f>R49</f>
        <v>31379</v>
      </c>
      <c r="D49" s="1412"/>
      <c r="E49" s="1412"/>
      <c r="F49" s="1412"/>
      <c r="G49" s="1412"/>
      <c r="H49" s="1412"/>
      <c r="I49" s="1412"/>
      <c r="J49" s="1412"/>
      <c r="K49" s="779"/>
      <c r="L49" s="1140"/>
      <c r="M49" s="1141"/>
      <c r="N49" s="1128"/>
      <c r="O49" s="1141"/>
      <c r="P49" s="3314" t="str">
        <f>A49</f>
        <v>估价对象XX用房的比较价值（楼面单价，元/平方米）</v>
      </c>
      <c r="Q49" s="3315"/>
      <c r="R49" s="3316">
        <f>IF(F1="售价",ROUND(AVERAGE(R48:V48),0),ROUND(AVERAGE(R48:V48),1))</f>
        <v>31379</v>
      </c>
      <c r="S49" s="3316"/>
      <c r="T49" s="3316"/>
      <c r="U49" s="3316"/>
      <c r="V49" s="3316"/>
      <c r="W49" s="3316"/>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c r="P50" s="673"/>
      <c r="Q50" s="753"/>
      <c r="R50" s="753"/>
      <c r="S50" s="753"/>
      <c r="T50" s="753"/>
      <c r="U50" s="753"/>
      <c r="V50" s="753"/>
      <c r="W50" s="753"/>
      <c r="X50" s="753"/>
      <c r="Y50" s="753"/>
      <c r="Z50" s="753"/>
      <c r="AA50" s="753"/>
      <c r="AB50" s="753"/>
      <c r="AC50" s="753"/>
    </row>
    <row r="51" spans="1:29">
      <c r="A51" s="1141"/>
      <c r="B51" s="1141"/>
      <c r="C51" s="1141"/>
      <c r="D51" s="1141"/>
      <c r="E51" s="1141"/>
      <c r="F51" s="1141"/>
      <c r="G51" s="1141"/>
      <c r="H51" s="1141"/>
      <c r="I51" s="1141"/>
      <c r="J51" s="1141"/>
      <c r="K51" s="1102"/>
      <c r="L51" s="1103"/>
      <c r="M51" s="1141"/>
      <c r="N51" s="1141"/>
      <c r="O51" s="1141"/>
      <c r="P51" s="673"/>
      <c r="Q51" s="753"/>
      <c r="R51" s="753"/>
      <c r="S51" s="753"/>
      <c r="T51" s="753"/>
      <c r="U51" s="753"/>
      <c r="V51" s="753"/>
      <c r="W51" s="753"/>
      <c r="X51" s="753"/>
      <c r="Y51" s="753"/>
      <c r="Z51" s="753"/>
      <c r="AA51" s="753"/>
      <c r="AB51" s="753"/>
      <c r="AC51" s="753"/>
    </row>
    <row r="52" spans="1:29" ht="13.5" customHeight="1">
      <c r="A52" s="1141"/>
      <c r="B52" s="1141"/>
      <c r="C52" s="496" t="s">
        <v>2669</v>
      </c>
      <c r="D52" s="497"/>
      <c r="E52" s="498">
        <f>IF(E47&lt;E48,E48/E47-1,E47/E48-1)</f>
        <v>0.19645007923930269</v>
      </c>
      <c r="F52" s="499" t="str">
        <f>IF(OR(E52&gt;=0.3,E52&lt;=-0.3),"超过30%","")</f>
        <v/>
      </c>
      <c r="G52" s="498">
        <f>IF(G47&lt;G48,G48/G47-1,G47/G48-1)</f>
        <v>0.19645199370409228</v>
      </c>
      <c r="H52" s="499" t="str">
        <f>IF(OR(G52&gt;=0.3,G52&lt;=-0.3),"超过30%","")</f>
        <v/>
      </c>
      <c r="I52" s="498">
        <f>IF(I47&lt;I48,I48/I47-1,I47/I48-1)</f>
        <v>0.19647253123928832</v>
      </c>
      <c r="J52" s="499" t="str">
        <f>IF(OR(I52&gt;=0.3,I52&lt;=-0.3),"超过30%","")</f>
        <v/>
      </c>
      <c r="K52" s="1102"/>
      <c r="L52" s="1103"/>
      <c r="M52" s="1141"/>
      <c r="N52" s="1141"/>
      <c r="O52" s="1141"/>
      <c r="P52" s="673"/>
      <c r="Q52" s="753"/>
      <c r="R52" s="753"/>
      <c r="S52" s="753"/>
      <c r="T52" s="753"/>
      <c r="U52" s="753"/>
      <c r="V52" s="753"/>
      <c r="W52" s="753"/>
      <c r="X52" s="753"/>
      <c r="Y52" s="753"/>
      <c r="Z52" s="753"/>
      <c r="AA52" s="753"/>
      <c r="AB52" s="753"/>
      <c r="AC52" s="753"/>
    </row>
    <row r="53" spans="1:29" ht="13.5" customHeight="1">
      <c r="A53" s="1141"/>
      <c r="B53" s="1141"/>
      <c r="C53" s="496" t="s">
        <v>2670</v>
      </c>
      <c r="D53" s="500"/>
      <c r="E53" s="498">
        <f>IF(E48&lt;G48,G48/E48-1,E48/G48-1)</f>
        <v>3.4561909758656917E-2</v>
      </c>
      <c r="F53" s="499" t="str">
        <f>IF(OR(E53&gt;=0.2,E53&lt;=-0.2),"超过20%","")</f>
        <v/>
      </c>
      <c r="G53" s="498">
        <f>IF(G48&lt;I48,I48/G48-1,G48/I48-1)</f>
        <v>5.2301941238195093E-2</v>
      </c>
      <c r="H53" s="499" t="str">
        <f>IF(OR(G53&gt;=0.2,G53&lt;=-0.2),"超过20%","")</f>
        <v/>
      </c>
      <c r="I53" s="498">
        <f>IF(I48&lt;E48,E48/I48-1,I48/E48-1)</f>
        <v>1.7147385103011059E-2</v>
      </c>
      <c r="J53" s="499" t="str">
        <f>IF(OR(I53&gt;=0.2,I53&lt;=-0.2),"超过20%","")</f>
        <v/>
      </c>
      <c r="K53" s="1102"/>
      <c r="L53" s="1103"/>
      <c r="M53" s="1141"/>
      <c r="N53" s="1141"/>
      <c r="O53" s="1141"/>
      <c r="P53" s="673"/>
      <c r="Q53" s="753"/>
      <c r="R53" s="753"/>
      <c r="S53" s="753"/>
      <c r="T53" s="753"/>
      <c r="U53" s="753"/>
      <c r="V53" s="753"/>
      <c r="W53" s="753"/>
      <c r="X53" s="753"/>
      <c r="Y53" s="753"/>
      <c r="Z53" s="753"/>
      <c r="AA53" s="753"/>
      <c r="AB53" s="753"/>
      <c r="AC53" s="753"/>
    </row>
    <row r="54" spans="1:29" s="501" customFormat="1" ht="13.5" customHeight="1">
      <c r="A54" s="1142"/>
      <c r="B54" s="1142"/>
      <c r="C54" s="496" t="s">
        <v>2671</v>
      </c>
      <c r="D54" s="500"/>
      <c r="E54" s="498">
        <f>IF(E47&lt;G47,G47/E47-1,E47/G47-1)</f>
        <v>3.4560254337161256E-2</v>
      </c>
      <c r="F54" s="499" t="str">
        <f>IF(OR(E54&gt;=0.3,E54&lt;=-0.3),"超过30%","")</f>
        <v/>
      </c>
      <c r="G54" s="498">
        <f>IF(G47&lt;I47,I47/G47-1,G47/I47-1)</f>
        <v>5.232000438512352E-2</v>
      </c>
      <c r="H54" s="499" t="str">
        <f>IF(OR(G54&gt;=0.3,G54&lt;=-0.3),"超过30%","")</f>
        <v/>
      </c>
      <c r="I54" s="498">
        <f>IF(I47&lt;E47,E47/I47-1,I47/E47-1)</f>
        <v>1.7166472395888421E-2</v>
      </c>
      <c r="J54" s="499" t="str">
        <f>IF(OR(I54&gt;=0.3,I54&lt;=-0.3),"超过30%","")</f>
        <v/>
      </c>
      <c r="K54" s="1145"/>
      <c r="L54" s="1146"/>
      <c r="M54" s="1142"/>
      <c r="N54" s="1142"/>
      <c r="O54" s="1142"/>
      <c r="P54" s="2659"/>
      <c r="Q54" s="754"/>
      <c r="R54" s="754"/>
      <c r="S54" s="754"/>
      <c r="T54" s="754"/>
      <c r="U54" s="754"/>
      <c r="V54" s="754"/>
      <c r="W54" s="754"/>
      <c r="X54" s="754"/>
      <c r="Y54" s="754"/>
      <c r="Z54" s="754"/>
      <c r="AA54" s="754"/>
      <c r="AB54" s="754"/>
      <c r="AC54" s="754"/>
    </row>
    <row r="55" spans="1:29" s="501" customFormat="1">
      <c r="A55" s="1142"/>
      <c r="B55" s="1143"/>
      <c r="C55" s="1147"/>
      <c r="D55" s="1142"/>
      <c r="E55" s="1142"/>
      <c r="F55" s="1142"/>
      <c r="G55" s="1142"/>
      <c r="H55" s="1142"/>
      <c r="I55" s="1142"/>
      <c r="J55" s="1142"/>
      <c r="K55" s="1145"/>
      <c r="L55" s="1146"/>
      <c r="M55" s="1142"/>
      <c r="N55" s="1142"/>
      <c r="O55" s="1142"/>
      <c r="P55" s="2659"/>
      <c r="Q55" s="754"/>
      <c r="R55" s="754"/>
      <c r="S55" s="754"/>
      <c r="T55" s="754"/>
      <c r="U55" s="754"/>
      <c r="V55" s="754"/>
      <c r="W55" s="754"/>
      <c r="X55" s="754"/>
      <c r="Y55" s="754"/>
      <c r="Z55" s="754"/>
      <c r="AA55" s="754"/>
      <c r="AB55" s="754"/>
      <c r="AC55" s="754"/>
    </row>
    <row r="56" spans="1:29">
      <c r="A56" s="1141"/>
      <c r="B56" s="1143"/>
      <c r="C56" s="1147"/>
      <c r="D56" s="1141"/>
      <c r="E56" s="1141"/>
      <c r="F56" s="1141"/>
      <c r="G56" s="1141"/>
      <c r="H56" s="1141"/>
      <c r="I56" s="1141"/>
      <c r="J56" s="1141"/>
      <c r="K56" s="1102"/>
      <c r="L56" s="1103"/>
      <c r="M56" s="1141"/>
      <c r="N56" s="1141"/>
      <c r="O56" s="1141"/>
      <c r="P56" s="673"/>
      <c r="Q56" s="753"/>
      <c r="R56" s="753"/>
      <c r="S56" s="753"/>
      <c r="T56" s="753"/>
      <c r="U56" s="753"/>
      <c r="V56" s="753"/>
      <c r="W56" s="753"/>
      <c r="X56" s="753"/>
      <c r="Y56" s="753"/>
      <c r="Z56" s="753"/>
      <c r="AA56" s="753"/>
      <c r="AB56" s="753"/>
      <c r="AC56" s="753"/>
    </row>
    <row r="57" spans="1:29" ht="21.75" thickBot="1">
      <c r="A57" s="757" t="s">
        <v>2672</v>
      </c>
      <c r="B57" s="753"/>
      <c r="C57" s="758"/>
      <c r="D57" s="758"/>
      <c r="E57" s="758"/>
      <c r="F57" s="759"/>
      <c r="G57" s="759"/>
      <c r="H57" s="758"/>
      <c r="I57" s="758"/>
      <c r="J57" s="758"/>
      <c r="K57" s="760"/>
      <c r="L57" s="1158"/>
      <c r="M57" s="1156"/>
      <c r="N57" s="1156"/>
      <c r="O57" s="1156"/>
      <c r="P57" s="2660"/>
      <c r="Q57" s="2661"/>
      <c r="R57" s="753"/>
      <c r="S57" s="753"/>
      <c r="T57" s="753"/>
      <c r="U57" s="753"/>
      <c r="V57" s="753"/>
      <c r="W57" s="753"/>
      <c r="X57" s="753"/>
      <c r="Y57" s="753"/>
      <c r="Z57" s="753"/>
      <c r="AA57" s="753"/>
      <c r="AB57" s="753"/>
      <c r="AC57" s="753"/>
    </row>
    <row r="58" spans="1:29" s="507" customFormat="1" ht="15">
      <c r="A58" s="504" t="s">
        <v>2546</v>
      </c>
      <c r="B58" s="505"/>
      <c r="C58" s="1569" t="str">
        <f>YEAR(C7)&amp;"-"&amp;MONTH(C7)</f>
        <v>2018-4</v>
      </c>
      <c r="D58" s="1570">
        <f>EDATE(C58,-1)</f>
        <v>43160</v>
      </c>
      <c r="E58" s="1570">
        <f t="shared" ref="E58:N58" si="16">EDATE(D58,-1)</f>
        <v>43132</v>
      </c>
      <c r="F58" s="1570">
        <f t="shared" si="16"/>
        <v>43101</v>
      </c>
      <c r="G58" s="1570">
        <f t="shared" si="16"/>
        <v>43070</v>
      </c>
      <c r="H58" s="1570">
        <f t="shared" si="16"/>
        <v>43040</v>
      </c>
      <c r="I58" s="1570">
        <f t="shared" si="16"/>
        <v>43009</v>
      </c>
      <c r="J58" s="1570">
        <f t="shared" si="16"/>
        <v>42979</v>
      </c>
      <c r="K58" s="1570">
        <f t="shared" si="16"/>
        <v>42948</v>
      </c>
      <c r="L58" s="1570">
        <f t="shared" si="16"/>
        <v>42917</v>
      </c>
      <c r="M58" s="1570">
        <f t="shared" si="16"/>
        <v>42887</v>
      </c>
      <c r="N58" s="1570">
        <f t="shared" si="16"/>
        <v>42856</v>
      </c>
      <c r="O58" s="1570">
        <f>EDATE(N58,-1)</f>
        <v>42826</v>
      </c>
      <c r="P58" s="1565"/>
    </row>
    <row r="59" spans="1:29" s="116" customFormat="1" ht="15">
      <c r="A59" s="508"/>
      <c r="B59" s="509"/>
      <c r="C59" s="1568">
        <v>100</v>
      </c>
      <c r="D59" s="511"/>
      <c r="E59" s="511"/>
      <c r="F59" s="511"/>
      <c r="G59" s="511"/>
      <c r="H59" s="511"/>
      <c r="I59" s="511"/>
      <c r="J59" s="511"/>
      <c r="K59" s="511"/>
      <c r="L59" s="511"/>
      <c r="M59" s="512"/>
      <c r="N59" s="511"/>
      <c r="O59" s="512"/>
      <c r="P59" s="2621"/>
    </row>
    <row r="60" spans="1:29" s="116" customFormat="1" ht="15.75" thickBot="1">
      <c r="A60" s="514" t="s">
        <v>2583</v>
      </c>
      <c r="B60" s="515"/>
      <c r="C60" s="516"/>
      <c r="D60" s="517"/>
      <c r="E60" s="517"/>
      <c r="F60" s="517"/>
      <c r="G60" s="517"/>
      <c r="H60" s="517"/>
      <c r="I60" s="517"/>
      <c r="J60" s="517"/>
      <c r="K60" s="517"/>
      <c r="L60" s="517"/>
      <c r="M60" s="518"/>
      <c r="N60" s="517"/>
      <c r="O60" s="518"/>
      <c r="P60" s="2621"/>
      <c r="Q60" s="503"/>
    </row>
    <row r="61" spans="1:29" s="116" customFormat="1" ht="15">
      <c r="A61" s="520" t="s">
        <v>2548</v>
      </c>
      <c r="B61" s="509"/>
      <c r="C61" s="521" t="s">
        <v>2650</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2586</v>
      </c>
      <c r="B63" s="527" t="s">
        <v>2552</v>
      </c>
      <c r="C63" s="528" t="str">
        <f>C9</f>
        <v>商业</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9"/>
      <c r="O65" s="1149"/>
      <c r="P65" s="2623"/>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3"/>
      <c r="Q66" s="503"/>
    </row>
    <row r="67" spans="1:17" ht="15.75" thickTop="1">
      <c r="A67" s="533"/>
      <c r="B67" s="545" t="s">
        <v>2556</v>
      </c>
      <c r="C67" s="546" t="str">
        <f>C68&amp;"（含）"&amp;"-"&amp;D68</f>
        <v>0（含）-2</v>
      </c>
      <c r="D67" s="546" t="str">
        <f t="shared" ref="D67:L67" si="17">D68&amp;"（含）"&amp;"-"&amp;E68</f>
        <v>2（含）-4</v>
      </c>
      <c r="E67" s="546" t="str">
        <f t="shared" si="17"/>
        <v>4（含）-6</v>
      </c>
      <c r="F67" s="546" t="str">
        <f t="shared" si="17"/>
        <v>6（含）-8</v>
      </c>
      <c r="G67" s="546" t="str">
        <f t="shared" si="17"/>
        <v>8（含）-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v>0</v>
      </c>
      <c r="D68" s="548">
        <v>2</v>
      </c>
      <c r="E68" s="548">
        <v>4</v>
      </c>
      <c r="F68" s="548">
        <v>6</v>
      </c>
      <c r="G68" s="548">
        <v>8</v>
      </c>
      <c r="H68" s="548"/>
      <c r="I68" s="548"/>
      <c r="J68" s="548"/>
      <c r="K68" s="549"/>
      <c r="L68" s="550"/>
      <c r="M68" s="551"/>
      <c r="N68" s="1149"/>
      <c r="O68" s="1149"/>
      <c r="P68" s="2623"/>
      <c r="Q68" s="503"/>
    </row>
    <row r="69" spans="1:17" ht="15.75" thickBot="1">
      <c r="A69" s="533"/>
      <c r="B69" s="534"/>
      <c r="C69" s="543">
        <v>100</v>
      </c>
      <c r="D69" s="543">
        <f t="shared" ref="D69:M69" si="18">C69-$K11</f>
        <v>95</v>
      </c>
      <c r="E69" s="543">
        <f t="shared" si="18"/>
        <v>90</v>
      </c>
      <c r="F69" s="543">
        <f t="shared" si="18"/>
        <v>85</v>
      </c>
      <c r="G69" s="543">
        <f t="shared" si="18"/>
        <v>80</v>
      </c>
      <c r="H69" s="543">
        <f t="shared" si="18"/>
        <v>75</v>
      </c>
      <c r="I69" s="543">
        <f t="shared" si="18"/>
        <v>70</v>
      </c>
      <c r="J69" s="543">
        <f t="shared" si="18"/>
        <v>65</v>
      </c>
      <c r="K69" s="543">
        <f t="shared" si="18"/>
        <v>60</v>
      </c>
      <c r="L69" s="543">
        <f t="shared" si="18"/>
        <v>55</v>
      </c>
      <c r="M69" s="544">
        <f t="shared" si="18"/>
        <v>50</v>
      </c>
      <c r="N69" s="1150"/>
      <c r="O69" s="1150"/>
      <c r="P69" s="2623"/>
      <c r="Q69" s="503"/>
    </row>
    <row r="70" spans="1:17" s="470" customFormat="1" ht="15.75" hidden="1" thickTop="1">
      <c r="A70" s="552"/>
      <c r="B70" s="537">
        <f>B12</f>
        <v>111</v>
      </c>
      <c r="C70" s="553"/>
      <c r="D70" s="553"/>
      <c r="E70" s="553"/>
      <c r="F70" s="553"/>
      <c r="G70" s="553"/>
      <c r="H70" s="554"/>
      <c r="I70" s="554"/>
      <c r="J70" s="554"/>
      <c r="K70" s="554"/>
      <c r="L70" s="555"/>
      <c r="M70" s="556"/>
      <c r="N70" s="1151"/>
      <c r="O70" s="1151"/>
      <c r="P70" s="2624"/>
      <c r="Q70" s="558"/>
    </row>
    <row r="71" spans="1:17" s="470" customFormat="1" ht="15.75" hidden="1" thickBot="1">
      <c r="A71" s="552"/>
      <c r="B71" s="542"/>
      <c r="C71" s="559"/>
      <c r="D71" s="535"/>
      <c r="E71" s="535"/>
      <c r="F71" s="535"/>
      <c r="G71" s="535"/>
      <c r="H71" s="535"/>
      <c r="I71" s="535"/>
      <c r="J71" s="535"/>
      <c r="K71" s="535"/>
      <c r="L71" s="535"/>
      <c r="M71" s="536"/>
      <c r="N71" s="1150"/>
      <c r="O71" s="1150"/>
      <c r="P71" s="2624"/>
      <c r="Q71" s="558"/>
    </row>
    <row r="72" spans="1:17" s="470" customFormat="1" ht="15.75" hidden="1" thickTop="1">
      <c r="A72" s="552"/>
      <c r="B72" s="537">
        <f>B13</f>
        <v>111</v>
      </c>
      <c r="C72" s="553"/>
      <c r="D72" s="553"/>
      <c r="E72" s="553"/>
      <c r="F72" s="553"/>
      <c r="G72" s="553"/>
      <c r="H72" s="554"/>
      <c r="I72" s="554"/>
      <c r="J72" s="554"/>
      <c r="K72" s="554"/>
      <c r="L72" s="555"/>
      <c r="M72" s="556"/>
      <c r="N72" s="1151"/>
      <c r="O72" s="1151"/>
      <c r="P72" s="2625"/>
      <c r="Q72" s="560"/>
    </row>
    <row r="73" spans="1:17" s="470" customFormat="1" ht="15.75" hidden="1" thickBot="1">
      <c r="A73" s="552"/>
      <c r="B73" s="542"/>
      <c r="C73" s="559"/>
      <c r="D73" s="535"/>
      <c r="E73" s="535"/>
      <c r="F73" s="535"/>
      <c r="G73" s="559"/>
      <c r="H73" s="561"/>
      <c r="I73" s="561"/>
      <c r="J73" s="561"/>
      <c r="K73" s="561"/>
      <c r="L73" s="561"/>
      <c r="M73" s="562"/>
      <c r="N73" s="1151"/>
      <c r="O73" s="1151"/>
      <c r="P73" s="2624"/>
      <c r="Q73" s="558"/>
    </row>
    <row r="74" spans="1:17" s="470" customFormat="1" ht="15.75" hidden="1" thickTop="1">
      <c r="A74" s="552"/>
      <c r="B74" s="545">
        <f>B14</f>
        <v>111</v>
      </c>
      <c r="C74" s="553"/>
      <c r="D74" s="553"/>
      <c r="E74" s="553"/>
      <c r="F74" s="553"/>
      <c r="G74" s="522"/>
      <c r="H74" s="563"/>
      <c r="I74" s="563"/>
      <c r="J74" s="563"/>
      <c r="K74" s="563"/>
      <c r="L74" s="564"/>
      <c r="M74" s="565"/>
      <c r="N74" s="1151"/>
      <c r="O74" s="1151"/>
      <c r="P74" s="2626"/>
      <c r="Q74" s="558"/>
    </row>
    <row r="75" spans="1:17" s="470" customFormat="1" ht="15.75" hidden="1" thickBot="1">
      <c r="A75" s="567"/>
      <c r="B75" s="568"/>
      <c r="C75" s="569"/>
      <c r="D75" s="569"/>
      <c r="E75" s="569"/>
      <c r="F75" s="569"/>
      <c r="G75" s="569"/>
      <c r="H75" s="570"/>
      <c r="I75" s="570"/>
      <c r="J75" s="570"/>
      <c r="K75" s="570"/>
      <c r="L75" s="570"/>
      <c r="M75" s="571"/>
      <c r="N75" s="1151"/>
      <c r="O75" s="1151"/>
      <c r="P75" s="2624"/>
      <c r="Q75" s="558"/>
    </row>
    <row r="76" spans="1:17" ht="15" thickTop="1">
      <c r="A76" s="526" t="s">
        <v>2557</v>
      </c>
      <c r="B76" s="527" t="s">
        <v>2594</v>
      </c>
      <c r="C76" s="572" t="s">
        <v>2595</v>
      </c>
      <c r="D76" s="572" t="s">
        <v>2596</v>
      </c>
      <c r="E76" s="572" t="s">
        <v>2597</v>
      </c>
      <c r="F76" s="572" t="s">
        <v>2598</v>
      </c>
      <c r="G76" s="572" t="s">
        <v>2599</v>
      </c>
      <c r="H76" s="528"/>
      <c r="I76" s="528"/>
      <c r="J76" s="528"/>
      <c r="K76" s="573"/>
      <c r="L76" s="574"/>
      <c r="M76" s="575"/>
      <c r="N76" s="1149"/>
      <c r="O76" s="1149"/>
      <c r="P76" s="2627"/>
      <c r="Q76" s="503"/>
    </row>
    <row r="77" spans="1:17" ht="15.75" thickBot="1">
      <c r="A77" s="533"/>
      <c r="B77" s="542"/>
      <c r="C77" s="543">
        <v>100</v>
      </c>
      <c r="D77" s="543">
        <f>C77-$K15</f>
        <v>97</v>
      </c>
      <c r="E77" s="543">
        <f>D77-$K15</f>
        <v>94</v>
      </c>
      <c r="F77" s="543">
        <f>E77-$K15</f>
        <v>91</v>
      </c>
      <c r="G77" s="543">
        <f>F77-$K15</f>
        <v>88</v>
      </c>
      <c r="H77" s="543"/>
      <c r="I77" s="543"/>
      <c r="J77" s="543"/>
      <c r="K77" s="543"/>
      <c r="L77" s="543"/>
      <c r="M77" s="544"/>
      <c r="N77" s="1150"/>
      <c r="O77" s="1150"/>
      <c r="P77" s="2623"/>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9"/>
      <c r="O78" s="1149"/>
      <c r="P78" s="2623"/>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0"/>
      <c r="O79" s="1150"/>
      <c r="P79" s="2623"/>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9"/>
      <c r="O80" s="1149"/>
      <c r="P80" s="2623"/>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50"/>
      <c r="O81" s="1150"/>
      <c r="P81" s="2623"/>
      <c r="Q81" s="503"/>
    </row>
    <row r="82" spans="1:17" ht="15.75" thickTop="1">
      <c r="A82" s="533"/>
      <c r="B82" s="545" t="s">
        <v>2653</v>
      </c>
      <c r="C82" s="658" t="s">
        <v>2673</v>
      </c>
      <c r="D82" s="658" t="s">
        <v>2674</v>
      </c>
      <c r="E82" s="658" t="s">
        <v>2675</v>
      </c>
      <c r="F82" s="658" t="s">
        <v>2676</v>
      </c>
      <c r="G82" s="658" t="s">
        <v>2677</v>
      </c>
      <c r="H82" s="538"/>
      <c r="I82" s="538"/>
      <c r="J82" s="538"/>
      <c r="K82" s="538"/>
      <c r="L82" s="538"/>
      <c r="M82" s="1377"/>
      <c r="N82" s="1150"/>
      <c r="O82" s="1150"/>
      <c r="P82" s="2623"/>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0"/>
      <c r="O83" s="1150"/>
      <c r="P83" s="2623"/>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9"/>
      <c r="O84" s="1149"/>
      <c r="P84" s="2623"/>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50"/>
      <c r="O85" s="1150"/>
      <c r="P85" s="2623"/>
      <c r="Q85" s="503"/>
    </row>
    <row r="86" spans="1:17" s="116" customFormat="1" ht="15.75" thickTop="1">
      <c r="A86" s="578"/>
      <c r="B86" s="537" t="s">
        <v>2678</v>
      </c>
      <c r="C86" s="2941" t="s">
        <v>3080</v>
      </c>
      <c r="D86" s="2941" t="s">
        <v>3081</v>
      </c>
      <c r="E86" s="2941" t="s">
        <v>3083</v>
      </c>
      <c r="F86" s="2941" t="s">
        <v>3084</v>
      </c>
      <c r="G86" s="553"/>
      <c r="H86" s="553"/>
      <c r="I86" s="553"/>
      <c r="J86" s="553"/>
      <c r="K86" s="553"/>
      <c r="L86" s="579"/>
      <c r="M86" s="580"/>
      <c r="N86" s="1148"/>
      <c r="O86" s="1148"/>
      <c r="P86" s="2623"/>
      <c r="Q86" s="503"/>
    </row>
    <row r="87" spans="1:17" s="116" customFormat="1" ht="15.75" thickBot="1">
      <c r="A87" s="578"/>
      <c r="B87" s="542"/>
      <c r="C87" s="581">
        <v>100</v>
      </c>
      <c r="D87" s="543">
        <f t="shared" ref="D87:M87" si="20">C87-$K25</f>
        <v>97</v>
      </c>
      <c r="E87" s="543">
        <f t="shared" si="20"/>
        <v>94</v>
      </c>
      <c r="F87" s="543">
        <f t="shared" si="20"/>
        <v>91</v>
      </c>
      <c r="G87" s="543">
        <f t="shared" si="20"/>
        <v>88</v>
      </c>
      <c r="H87" s="543">
        <f t="shared" si="20"/>
        <v>85</v>
      </c>
      <c r="I87" s="543">
        <f t="shared" si="20"/>
        <v>82</v>
      </c>
      <c r="J87" s="543">
        <f t="shared" si="20"/>
        <v>79</v>
      </c>
      <c r="K87" s="543">
        <f t="shared" si="20"/>
        <v>76</v>
      </c>
      <c r="L87" s="543">
        <f t="shared" si="20"/>
        <v>73</v>
      </c>
      <c r="M87" s="543">
        <f t="shared" si="20"/>
        <v>70</v>
      </c>
      <c r="N87" s="1150"/>
      <c r="O87" s="1150"/>
      <c r="P87" s="2623"/>
      <c r="Q87" s="503"/>
    </row>
    <row r="88" spans="1:17" s="116" customFormat="1" ht="15.75" thickTop="1">
      <c r="A88" s="578"/>
      <c r="B88" s="537" t="str">
        <f>B26</f>
        <v>平面位置/可视性</v>
      </c>
      <c r="C88" s="2941" t="s">
        <v>3085</v>
      </c>
      <c r="D88" s="2941" t="s">
        <v>3086</v>
      </c>
      <c r="E88" s="2941" t="s">
        <v>3087</v>
      </c>
      <c r="F88" s="2942" t="s">
        <v>3088</v>
      </c>
      <c r="G88" s="2941" t="s">
        <v>3089</v>
      </c>
      <c r="H88" s="553"/>
      <c r="I88" s="553"/>
      <c r="J88" s="553"/>
      <c r="K88" s="553"/>
      <c r="L88" s="553"/>
      <c r="M88" s="580"/>
      <c r="N88" s="1148"/>
      <c r="O88" s="1148"/>
      <c r="P88" s="2623"/>
      <c r="Q88" s="503"/>
    </row>
    <row r="89" spans="1:17" s="116" customFormat="1" ht="15.75" thickBot="1">
      <c r="A89" s="578"/>
      <c r="B89" s="542"/>
      <c r="C89" s="559">
        <v>100</v>
      </c>
      <c r="D89" s="535">
        <v>97</v>
      </c>
      <c r="E89" s="535">
        <v>94</v>
      </c>
      <c r="F89" s="535">
        <v>91</v>
      </c>
      <c r="G89" s="535">
        <v>88</v>
      </c>
      <c r="H89" s="535"/>
      <c r="I89" s="535"/>
      <c r="J89" s="535"/>
      <c r="K89" s="535"/>
      <c r="L89" s="535"/>
      <c r="M89" s="535"/>
      <c r="N89" s="1150"/>
      <c r="O89" s="1150"/>
      <c r="P89" s="2623"/>
      <c r="Q89" s="503"/>
    </row>
    <row r="90" spans="1:17" s="470" customFormat="1" ht="15.75" thickTop="1">
      <c r="A90" s="552"/>
      <c r="B90" s="537" t="str">
        <f>B27</f>
        <v>人流量</v>
      </c>
      <c r="C90" s="2941" t="s">
        <v>3085</v>
      </c>
      <c r="D90" s="2941" t="s">
        <v>3086</v>
      </c>
      <c r="E90" s="2941" t="s">
        <v>3087</v>
      </c>
      <c r="F90" s="2942" t="s">
        <v>3088</v>
      </c>
      <c r="G90" s="2941" t="s">
        <v>3089</v>
      </c>
      <c r="H90" s="554"/>
      <c r="I90" s="554"/>
      <c r="J90" s="554"/>
      <c r="K90" s="554"/>
      <c r="L90" s="555"/>
      <c r="M90" s="556"/>
      <c r="N90" s="1151"/>
      <c r="O90" s="1151"/>
      <c r="P90" s="2624"/>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1"/>
      <c r="O91" s="1151"/>
      <c r="P91" s="2624"/>
      <c r="Q91" s="558"/>
    </row>
    <row r="92" spans="1:17" ht="15.75" thickTop="1">
      <c r="A92" s="533"/>
      <c r="B92" s="537" t="str">
        <f>B28</f>
        <v>楼层</v>
      </c>
      <c r="C92" s="3046" t="s">
        <v>3285</v>
      </c>
      <c r="D92" s="3046" t="s">
        <v>3286</v>
      </c>
      <c r="E92" s="3046" t="s">
        <v>3287</v>
      </c>
      <c r="F92" s="3046" t="s">
        <v>3288</v>
      </c>
      <c r="G92" s="553"/>
      <c r="H92" s="553"/>
      <c r="I92" s="553"/>
      <c r="J92" s="553"/>
      <c r="K92" s="553"/>
      <c r="L92" s="579"/>
      <c r="M92" s="580"/>
      <c r="N92" s="1149"/>
      <c r="O92" s="1149"/>
      <c r="P92" s="2623"/>
      <c r="Q92" s="503"/>
    </row>
    <row r="93" spans="1:17" ht="15.75" thickBot="1">
      <c r="A93" s="533"/>
      <c r="B93" s="542"/>
      <c r="C93" s="3047">
        <v>100</v>
      </c>
      <c r="D93" s="3047">
        <v>85</v>
      </c>
      <c r="E93" s="3047">
        <v>60</v>
      </c>
      <c r="F93" s="3047">
        <v>50</v>
      </c>
      <c r="G93" s="535"/>
      <c r="H93" s="535"/>
      <c r="I93" s="535"/>
      <c r="J93" s="535"/>
      <c r="K93" s="535"/>
      <c r="L93" s="535"/>
      <c r="M93" s="536"/>
      <c r="N93" s="1150"/>
      <c r="O93" s="1150"/>
      <c r="P93" s="2623"/>
      <c r="Q93" s="503"/>
    </row>
    <row r="94" spans="1:17" ht="15.75" hidden="1" thickTop="1">
      <c r="A94" s="533"/>
      <c r="B94" s="537">
        <f>B29</f>
        <v>111</v>
      </c>
      <c r="C94" s="553"/>
      <c r="D94" s="553"/>
      <c r="E94" s="553"/>
      <c r="F94" s="553"/>
      <c r="G94" s="582"/>
      <c r="H94" s="582"/>
      <c r="I94" s="582"/>
      <c r="J94" s="582"/>
      <c r="K94" s="583"/>
      <c r="L94" s="584"/>
      <c r="M94" s="585"/>
      <c r="N94" s="1149"/>
      <c r="O94" s="1149"/>
      <c r="P94" s="2623"/>
      <c r="Q94" s="503"/>
    </row>
    <row r="95" spans="1:17" ht="15.75" hidden="1" thickBot="1">
      <c r="A95" s="533"/>
      <c r="B95" s="542"/>
      <c r="C95" s="559"/>
      <c r="D95" s="535"/>
      <c r="E95" s="535"/>
      <c r="F95" s="535"/>
      <c r="G95" s="535"/>
      <c r="H95" s="535"/>
      <c r="I95" s="535"/>
      <c r="J95" s="535"/>
      <c r="K95" s="535"/>
      <c r="L95" s="535"/>
      <c r="M95" s="536"/>
      <c r="N95" s="1150"/>
      <c r="O95" s="1150"/>
      <c r="P95" s="2623"/>
      <c r="Q95" s="503"/>
    </row>
    <row r="96" spans="1:17" ht="15.75" hidden="1" thickTop="1">
      <c r="A96" s="533"/>
      <c r="B96" s="537">
        <f>B30</f>
        <v>111</v>
      </c>
      <c r="C96" s="553"/>
      <c r="D96" s="553"/>
      <c r="E96" s="553"/>
      <c r="F96" s="553"/>
      <c r="G96" s="582"/>
      <c r="H96" s="582"/>
      <c r="I96" s="582"/>
      <c r="J96" s="582"/>
      <c r="K96" s="583"/>
      <c r="L96" s="584"/>
      <c r="M96" s="585"/>
      <c r="N96" s="1149"/>
      <c r="O96" s="1149"/>
      <c r="P96" s="2623"/>
      <c r="Q96" s="503"/>
    </row>
    <row r="97" spans="1:17" ht="15.75" hidden="1" thickBot="1">
      <c r="A97" s="533"/>
      <c r="B97" s="542"/>
      <c r="C97" s="559"/>
      <c r="D97" s="535"/>
      <c r="E97" s="535"/>
      <c r="F97" s="535"/>
      <c r="G97" s="535"/>
      <c r="H97" s="535"/>
      <c r="I97" s="535"/>
      <c r="J97" s="535"/>
      <c r="K97" s="535"/>
      <c r="L97" s="535"/>
      <c r="M97" s="536"/>
      <c r="N97" s="1150"/>
      <c r="O97" s="1150"/>
      <c r="P97" s="2623"/>
      <c r="Q97" s="503"/>
    </row>
    <row r="98" spans="1:17" ht="15.75" hidden="1" thickTop="1">
      <c r="A98" s="533"/>
      <c r="B98" s="545">
        <f>B31</f>
        <v>111</v>
      </c>
      <c r="C98" s="553"/>
      <c r="D98" s="553"/>
      <c r="E98" s="553"/>
      <c r="F98" s="553"/>
      <c r="G98" s="586"/>
      <c r="H98" s="586"/>
      <c r="I98" s="586"/>
      <c r="J98" s="586"/>
      <c r="K98" s="587"/>
      <c r="L98" s="588"/>
      <c r="M98" s="589"/>
      <c r="N98" s="1149"/>
      <c r="O98" s="1149"/>
      <c r="P98" s="2623"/>
      <c r="Q98" s="503"/>
    </row>
    <row r="99" spans="1:17" ht="15.75" hidden="1" thickBot="1">
      <c r="A99" s="2629"/>
      <c r="B99" s="568"/>
      <c r="C99" s="569"/>
      <c r="D99" s="569"/>
      <c r="E99" s="569"/>
      <c r="F99" s="569"/>
      <c r="G99" s="590"/>
      <c r="H99" s="590"/>
      <c r="I99" s="590"/>
      <c r="J99" s="590"/>
      <c r="K99" s="590"/>
      <c r="L99" s="590"/>
      <c r="M99" s="591"/>
      <c r="N99" s="1150"/>
      <c r="O99" s="1150"/>
      <c r="P99" s="2623"/>
      <c r="Q99" s="503"/>
    </row>
    <row r="100" spans="1:17" ht="15" thickTop="1">
      <c r="A100" s="526" t="s">
        <v>2561</v>
      </c>
      <c r="B100" s="527" t="s">
        <v>2679</v>
      </c>
      <c r="C100" s="2943" t="s">
        <v>3090</v>
      </c>
      <c r="D100" s="2943" t="s">
        <v>3092</v>
      </c>
      <c r="E100" s="2943" t="s">
        <v>3093</v>
      </c>
      <c r="F100" s="2943" t="s">
        <v>3094</v>
      </c>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0"/>
      <c r="O101" s="1150"/>
      <c r="P101" s="2623"/>
      <c r="Q101" s="503"/>
    </row>
    <row r="102" spans="1:17" ht="29.25" thickTop="1">
      <c r="A102" s="533"/>
      <c r="B102" s="537" t="s">
        <v>2611</v>
      </c>
      <c r="C102" s="577" t="str">
        <f>C103&amp;"(含)"&amp;"-"&amp;D103</f>
        <v>0(含)-100000</v>
      </c>
      <c r="D102" s="577" t="str">
        <f t="shared" ref="D102:L102" si="23">D103&amp;"(含)"&amp;"-"&amp;E103</f>
        <v>100000(含)-200000</v>
      </c>
      <c r="E102" s="577" t="str">
        <f t="shared" si="23"/>
        <v>200000(含)-300000</v>
      </c>
      <c r="F102" s="577" t="str">
        <f t="shared" si="23"/>
        <v>300000(含)-400000</v>
      </c>
      <c r="G102" s="577" t="str">
        <f t="shared" si="23"/>
        <v>400000(含)-500000</v>
      </c>
      <c r="H102" s="577" t="str">
        <f t="shared" si="23"/>
        <v>500000(含)-</v>
      </c>
      <c r="I102" s="577" t="str">
        <f t="shared" si="23"/>
        <v>(含)-</v>
      </c>
      <c r="J102" s="577" t="str">
        <f t="shared" si="23"/>
        <v>(含)-</v>
      </c>
      <c r="K102" s="577" t="str">
        <f t="shared" si="23"/>
        <v>(含)-</v>
      </c>
      <c r="L102" s="577" t="str">
        <f t="shared" si="23"/>
        <v>(含)-</v>
      </c>
      <c r="M102" s="620" t="str">
        <f>M103&amp;"(含)"&amp;"-"&amp;P103</f>
        <v>(含)-</v>
      </c>
      <c r="N102" s="1148"/>
      <c r="O102" s="1148"/>
      <c r="P102" s="2623"/>
      <c r="Q102" s="503"/>
    </row>
    <row r="103" spans="1:17" s="470" customFormat="1">
      <c r="A103" s="592"/>
      <c r="B103" s="593"/>
      <c r="C103" s="594">
        <v>0</v>
      </c>
      <c r="D103" s="594">
        <v>100000</v>
      </c>
      <c r="E103" s="594">
        <v>200000</v>
      </c>
      <c r="F103" s="594">
        <v>300000</v>
      </c>
      <c r="G103" s="594">
        <v>400000</v>
      </c>
      <c r="H103" s="594">
        <v>500000</v>
      </c>
      <c r="I103" s="594"/>
      <c r="J103" s="595"/>
      <c r="K103" s="595"/>
      <c r="L103" s="596"/>
      <c r="M103" s="597"/>
      <c r="N103" s="1151"/>
      <c r="O103" s="1151"/>
      <c r="P103" s="2624"/>
      <c r="Q103" s="558"/>
    </row>
    <row r="104" spans="1:17" s="470" customFormat="1" ht="15.75" thickBot="1">
      <c r="A104" s="552"/>
      <c r="B104" s="542"/>
      <c r="C104" s="559">
        <v>100</v>
      </c>
      <c r="D104" s="535">
        <v>102</v>
      </c>
      <c r="E104" s="535">
        <v>104</v>
      </c>
      <c r="F104" s="535">
        <v>106</v>
      </c>
      <c r="G104" s="535">
        <v>108</v>
      </c>
      <c r="H104" s="535">
        <v>110</v>
      </c>
      <c r="I104" s="535"/>
      <c r="J104" s="535"/>
      <c r="K104" s="535"/>
      <c r="L104" s="535"/>
      <c r="M104" s="536"/>
      <c r="N104" s="1150"/>
      <c r="O104" s="1150"/>
      <c r="P104" s="2624"/>
      <c r="Q104" s="558"/>
    </row>
    <row r="105" spans="1:17" ht="15" thickTop="1">
      <c r="A105" s="598"/>
      <c r="B105" s="537" t="s">
        <v>2612</v>
      </c>
      <c r="C105" s="2941" t="s">
        <v>3095</v>
      </c>
      <c r="D105" s="2941" t="s">
        <v>3096</v>
      </c>
      <c r="E105" s="2944" t="s">
        <v>3097</v>
      </c>
      <c r="F105" s="2944" t="s">
        <v>3098</v>
      </c>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2614</v>
      </c>
      <c r="C107" s="2941" t="s">
        <v>3100</v>
      </c>
      <c r="D107" s="2941" t="s">
        <v>3102</v>
      </c>
      <c r="E107" s="2941" t="s">
        <v>3104</v>
      </c>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0"/>
      <c r="O108" s="1150"/>
      <c r="P108" s="2623"/>
      <c r="Q108" s="503"/>
    </row>
    <row r="109" spans="1:17" ht="15" thickTop="1">
      <c r="A109" s="598"/>
      <c r="B109" s="537" t="s">
        <v>1994</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1"/>
      <c r="J110" s="621"/>
      <c r="K110" s="622"/>
      <c r="L110" s="623"/>
      <c r="M110" s="624"/>
      <c r="N110" s="1149"/>
      <c r="O110" s="1149"/>
      <c r="P110" s="2623"/>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3"/>
      <c r="Q111" s="503"/>
    </row>
    <row r="112" spans="1:17" s="470" customFormat="1" ht="15" thickTop="1">
      <c r="A112" s="592"/>
      <c r="B112" s="537" t="s">
        <v>2616</v>
      </c>
      <c r="C112" s="2941" t="s">
        <v>3109</v>
      </c>
      <c r="D112" s="2941" t="s">
        <v>3105</v>
      </c>
      <c r="E112" s="2941" t="s">
        <v>3106</v>
      </c>
      <c r="F112" s="2941" t="s">
        <v>3107</v>
      </c>
      <c r="G112" s="2941" t="s">
        <v>3108</v>
      </c>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2680</v>
      </c>
      <c r="C114" s="2941" t="s">
        <v>3111</v>
      </c>
      <c r="D114" s="2941" t="s">
        <v>3112</v>
      </c>
      <c r="E114" s="2944" t="s">
        <v>3113</v>
      </c>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97</v>
      </c>
      <c r="E115" s="543">
        <f t="shared" si="28"/>
        <v>94</v>
      </c>
      <c r="F115" s="543">
        <f t="shared" si="28"/>
        <v>91</v>
      </c>
      <c r="G115" s="543">
        <f t="shared" si="28"/>
        <v>88</v>
      </c>
      <c r="H115" s="543">
        <f t="shared" si="28"/>
        <v>85</v>
      </c>
      <c r="I115" s="543">
        <f t="shared" si="28"/>
        <v>82</v>
      </c>
      <c r="J115" s="543">
        <f t="shared" si="28"/>
        <v>79</v>
      </c>
      <c r="K115" s="543">
        <f t="shared" si="28"/>
        <v>76</v>
      </c>
      <c r="L115" s="543">
        <f t="shared" si="28"/>
        <v>73</v>
      </c>
      <c r="M115" s="544">
        <f t="shared" si="28"/>
        <v>70</v>
      </c>
      <c r="N115" s="1150"/>
      <c r="O115" s="1150"/>
      <c r="P115" s="2623"/>
      <c r="Q115" s="503"/>
    </row>
    <row r="116" spans="1:17" ht="15" thickTop="1">
      <c r="A116" s="598"/>
      <c r="B116" s="537" t="s">
        <v>2681</v>
      </c>
      <c r="C116" s="2941" t="s">
        <v>3115</v>
      </c>
      <c r="D116" s="2941" t="s">
        <v>3116</v>
      </c>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3"/>
      <c r="Q117" s="503"/>
    </row>
    <row r="118" spans="1:17" ht="15.75" thickTop="1">
      <c r="A118" s="598"/>
      <c r="B118" s="537" t="s">
        <v>2682</v>
      </c>
      <c r="C118" s="3052">
        <f>C40</f>
        <v>790.58</v>
      </c>
      <c r="D118" s="3046">
        <f>E40</f>
        <v>550</v>
      </c>
      <c r="E118" s="3046">
        <f>G40</f>
        <v>750</v>
      </c>
      <c r="F118" s="3046">
        <f>I40</f>
        <v>690</v>
      </c>
      <c r="G118" s="625"/>
      <c r="H118" s="554"/>
      <c r="I118" s="554"/>
      <c r="J118" s="554"/>
      <c r="K118" s="554"/>
      <c r="L118" s="555"/>
      <c r="M118" s="556"/>
      <c r="N118" s="1149"/>
      <c r="O118" s="1149"/>
      <c r="P118" s="2623"/>
      <c r="Q118" s="503"/>
    </row>
    <row r="119" spans="1:17" ht="15.75" thickBot="1">
      <c r="A119" s="533"/>
      <c r="B119" s="542"/>
      <c r="C119" s="3047">
        <v>100</v>
      </c>
      <c r="D119" s="3047">
        <v>100</v>
      </c>
      <c r="E119" s="3047">
        <v>100</v>
      </c>
      <c r="F119" s="3047">
        <v>100</v>
      </c>
      <c r="G119" s="535"/>
      <c r="H119" s="535"/>
      <c r="I119" s="535"/>
      <c r="J119" s="535"/>
      <c r="K119" s="535"/>
      <c r="L119" s="535"/>
      <c r="M119" s="536"/>
      <c r="N119" s="1150"/>
      <c r="O119" s="1150"/>
      <c r="P119" s="2623"/>
      <c r="Q119" s="503"/>
    </row>
    <row r="120" spans="1:17" s="470" customFormat="1" ht="15" thickTop="1">
      <c r="A120" s="592"/>
      <c r="B120" s="537" t="s">
        <v>2683</v>
      </c>
      <c r="C120" s="2941" t="s">
        <v>3085</v>
      </c>
      <c r="D120" s="2941" t="s">
        <v>3086</v>
      </c>
      <c r="E120" s="2941" t="s">
        <v>3087</v>
      </c>
      <c r="F120" s="2942" t="s">
        <v>3088</v>
      </c>
      <c r="G120" s="2941" t="s">
        <v>3089</v>
      </c>
      <c r="H120" s="554"/>
      <c r="I120" s="554"/>
      <c r="J120" s="554"/>
      <c r="K120" s="554"/>
      <c r="L120" s="555"/>
      <c r="M120" s="556"/>
      <c r="N120" s="1151"/>
      <c r="O120" s="1151"/>
      <c r="P120" s="2624"/>
      <c r="Q120" s="558"/>
    </row>
    <row r="121" spans="1:17" s="470" customFormat="1" ht="15.75" thickBot="1">
      <c r="A121" s="552"/>
      <c r="B121" s="534"/>
      <c r="C121" s="581">
        <v>100</v>
      </c>
      <c r="D121" s="543">
        <f>C121-$K41</f>
        <v>97</v>
      </c>
      <c r="E121" s="543">
        <f t="shared" ref="E121:M121" si="29">D121-$K41</f>
        <v>94</v>
      </c>
      <c r="F121" s="543">
        <f t="shared" si="29"/>
        <v>91</v>
      </c>
      <c r="G121" s="543">
        <f t="shared" si="29"/>
        <v>88</v>
      </c>
      <c r="H121" s="543">
        <f t="shared" si="29"/>
        <v>85</v>
      </c>
      <c r="I121" s="543">
        <f t="shared" si="29"/>
        <v>82</v>
      </c>
      <c r="J121" s="543">
        <f t="shared" si="29"/>
        <v>79</v>
      </c>
      <c r="K121" s="543">
        <f t="shared" si="29"/>
        <v>76</v>
      </c>
      <c r="L121" s="543">
        <f t="shared" si="29"/>
        <v>73</v>
      </c>
      <c r="M121" s="544">
        <f t="shared" si="29"/>
        <v>70</v>
      </c>
      <c r="N121" s="1151"/>
      <c r="O121" s="1151"/>
      <c r="P121" s="2624"/>
      <c r="Q121" s="558"/>
    </row>
    <row r="122" spans="1:17" ht="15" thickTop="1">
      <c r="A122" s="598"/>
      <c r="B122" s="537" t="s">
        <v>2618</v>
      </c>
      <c r="C122" s="2941" t="s">
        <v>3100</v>
      </c>
      <c r="D122" s="2941" t="s">
        <v>3102</v>
      </c>
      <c r="E122" s="2941" t="s">
        <v>3104</v>
      </c>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95</v>
      </c>
      <c r="E123" s="543">
        <f t="shared" si="30"/>
        <v>90</v>
      </c>
      <c r="F123" s="543">
        <f t="shared" si="30"/>
        <v>85</v>
      </c>
      <c r="G123" s="543">
        <f t="shared" si="30"/>
        <v>80</v>
      </c>
      <c r="H123" s="543">
        <f t="shared" si="30"/>
        <v>75</v>
      </c>
      <c r="I123" s="543">
        <f t="shared" si="30"/>
        <v>70</v>
      </c>
      <c r="J123" s="543">
        <f t="shared" si="30"/>
        <v>65</v>
      </c>
      <c r="K123" s="543">
        <f t="shared" si="30"/>
        <v>60</v>
      </c>
      <c r="L123" s="543">
        <f t="shared" si="30"/>
        <v>55</v>
      </c>
      <c r="M123" s="544">
        <f t="shared" si="30"/>
        <v>50</v>
      </c>
      <c r="N123" s="1150"/>
      <c r="O123" s="1150"/>
      <c r="P123" s="2623"/>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9"/>
      <c r="O124" s="1149"/>
      <c r="P124" s="2624"/>
      <c r="Q124" s="503"/>
    </row>
    <row r="125" spans="1:17" ht="15.75" thickBot="1">
      <c r="A125" s="533"/>
      <c r="B125" s="542"/>
      <c r="C125" s="543">
        <v>100</v>
      </c>
      <c r="D125" s="543">
        <f>C125-$K43</f>
        <v>97</v>
      </c>
      <c r="E125" s="543">
        <f>D125-$K43</f>
        <v>94</v>
      </c>
      <c r="F125" s="543">
        <f>E125-$K43</f>
        <v>91</v>
      </c>
      <c r="G125" s="543">
        <f>F125-$K43</f>
        <v>88</v>
      </c>
      <c r="H125" s="543"/>
      <c r="I125" s="543"/>
      <c r="J125" s="543"/>
      <c r="K125" s="543"/>
      <c r="L125" s="543"/>
      <c r="M125" s="544"/>
      <c r="N125" s="1150"/>
      <c r="O125" s="1150"/>
      <c r="P125" s="2623"/>
      <c r="Q125" s="503"/>
    </row>
    <row r="126" spans="1:17" s="470" customFormat="1" ht="15" hidden="1"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hidden="1" thickBot="1">
      <c r="A127" s="552"/>
      <c r="B127" s="542"/>
      <c r="C127" s="559"/>
      <c r="D127" s="535"/>
      <c r="E127" s="535"/>
      <c r="F127" s="535"/>
      <c r="G127" s="559"/>
      <c r="H127" s="561"/>
      <c r="I127" s="561"/>
      <c r="J127" s="561"/>
      <c r="K127" s="561"/>
      <c r="L127" s="561"/>
      <c r="M127" s="562"/>
      <c r="N127" s="1151"/>
      <c r="O127" s="1151"/>
      <c r="P127" s="2624"/>
      <c r="Q127" s="558"/>
    </row>
    <row r="128" spans="1:17" ht="15" hidden="1" thickTop="1">
      <c r="A128" s="598"/>
      <c r="B128" s="537">
        <f>B45</f>
        <v>111</v>
      </c>
      <c r="C128" s="553"/>
      <c r="D128" s="553"/>
      <c r="E128" s="553"/>
      <c r="F128" s="553"/>
      <c r="G128" s="582"/>
      <c r="H128" s="582"/>
      <c r="I128" s="582"/>
      <c r="J128" s="582"/>
      <c r="K128" s="583"/>
      <c r="L128" s="584"/>
      <c r="M128" s="585"/>
      <c r="N128" s="1149"/>
      <c r="O128" s="1149"/>
      <c r="P128" s="2623"/>
      <c r="Q128" s="503"/>
    </row>
    <row r="129" spans="1:17" ht="15.75" hidden="1" thickBot="1">
      <c r="A129" s="533"/>
      <c r="B129" s="542"/>
      <c r="C129" s="559"/>
      <c r="D129" s="535"/>
      <c r="E129" s="535"/>
      <c r="F129" s="535"/>
      <c r="G129" s="535"/>
      <c r="H129" s="535"/>
      <c r="I129" s="535"/>
      <c r="J129" s="535"/>
      <c r="K129" s="535"/>
      <c r="L129" s="535"/>
      <c r="M129" s="536"/>
      <c r="N129" s="1150"/>
      <c r="O129" s="1150"/>
      <c r="P129" s="2623"/>
      <c r="Q129" s="503"/>
    </row>
    <row r="130" spans="1:17" ht="15" hidden="1" thickTop="1">
      <c r="A130" s="598"/>
      <c r="B130" s="545">
        <f>B46</f>
        <v>111</v>
      </c>
      <c r="C130" s="553"/>
      <c r="D130" s="553"/>
      <c r="E130" s="553"/>
      <c r="F130" s="553"/>
      <c r="G130" s="586"/>
      <c r="H130" s="586"/>
      <c r="I130" s="586"/>
      <c r="J130" s="586"/>
      <c r="K130" s="522"/>
      <c r="L130" s="523"/>
      <c r="M130" s="589"/>
      <c r="N130" s="1149"/>
      <c r="O130" s="1149"/>
      <c r="P130" s="2623"/>
      <c r="Q130" s="503"/>
    </row>
    <row r="131" spans="1:17" ht="15.75" hidden="1" thickBot="1">
      <c r="A131" s="2629"/>
      <c r="B131" s="568"/>
      <c r="C131" s="569"/>
      <c r="D131" s="569"/>
      <c r="E131" s="569"/>
      <c r="F131" s="569"/>
      <c r="G131" s="590"/>
      <c r="H131" s="590"/>
      <c r="I131" s="590"/>
      <c r="J131" s="590"/>
      <c r="K131" s="590"/>
      <c r="L131" s="590"/>
      <c r="M131" s="591"/>
      <c r="N131" s="1150"/>
      <c r="O131" s="1150"/>
      <c r="P131" s="2623"/>
      <c r="Q131" s="503"/>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85" t="str">
        <f>项目基本情况!B1</f>
        <v>湖北省武汉市房地产抵押价值预评估</v>
      </c>
      <c r="C37" s="3085"/>
      <c r="D37" s="3085"/>
      <c r="E37" s="3085"/>
      <c r="F37" s="3085"/>
      <c r="G37" s="3085"/>
      <c r="H37" s="3085"/>
      <c r="I37" s="3085"/>
    </row>
    <row r="38" spans="1:9">
      <c r="A38" s="1013"/>
      <c r="B38" s="1013"/>
    </row>
    <row r="39" spans="1:9">
      <c r="A39" s="1011" t="s">
        <v>818</v>
      </c>
      <c r="B39" s="1011" t="s">
        <v>820</v>
      </c>
    </row>
    <row r="40" spans="1:9">
      <c r="A40" s="1011"/>
      <c r="B40" s="1937" t="str">
        <f>项目基本情况!B5</f>
        <v>中信信托有限责任公司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ht="12.75">
      <c r="B46" s="1937" t="str">
        <f ca="1">项目基本情况!K4</f>
        <v>郑燚（注册号：1120070131)、王萌（注册号：1120130048)</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2"/>
      <c r="C1" s="241"/>
      <c r="D1" s="241"/>
      <c r="E1" s="241"/>
      <c r="F1" s="241"/>
      <c r="G1" s="1374">
        <f>MATCH(B1,'数据-取费表'!A6:A16,0)+5</f>
        <v>8</v>
      </c>
    </row>
    <row r="2" spans="1:9" s="243" customFormat="1" ht="18" customHeight="1">
      <c r="A2" s="244" t="s">
        <v>2325</v>
      </c>
      <c r="B2" s="245">
        <f ca="1">IF(D2="——",C52,C52-E2)</f>
        <v>6708</v>
      </c>
      <c r="C2" s="242" t="s">
        <v>2326</v>
      </c>
      <c r="D2" s="2540" t="s">
        <v>70</v>
      </c>
      <c r="E2" s="1435"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4758</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C6+C7+C8</f>
        <v>0</v>
      </c>
      <c r="D5" s="254" t="s">
        <v>2332</v>
      </c>
      <c r="E5" s="255" t="s">
        <v>2333</v>
      </c>
      <c r="F5" s="255" t="s">
        <v>2334</v>
      </c>
      <c r="G5" s="256"/>
    </row>
    <row r="6" spans="1:9" s="257" customFormat="1" ht="13.5" customHeight="1">
      <c r="A6" s="946" t="s">
        <v>2335</v>
      </c>
      <c r="B6" s="258" t="s">
        <v>2336</v>
      </c>
      <c r="C6" s="259"/>
      <c r="D6" s="260"/>
      <c r="E6" s="261"/>
      <c r="F6" s="261"/>
      <c r="G6" s="262"/>
    </row>
    <row r="7" spans="1:9" s="257" customFormat="1" ht="13.5" customHeight="1">
      <c r="A7" s="946" t="s">
        <v>2337</v>
      </c>
      <c r="B7" s="258" t="s">
        <v>2338</v>
      </c>
      <c r="C7" s="263">
        <f>ROUND(C6*F7,0)</f>
        <v>0</v>
      </c>
      <c r="D7" s="263"/>
      <c r="E7" s="261"/>
      <c r="F7" s="264">
        <f>'数据-取费表'!B48+'数据-取费表'!B49</f>
        <v>3.0499999999999999E-2</v>
      </c>
      <c r="G7" s="262"/>
    </row>
    <row r="8" spans="1:9" s="266" customFormat="1">
      <c r="A8" s="946" t="s">
        <v>2339</v>
      </c>
      <c r="B8" s="258" t="s">
        <v>2340</v>
      </c>
      <c r="C8" s="263">
        <f>IF(G8="已包含在土地购买价格中","0",IF(B1="",'数据-取费表'!B29,IF(G9="全部缴纳",C9+C10,H9)))</f>
        <v>0</v>
      </c>
      <c r="D8" s="265"/>
      <c r="E8" s="263"/>
      <c r="F8" s="264"/>
      <c r="G8" s="2543"/>
    </row>
    <row r="9" spans="1:9" s="257" customFormat="1" ht="13.5" customHeight="1">
      <c r="A9" s="947" t="s">
        <v>800</v>
      </c>
      <c r="B9" s="267" t="s">
        <v>2341</v>
      </c>
      <c r="C9" s="268">
        <f ca="1">ROUND(D9*E9/10000,0)</f>
        <v>0</v>
      </c>
      <c r="D9" s="1029">
        <f ca="1">IF(B1="",'数据-汇总表'!E5,IF(INDIRECT("'数据-取费表'!c"&amp;$G$1)="住宅",INDIRECT("'数据-取费表'!k"&amp;$G$1),0))</f>
        <v>0</v>
      </c>
      <c r="E9" s="268">
        <f>'数据-取费表'!B27</f>
        <v>120</v>
      </c>
      <c r="F9" s="264"/>
      <c r="G9" s="2544"/>
      <c r="H9" s="1385"/>
      <c r="I9" s="2545" t="s">
        <v>2342</v>
      </c>
    </row>
    <row r="10" spans="1:9" s="257" customFormat="1" ht="13.5" customHeight="1">
      <c r="A10" s="947" t="s">
        <v>801</v>
      </c>
      <c r="B10" s="267" t="s">
        <v>2343</v>
      </c>
      <c r="C10" s="268">
        <f ca="1">ROUND(D10*E10/10000,0)</f>
        <v>169</v>
      </c>
      <c r="D10" s="1029">
        <f ca="1">IF(B1="",'数据-汇总表'!E6,IF(INDIRECT("'数据-取费表'!c"&amp;$G$1)="住宅",INDIRECT("'数据-取费表'!s"&amp;$G$1),INDIRECT("'数据-取费表'!k"&amp;$G$1)+INDIRECT("'数据-取费表'!s"&amp;$G$1)))</f>
        <v>14099.390000000001</v>
      </c>
      <c r="E10" s="268">
        <f>'数据-取费表'!B28</f>
        <v>120</v>
      </c>
      <c r="F10" s="264"/>
      <c r="G10" s="269"/>
    </row>
    <row r="11" spans="1:9" s="257" customFormat="1" ht="13.5" hidden="1" customHeight="1">
      <c r="A11" s="270" t="s">
        <v>7</v>
      </c>
      <c r="B11" s="258" t="s">
        <v>2344</v>
      </c>
      <c r="C11" s="254"/>
      <c r="D11" s="1031"/>
      <c r="E11" s="261"/>
      <c r="F11" s="261"/>
      <c r="G11" s="262"/>
    </row>
    <row r="12" spans="1:9" s="257" customFormat="1" ht="13.5" hidden="1" customHeight="1">
      <c r="A12" s="270" t="s">
        <v>8</v>
      </c>
      <c r="B12" s="258" t="s">
        <v>2345</v>
      </c>
      <c r="C12" s="254">
        <v>0</v>
      </c>
      <c r="D12" s="1031"/>
      <c r="E12" s="271"/>
      <c r="F12" s="264">
        <v>3.0499999999999999E-2</v>
      </c>
      <c r="G12" s="262"/>
    </row>
    <row r="13" spans="1:9" s="257" customFormat="1" ht="13.5" hidden="1" customHeight="1">
      <c r="A13" s="270" t="s">
        <v>9</v>
      </c>
      <c r="B13" s="258" t="s">
        <v>2346</v>
      </c>
      <c r="C13" s="254"/>
      <c r="D13" s="1031"/>
      <c r="E13" s="261"/>
      <c r="F13" s="261"/>
      <c r="G13" s="262"/>
    </row>
    <row r="14" spans="1:9" s="257" customFormat="1" ht="13.5" hidden="1" customHeight="1">
      <c r="A14" s="270" t="s">
        <v>10</v>
      </c>
      <c r="B14" s="258" t="s">
        <v>2347</v>
      </c>
      <c r="C14" s="254"/>
      <c r="D14" s="1031"/>
      <c r="E14" s="261"/>
      <c r="F14" s="261"/>
      <c r="G14" s="262" t="s">
        <v>2348</v>
      </c>
    </row>
    <row r="15" spans="1:9" s="257" customFormat="1" ht="13.5" hidden="1" customHeight="1">
      <c r="A15" s="270" t="s">
        <v>11</v>
      </c>
      <c r="B15" s="258" t="s">
        <v>2349</v>
      </c>
      <c r="C15" s="263"/>
      <c r="D15" s="1031"/>
      <c r="E15" s="261"/>
      <c r="F15" s="261"/>
      <c r="G15" s="262" t="s">
        <v>2350</v>
      </c>
    </row>
    <row r="16" spans="1:9" s="257" customFormat="1" ht="13.5" hidden="1" customHeight="1">
      <c r="A16" s="270" t="s">
        <v>12</v>
      </c>
      <c r="B16" s="258" t="s">
        <v>2347</v>
      </c>
      <c r="C16" s="263"/>
      <c r="D16" s="1031"/>
      <c r="E16" s="261"/>
      <c r="F16" s="261"/>
      <c r="G16" s="262"/>
    </row>
    <row r="17" spans="1:7" s="257" customFormat="1" ht="13.5" hidden="1" customHeight="1">
      <c r="A17" s="270" t="s">
        <v>13</v>
      </c>
      <c r="B17" s="258" t="s">
        <v>2351</v>
      </c>
      <c r="C17" s="272"/>
      <c r="D17" s="1032"/>
      <c r="E17" s="272"/>
      <c r="F17" s="272"/>
      <c r="G17" s="262" t="s">
        <v>2350</v>
      </c>
    </row>
    <row r="18" spans="1:7" s="257" customFormat="1" ht="13.5" hidden="1" customHeight="1">
      <c r="A18" s="270" t="s">
        <v>14</v>
      </c>
      <c r="B18" s="258" t="s">
        <v>2352</v>
      </c>
      <c r="C18" s="263">
        <v>0</v>
      </c>
      <c r="D18" s="1031"/>
      <c r="E18" s="261"/>
      <c r="F18" s="264">
        <v>3.0499999999999999E-2</v>
      </c>
      <c r="G18" s="262" t="s">
        <v>2353</v>
      </c>
    </row>
    <row r="19" spans="1:7" s="266" customFormat="1" ht="13.5" customHeight="1">
      <c r="A19" s="298" t="s">
        <v>2354</v>
      </c>
      <c r="B19" s="253" t="s">
        <v>2355</v>
      </c>
      <c r="C19" s="254">
        <f ca="1">IF(G19="已包含在土地取得成本中","0",ROUND(D19*E19/10000,0))</f>
        <v>282</v>
      </c>
      <c r="D19" s="1033">
        <f ca="1">D9+D10</f>
        <v>14099.390000000001</v>
      </c>
      <c r="E19" s="254">
        <f>'数据-取费表'!B31</f>
        <v>200</v>
      </c>
      <c r="F19" s="274"/>
      <c r="G19" s="2543"/>
    </row>
    <row r="20" spans="1:7" s="257" customFormat="1" ht="13.5" customHeight="1">
      <c r="A20" s="298" t="s">
        <v>2356</v>
      </c>
      <c r="B20" s="253" t="s">
        <v>2357</v>
      </c>
      <c r="C20" s="275">
        <f ca="1">ROUND((C5+C19)*F20,0)</f>
        <v>6</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49">
        <f ca="1">ROUND(SUM(C23:C25),0)</f>
        <v>35</v>
      </c>
      <c r="D22" s="278">
        <f ca="1">C26</f>
        <v>1.1999999999999999E-3</v>
      </c>
      <c r="E22" s="279" t="s">
        <v>2361</v>
      </c>
      <c r="F22" s="280">
        <f ca="1">'数据-取费表'!B40</f>
        <v>4.7500000000000001E-2</v>
      </c>
      <c r="G22" s="277" t="str">
        <f>IF('数据-取费表'!B22&lt;=1,"单利计息","复利计息")</f>
        <v>复利计息</v>
      </c>
    </row>
    <row r="23" spans="1:7" s="257" customFormat="1" ht="13.5" customHeight="1">
      <c r="A23" s="948" t="s">
        <v>2365</v>
      </c>
      <c r="B23" s="258" t="s">
        <v>2366</v>
      </c>
      <c r="C23" s="1350">
        <f ca="1">ROUND(IF('数据-取费表'!B22&lt;=1,C5*F22*'数据-取费表'!B23,C5*(POWER((1+F22),'数据-取费表'!B23)-1)),0)</f>
        <v>0</v>
      </c>
      <c r="D23" s="281"/>
      <c r="E23" s="281"/>
      <c r="F23" s="282"/>
      <c r="G23" s="283" t="s">
        <v>2367</v>
      </c>
    </row>
    <row r="24" spans="1:7" s="257" customFormat="1" ht="13.5" customHeight="1">
      <c r="A24" s="948" t="s">
        <v>2368</v>
      </c>
      <c r="B24" s="258" t="s">
        <v>2369</v>
      </c>
      <c r="C24" s="1350">
        <f ca="1">ROUND(IF('数据-取费表'!B22&lt;=1,C19*F22*('数据-取费表'!B19/2+'数据-取费表'!B21),C19*(POWER((1+F22),('数据-取费表'!B19/2+'数据-取费表'!B21))-1)),0)</f>
        <v>35</v>
      </c>
      <c r="D24" s="281"/>
      <c r="E24" s="281"/>
      <c r="F24" s="282"/>
      <c r="G24" s="283" t="s">
        <v>2370</v>
      </c>
    </row>
    <row r="25" spans="1:7" s="257" customFormat="1" ht="24">
      <c r="A25" s="948" t="s">
        <v>2371</v>
      </c>
      <c r="B25" s="258" t="s">
        <v>2372</v>
      </c>
      <c r="C25" s="1350">
        <f ca="1">ROUND(IF('数据-取费表'!B22&lt;=1,C20*F22*'数据-取费表'!B23/2,C20*(POWER((1+F22),'数据-取费表'!B23/2)-1)),0)</f>
        <v>0</v>
      </c>
      <c r="D25" s="281"/>
      <c r="E25" s="284"/>
      <c r="F25" s="282"/>
      <c r="G25" s="285" t="s">
        <v>2373</v>
      </c>
    </row>
    <row r="26" spans="1:7" s="257" customFormat="1">
      <c r="A26" s="948" t="s">
        <v>795</v>
      </c>
      <c r="B26" s="258" t="s">
        <v>2374</v>
      </c>
      <c r="C26" s="281">
        <f ca="1">ROUND(IF('数据-取费表'!B22&lt;=1,F21*F22*'数据-取费表'!B23/2,F21*(POWER((1+F22),'数据-取费表'!B23/2)-1)),4)</f>
        <v>1.1999999999999999E-3</v>
      </c>
      <c r="D26" s="281"/>
      <c r="E26" s="284"/>
      <c r="F26" s="282"/>
      <c r="G26" s="286"/>
    </row>
    <row r="27" spans="1:7" s="257" customFormat="1" ht="24.75">
      <c r="A27" s="298" t="s">
        <v>2375</v>
      </c>
      <c r="B27" s="287" t="s">
        <v>2376</v>
      </c>
      <c r="C27" s="288">
        <f ca="1">C28</f>
        <v>72</v>
      </c>
      <c r="D27" s="278">
        <f ca="1">C29</f>
        <v>5.0000000000000001E-3</v>
      </c>
      <c r="E27" s="279" t="s">
        <v>2377</v>
      </c>
      <c r="F27" s="289">
        <f ca="1">IF(B1="",'数据-取费表'!Q16,INDIRECT("'数据-取费表'!q"&amp;$G$1))</f>
        <v>0.25</v>
      </c>
      <c r="G27" s="290" t="s">
        <v>2378</v>
      </c>
    </row>
    <row r="28" spans="1:7" s="257" customFormat="1" ht="13.5" customHeight="1">
      <c r="A28" s="948" t="s">
        <v>791</v>
      </c>
      <c r="B28" s="291" t="s">
        <v>2379</v>
      </c>
      <c r="C28" s="292">
        <f ca="1">ROUND((C5+C19+C20)*F27*'数据-取费表'!B21/'数据-取费表'!B20,0)</f>
        <v>72</v>
      </c>
      <c r="D28" s="278"/>
      <c r="E28" s="279"/>
      <c r="F28" s="289"/>
      <c r="G28" s="290"/>
    </row>
    <row r="29" spans="1:7" s="257" customFormat="1" ht="13.5" customHeight="1">
      <c r="A29" s="948" t="s">
        <v>792</v>
      </c>
      <c r="B29" s="291" t="s">
        <v>2380</v>
      </c>
      <c r="C29" s="281">
        <f ca="1">ROUND(C21*F27*'数据-取费表'!B21/'数据-取费表'!B20,4)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429</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4702</v>
      </c>
      <c r="D33" s="275"/>
      <c r="E33" s="255"/>
      <c r="F33" s="284"/>
      <c r="G33" s="277"/>
    </row>
    <row r="34" spans="1:7" s="301" customFormat="1" ht="13.5" customHeight="1">
      <c r="A34" s="948" t="s">
        <v>791</v>
      </c>
      <c r="B34" s="258" t="s">
        <v>2388</v>
      </c>
      <c r="C34" s="263">
        <f ca="1">IF(B1="",IF(F34=100%,'数据-取费表'!M16,'数据-取费表'!O16),IF(F34=100%,INDIRECT("'数据-取费表'!m"&amp;$G$1)+INDIRECT("'数据-取费表'!t"&amp;$G$1),INDIRECT("'数据-取费表'!o"&amp;$G$1)+INDIRECT("'数据-取费表'!aq"&amp;$G$1)))</f>
        <v>4230</v>
      </c>
      <c r="D34" s="260"/>
      <c r="E34" s="263"/>
      <c r="F34" s="300">
        <f ca="1">IF('数据-取费表'!B24=0,1,IF(B1="",'数据-取费表'!N16,INDIRECT("'数据-取费表'!n"&amp;$G$1)))</f>
        <v>1</v>
      </c>
      <c r="G34" s="262" t="s">
        <v>2389</v>
      </c>
    </row>
    <row r="35" spans="1:7" ht="13.5" customHeight="1">
      <c r="A35" s="948" t="s">
        <v>796</v>
      </c>
      <c r="B35" s="258" t="s">
        <v>2390</v>
      </c>
      <c r="C35" s="263">
        <f ca="1">ROUND(C34*F35,0)</f>
        <v>127</v>
      </c>
      <c r="D35" s="263"/>
      <c r="E35" s="263"/>
      <c r="F35" s="302">
        <f>'数据-取费表'!B33</f>
        <v>0.03</v>
      </c>
      <c r="G35" s="262" t="s">
        <v>2391</v>
      </c>
    </row>
    <row r="36" spans="1:7" ht="24">
      <c r="A36" s="948"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2393</v>
      </c>
    </row>
    <row r="37" spans="1:7" s="301" customFormat="1" ht="13.5" customHeight="1">
      <c r="A37" s="948" t="s">
        <v>798</v>
      </c>
      <c r="B37" s="258" t="s">
        <v>2394</v>
      </c>
      <c r="C37" s="292">
        <f ca="1">ROUND(E37*D37*F34/10000,0)</f>
        <v>282</v>
      </c>
      <c r="D37" s="260">
        <f ca="1">D19</f>
        <v>14099.390000000001</v>
      </c>
      <c r="E37" s="292">
        <f>'数据-取费表'!B35</f>
        <v>200</v>
      </c>
      <c r="F37" s="302"/>
      <c r="G37" s="304" t="s">
        <v>2395</v>
      </c>
    </row>
    <row r="38" spans="1:7" ht="13.5" customHeight="1">
      <c r="A38" s="948" t="s">
        <v>799</v>
      </c>
      <c r="B38" s="258" t="s">
        <v>2396</v>
      </c>
      <c r="C38" s="263">
        <f ca="1">ROUND(C34*F38,0)</f>
        <v>63</v>
      </c>
      <c r="D38" s="263"/>
      <c r="E38" s="263"/>
      <c r="F38" s="302">
        <f>'数据-取费表'!B36</f>
        <v>1.4999999999999999E-2</v>
      </c>
      <c r="G38" s="262" t="s">
        <v>2391</v>
      </c>
    </row>
    <row r="39" spans="1:7" s="257" customFormat="1" ht="13.5" customHeight="1">
      <c r="A39" s="298" t="s">
        <v>2397</v>
      </c>
      <c r="B39" s="253" t="s">
        <v>2398</v>
      </c>
      <c r="C39" s="275">
        <f ca="1">ROUND(C33*F20,0)</f>
        <v>94</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287</v>
      </c>
      <c r="D41" s="278">
        <f ca="1">C44</f>
        <v>1.1999999999999999E-3</v>
      </c>
      <c r="E41" s="279" t="s">
        <v>2402</v>
      </c>
      <c r="F41" s="280"/>
      <c r="G41" s="277" t="str">
        <f>IF('数据-取费表'!B22&lt;=1,"单利计息","复利计息")</f>
        <v>复利计息</v>
      </c>
    </row>
    <row r="42" spans="1:7" ht="13.5" customHeight="1">
      <c r="A42" s="948" t="s">
        <v>791</v>
      </c>
      <c r="B42" s="258" t="s">
        <v>2406</v>
      </c>
      <c r="C42" s="281">
        <f ca="1">ROUND(IF('数据-取费表'!B22&lt;=1,C33*F22*'数据-取费表'!B21/2,C33*(POWER((1+F22),'数据-取费表'!B21/2)-1)),0)</f>
        <v>281</v>
      </c>
      <c r="D42" s="281"/>
      <c r="E42" s="281"/>
      <c r="F42" s="282"/>
      <c r="G42" s="3317" t="s">
        <v>2407</v>
      </c>
    </row>
    <row r="43" spans="1:7" ht="13.5" customHeight="1">
      <c r="A43" s="948" t="s">
        <v>792</v>
      </c>
      <c r="B43" s="258" t="s">
        <v>2408</v>
      </c>
      <c r="C43" s="281">
        <f ca="1">ROUND(IF('数据-取费表'!B22&lt;=1,C39*F22*'数据-取费表'!B21/2,C39*(POWER((1+F22),'数据-取费表'!B21/2)-1)),0)</f>
        <v>6</v>
      </c>
      <c r="D43" s="281"/>
      <c r="E43" s="281"/>
      <c r="F43" s="282"/>
      <c r="G43" s="3318"/>
    </row>
    <row r="44" spans="1:7" ht="13.5" customHeight="1">
      <c r="A44" s="948" t="s">
        <v>793</v>
      </c>
      <c r="B44" s="258" t="s">
        <v>2409</v>
      </c>
      <c r="C44" s="281">
        <f ca="1">ROUND(IF('数据-取费表'!B22&lt;=1,C40*F22*'数据-取费表'!B21/2,C40*(POWER((1+F22),'数据-取费表'!B21/2)-1)),4)</f>
        <v>1.1999999999999999E-3</v>
      </c>
      <c r="D44" s="281"/>
      <c r="E44" s="281"/>
      <c r="F44" s="282"/>
      <c r="G44" s="3319"/>
    </row>
    <row r="45" spans="1:7" s="257" customFormat="1" ht="13.5" customHeight="1">
      <c r="A45" s="298" t="s">
        <v>2410</v>
      </c>
      <c r="B45" s="287" t="s">
        <v>2376</v>
      </c>
      <c r="C45" s="288">
        <f ca="1">C46</f>
        <v>1199</v>
      </c>
      <c r="D45" s="278">
        <f ca="1">C47</f>
        <v>5.0000000000000001E-3</v>
      </c>
      <c r="E45" s="279" t="s">
        <v>2402</v>
      </c>
      <c r="F45" s="289"/>
      <c r="G45" s="290" t="s">
        <v>2411</v>
      </c>
    </row>
    <row r="46" spans="1:7" s="257" customFormat="1" ht="13.5" customHeight="1">
      <c r="A46" s="948" t="s">
        <v>791</v>
      </c>
      <c r="B46" s="291" t="s">
        <v>2412</v>
      </c>
      <c r="C46" s="292">
        <f ca="1">ROUND((C33+C39)*F27,0)</f>
        <v>1199</v>
      </c>
      <c r="D46" s="306"/>
      <c r="E46" s="279"/>
      <c r="F46" s="289"/>
      <c r="G46" s="290"/>
    </row>
    <row r="47" spans="1:7" s="257" customFormat="1" ht="13.5" customHeight="1">
      <c r="A47" s="948" t="s">
        <v>792</v>
      </c>
      <c r="B47" s="291" t="s">
        <v>2413</v>
      </c>
      <c r="C47" s="281">
        <f ca="1">ROUND(C40*F27,4)</f>
        <v>5.0000000000000001E-3</v>
      </c>
      <c r="D47" s="306"/>
      <c r="E47" s="279"/>
      <c r="F47" s="289"/>
      <c r="G47" s="290"/>
    </row>
    <row r="48" spans="1:7" s="257" customFormat="1" ht="13.5" customHeight="1">
      <c r="A48" s="298" t="s">
        <v>2375</v>
      </c>
      <c r="B48" s="253" t="s">
        <v>2414</v>
      </c>
      <c r="C48" s="1723">
        <f>ROUND(F30/(1+'数据-取费表'!C42),4)</f>
        <v>5.33E-2</v>
      </c>
      <c r="D48" s="279" t="s">
        <v>2402</v>
      </c>
      <c r="E48" s="275"/>
      <c r="F48" s="280"/>
      <c r="G48" s="277" t="s">
        <v>2415</v>
      </c>
    </row>
    <row r="49" spans="1:7" ht="16.5" customHeight="1">
      <c r="A49" s="298" t="s">
        <v>2381</v>
      </c>
      <c r="B49" s="253" t="s">
        <v>2416</v>
      </c>
      <c r="C49" s="275">
        <f ca="1">ROUND((C33+C39+C41+C45)/(1-C40-D41-D45-C48),0)</f>
        <v>6825</v>
      </c>
      <c r="D49" s="275"/>
      <c r="E49" s="275"/>
      <c r="F49" s="307"/>
      <c r="G49" s="277" t="s">
        <v>2417</v>
      </c>
    </row>
    <row r="50" spans="1:7" s="301" customFormat="1" ht="24">
      <c r="A50" s="298" t="s">
        <v>2418</v>
      </c>
      <c r="B50" s="253" t="s">
        <v>2419</v>
      </c>
      <c r="C50" s="275"/>
      <c r="D50" s="275"/>
      <c r="E50" s="275"/>
      <c r="F50" s="307">
        <f>IF('数据-取费表'!B24=0,'数据-取费表'!N16,1)</f>
        <v>0.92</v>
      </c>
      <c r="G50" s="290" t="s">
        <v>2420</v>
      </c>
    </row>
    <row r="51" spans="1:7" ht="16.5" customHeight="1">
      <c r="A51" s="298" t="s">
        <v>2421</v>
      </c>
      <c r="B51" s="253" t="s">
        <v>2422</v>
      </c>
      <c r="C51" s="275">
        <f ca="1">ROUND(C49*F50,0)</f>
        <v>6279</v>
      </c>
      <c r="D51" s="275"/>
      <c r="E51" s="275"/>
      <c r="F51" s="307"/>
      <c r="G51" s="277" t="s">
        <v>2423</v>
      </c>
    </row>
    <row r="52" spans="1:7" s="251" customFormat="1" ht="16.5" thickBot="1">
      <c r="A52" s="308" t="s">
        <v>2424</v>
      </c>
      <c r="B52" s="309"/>
      <c r="C52" s="310">
        <f ca="1">C31+C51</f>
        <v>6708</v>
      </c>
      <c r="D52" s="309"/>
      <c r="E52" s="309"/>
      <c r="F52" s="309"/>
      <c r="G52" s="311"/>
    </row>
    <row r="55" spans="1:7" ht="15">
      <c r="B55" s="313" t="s">
        <v>2425</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2"/>
      <c r="C1" s="2546" t="s">
        <v>2426</v>
      </c>
      <c r="D1" s="241"/>
      <c r="E1" s="241"/>
      <c r="F1" s="241"/>
      <c r="G1" s="1374">
        <f>MATCH(B1,'数据-取费表'!A6:A16,0)+5</f>
        <v>8</v>
      </c>
      <c r="H1" s="1277" t="str">
        <f>IF(ISERROR(FIND("住宅",B1)),"非住宅","住宅")</f>
        <v>非住宅</v>
      </c>
    </row>
    <row r="2" spans="1:8" s="243" customFormat="1" ht="18" customHeight="1">
      <c r="A2" s="244" t="s">
        <v>2325</v>
      </c>
      <c r="B2" s="245">
        <f ca="1">ROUND(IF(D2="——",C52/10000,C52/10000-E2),0)</f>
        <v>6964</v>
      </c>
      <c r="C2" s="242" t="s">
        <v>2326</v>
      </c>
      <c r="D2" s="2540" t="s">
        <v>70</v>
      </c>
      <c r="E2" s="1435" t="e">
        <f ca="1">SUMIF(INDIRECT("'"&amp;G2&amp;"'"&amp;"!A:A"),"承租人权益价值",INDIRECT("'"&amp;G2&amp;"'"&amp;"!c:c"))</f>
        <v>#REF!</v>
      </c>
      <c r="F2" s="2541" t="s">
        <v>2326</v>
      </c>
      <c r="G2" s="2542"/>
    </row>
    <row r="3" spans="1:8" s="243" customFormat="1" ht="18" customHeight="1" thickBot="1">
      <c r="A3" s="246" t="s">
        <v>2327</v>
      </c>
      <c r="B3" s="247">
        <f ca="1">ROUND(B2*10000/(IF(B1="",'数据-汇总表'!E3,INDIRECT("'数据-取费表'!k"&amp;$G$1))),0)</f>
        <v>4939</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1691927</v>
      </c>
      <c r="D5" s="254" t="s">
        <v>2332</v>
      </c>
      <c r="E5" s="255" t="s">
        <v>2333</v>
      </c>
      <c r="F5" s="255" t="s">
        <v>2334</v>
      </c>
      <c r="G5" s="256"/>
    </row>
    <row r="6" spans="1:8" s="257" customFormat="1" ht="13.5" customHeight="1">
      <c r="A6" s="946" t="s">
        <v>2335</v>
      </c>
      <c r="B6" s="258" t="s">
        <v>2336</v>
      </c>
      <c r="C6" s="259"/>
      <c r="D6" s="260"/>
      <c r="E6" s="261"/>
      <c r="F6" s="261"/>
      <c r="G6" s="262"/>
    </row>
    <row r="7" spans="1:8" s="257" customFormat="1" ht="13.5" customHeight="1">
      <c r="A7" s="946" t="s">
        <v>2337</v>
      </c>
      <c r="B7" s="258" t="s">
        <v>2338</v>
      </c>
      <c r="C7" s="263">
        <f>ROUND(C6*F7,0)</f>
        <v>0</v>
      </c>
      <c r="D7" s="263"/>
      <c r="E7" s="261"/>
      <c r="F7" s="264">
        <f>'数据-取费表'!B48+'数据-取费表'!B49</f>
        <v>3.0499999999999999E-2</v>
      </c>
      <c r="G7" s="262"/>
    </row>
    <row r="8" spans="1:8" s="266" customFormat="1">
      <c r="A8" s="946" t="s">
        <v>2339</v>
      </c>
      <c r="B8" s="258" t="s">
        <v>2340</v>
      </c>
      <c r="C8" s="263">
        <f ca="1">IF(G8="已包含在土地购买价格中",0,C9+C10)</f>
        <v>1691927</v>
      </c>
      <c r="D8" s="265"/>
      <c r="E8" s="263"/>
      <c r="F8" s="264"/>
      <c r="G8" s="2543"/>
    </row>
    <row r="9" spans="1:8" s="257" customFormat="1" ht="13.5" customHeight="1">
      <c r="A9" s="947" t="s">
        <v>800</v>
      </c>
      <c r="B9" s="267" t="s">
        <v>2341</v>
      </c>
      <c r="C9" s="268">
        <f ca="1">ROUND(D9*E9,0)</f>
        <v>0</v>
      </c>
      <c r="D9" s="1029">
        <f ca="1">IF(B1="",'数据-汇总表'!E5,IF(INDIRECT("'数据-取费表'!c"&amp;$G$1)="住宅",INDIRECT("'数据-取费表'!k"&amp;$G$1),0))</f>
        <v>0</v>
      </c>
      <c r="E9" s="268">
        <f>'数据-取费表'!B27</f>
        <v>120</v>
      </c>
      <c r="F9" s="264"/>
      <c r="G9" s="269"/>
    </row>
    <row r="10" spans="1:8" s="257" customFormat="1" ht="13.5" customHeight="1">
      <c r="A10" s="947" t="s">
        <v>801</v>
      </c>
      <c r="B10" s="267" t="s">
        <v>2343</v>
      </c>
      <c r="C10" s="268">
        <f ca="1">ROUND(D10*E10,0)</f>
        <v>1691927</v>
      </c>
      <c r="D10" s="1029">
        <f ca="1">IF(B1="",'数据-汇总表'!E6,IF(INDIRECT("'数据-取费表'!c"&amp;$G$1)="住宅",INDIRECT("'数据-取费表'!s"&amp;$G$1),INDIRECT("'数据-取费表'!k"&amp;$G$1)+INDIRECT("'数据-取费表'!s"&amp;$G$1)))</f>
        <v>14099.390000000001</v>
      </c>
      <c r="E10" s="268">
        <f>'数据-取费表'!B28</f>
        <v>120</v>
      </c>
      <c r="F10" s="264"/>
      <c r="G10" s="269"/>
    </row>
    <row r="11" spans="1:8" s="257" customFormat="1" ht="13.5" hidden="1" customHeight="1">
      <c r="A11" s="270" t="s">
        <v>7</v>
      </c>
      <c r="B11" s="258" t="s">
        <v>2344</v>
      </c>
      <c r="C11" s="254"/>
      <c r="D11" s="1031"/>
      <c r="E11" s="261"/>
      <c r="F11" s="261"/>
      <c r="G11" s="262"/>
    </row>
    <row r="12" spans="1:8" s="257" customFormat="1" ht="13.5" hidden="1" customHeight="1">
      <c r="A12" s="270" t="s">
        <v>8</v>
      </c>
      <c r="B12" s="258" t="s">
        <v>2427</v>
      </c>
      <c r="C12" s="254">
        <v>0</v>
      </c>
      <c r="D12" s="1031"/>
      <c r="E12" s="271"/>
      <c r="F12" s="264">
        <v>3.0499999999999999E-2</v>
      </c>
      <c r="G12" s="262"/>
    </row>
    <row r="13" spans="1:8" s="257" customFormat="1" ht="13.5" hidden="1" customHeight="1">
      <c r="A13" s="270" t="s">
        <v>9</v>
      </c>
      <c r="B13" s="258" t="s">
        <v>2428</v>
      </c>
      <c r="C13" s="254"/>
      <c r="D13" s="1031"/>
      <c r="E13" s="261"/>
      <c r="F13" s="261"/>
      <c r="G13" s="262"/>
    </row>
    <row r="14" spans="1:8" s="257" customFormat="1" ht="13.5" hidden="1" customHeight="1">
      <c r="A14" s="270" t="s">
        <v>10</v>
      </c>
      <c r="B14" s="258" t="s">
        <v>2340</v>
      </c>
      <c r="C14" s="254"/>
      <c r="D14" s="1031"/>
      <c r="E14" s="261"/>
      <c r="F14" s="261"/>
      <c r="G14" s="262" t="s">
        <v>2429</v>
      </c>
    </row>
    <row r="15" spans="1:8" s="257" customFormat="1" ht="13.5" hidden="1" customHeight="1">
      <c r="A15" s="270" t="s">
        <v>11</v>
      </c>
      <c r="B15" s="258" t="s">
        <v>2430</v>
      </c>
      <c r="C15" s="263"/>
      <c r="D15" s="1031"/>
      <c r="E15" s="261"/>
      <c r="F15" s="261"/>
      <c r="G15" s="262" t="s">
        <v>2431</v>
      </c>
    </row>
    <row r="16" spans="1:8" s="257" customFormat="1" ht="13.5" hidden="1" customHeight="1">
      <c r="A16" s="270" t="s">
        <v>12</v>
      </c>
      <c r="B16" s="258" t="s">
        <v>2340</v>
      </c>
      <c r="C16" s="263"/>
      <c r="D16" s="1031"/>
      <c r="E16" s="261"/>
      <c r="F16" s="261"/>
      <c r="G16" s="262"/>
    </row>
    <row r="17" spans="1:7" s="257" customFormat="1" ht="13.5" hidden="1" customHeight="1">
      <c r="A17" s="270" t="s">
        <v>13</v>
      </c>
      <c r="B17" s="258" t="s">
        <v>2432</v>
      </c>
      <c r="C17" s="272"/>
      <c r="D17" s="1032"/>
      <c r="E17" s="272"/>
      <c r="F17" s="272"/>
      <c r="G17" s="262" t="s">
        <v>2431</v>
      </c>
    </row>
    <row r="18" spans="1:7" s="257" customFormat="1" ht="13.5" hidden="1" customHeight="1">
      <c r="A18" s="270" t="s">
        <v>14</v>
      </c>
      <c r="B18" s="258" t="s">
        <v>2433</v>
      </c>
      <c r="C18" s="263">
        <v>0</v>
      </c>
      <c r="D18" s="1031"/>
      <c r="E18" s="261"/>
      <c r="F18" s="264">
        <v>3.0499999999999999E-2</v>
      </c>
      <c r="G18" s="262" t="s">
        <v>2434</v>
      </c>
    </row>
    <row r="19" spans="1:7" s="266" customFormat="1" ht="13.5" customHeight="1">
      <c r="A19" s="298" t="s">
        <v>2435</v>
      </c>
      <c r="B19" s="253" t="s">
        <v>2436</v>
      </c>
      <c r="C19" s="254">
        <f ca="1">IF(G19="已包含在土地取得成本中","0",ROUND(D19*E19,0))</f>
        <v>2819878</v>
      </c>
      <c r="D19" s="1033">
        <f ca="1">D9+D10</f>
        <v>14099.390000000001</v>
      </c>
      <c r="E19" s="254">
        <f>'数据-取费表'!B31</f>
        <v>200</v>
      </c>
      <c r="F19" s="274"/>
      <c r="G19" s="2543"/>
    </row>
    <row r="20" spans="1:7" s="257" customFormat="1" ht="13.5" customHeight="1">
      <c r="A20" s="298" t="s">
        <v>2437</v>
      </c>
      <c r="B20" s="253" t="s">
        <v>2438</v>
      </c>
      <c r="C20" s="275">
        <f ca="1">ROUND((C5+C19)*F20,0)</f>
        <v>90236</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5">
        <f ca="1">ROUND(SUM(C23:C25),0)</f>
        <v>560403</v>
      </c>
      <c r="D22" s="278">
        <f ca="1">C26</f>
        <v>1.1999999999999999E-3</v>
      </c>
      <c r="E22" s="279" t="s">
        <v>2442</v>
      </c>
      <c r="F22" s="280">
        <f ca="1">'数据-取费表'!B40</f>
        <v>4.7500000000000001E-2</v>
      </c>
      <c r="G22" s="277" t="str">
        <f>IF('数据-取费表'!B22&lt;=1,"单利计息","复利计息")</f>
        <v>复利计息</v>
      </c>
    </row>
    <row r="23" spans="1:7" s="257" customFormat="1" ht="13.5" customHeight="1">
      <c r="A23" s="948" t="s">
        <v>2335</v>
      </c>
      <c r="B23" s="258" t="s">
        <v>2446</v>
      </c>
      <c r="C23" s="1376">
        <f ca="1">ROUND(IF('数据-取费表'!B22&lt;=1,C5*F22*'数据-取费表'!B22,C5*(POWER((1+F22),'数据-取费表'!B22)-1)),0)</f>
        <v>208130</v>
      </c>
      <c r="D23" s="281"/>
      <c r="E23" s="281"/>
      <c r="F23" s="282"/>
      <c r="G23" s="283" t="s">
        <v>2447</v>
      </c>
    </row>
    <row r="24" spans="1:7" s="257" customFormat="1" ht="13.5" customHeight="1">
      <c r="A24" s="948" t="s">
        <v>2337</v>
      </c>
      <c r="B24" s="258" t="s">
        <v>2448</v>
      </c>
      <c r="C24" s="1376">
        <f ca="1">ROUND(IF('数据-取费表'!B22&lt;=1,C19*F22*('数据-取费表'!B19/2+'数据-取费表'!B20),C19*(POWER((1+F22),('数据-取费表'!B19/2+'数据-取费表'!B20))-1)),0)</f>
        <v>346884</v>
      </c>
      <c r="D24" s="281"/>
      <c r="E24" s="281"/>
      <c r="F24" s="282"/>
      <c r="G24" s="283" t="s">
        <v>2449</v>
      </c>
    </row>
    <row r="25" spans="1:7" s="257" customFormat="1" ht="24">
      <c r="A25" s="948" t="s">
        <v>2339</v>
      </c>
      <c r="B25" s="258" t="s">
        <v>2450</v>
      </c>
      <c r="C25" s="1376">
        <f ca="1">ROUND(IF('数据-取费表'!B22&lt;=1,C20*F22*'数据-取费表'!B22/2,C20*(POWER((1+F22),'数据-取费表'!B22/2)-1)),0)</f>
        <v>5389</v>
      </c>
      <c r="D25" s="281"/>
      <c r="E25" s="284"/>
      <c r="F25" s="282"/>
      <c r="G25" s="285" t="s">
        <v>2451</v>
      </c>
    </row>
    <row r="26" spans="1:7" s="257" customFormat="1">
      <c r="A26" s="948" t="s">
        <v>795</v>
      </c>
      <c r="B26" s="258" t="s">
        <v>2374</v>
      </c>
      <c r="C26" s="281">
        <f ca="1">ROUND(IF('数据-取费表'!B22&lt;=1,F21*F22*'数据-取费表'!B22/2,F21*(POWER((1+F22),'数据-取费表'!B22/2)-1)),4)</f>
        <v>1.1999999999999999E-3</v>
      </c>
      <c r="D26" s="281"/>
      <c r="E26" s="284"/>
      <c r="F26" s="282"/>
      <c r="G26" s="286"/>
    </row>
    <row r="27" spans="1:7" s="257" customFormat="1" ht="24.75">
      <c r="A27" s="298" t="s">
        <v>2375</v>
      </c>
      <c r="B27" s="287" t="s">
        <v>2376</v>
      </c>
      <c r="C27" s="288">
        <f ca="1">C28</f>
        <v>1150510</v>
      </c>
      <c r="D27" s="278">
        <f ca="1">C29</f>
        <v>5.0000000000000001E-3</v>
      </c>
      <c r="E27" s="279" t="s">
        <v>2377</v>
      </c>
      <c r="F27" s="289">
        <f ca="1">IF(B1="",'数据-取费表'!Q16,INDIRECT("'数据-取费表'!q"&amp;$G$1))</f>
        <v>0.25</v>
      </c>
      <c r="G27" s="290" t="s">
        <v>2378</v>
      </c>
    </row>
    <row r="28" spans="1:7" s="257" customFormat="1" ht="13.5" customHeight="1">
      <c r="A28" s="948" t="s">
        <v>791</v>
      </c>
      <c r="B28" s="291" t="s">
        <v>2379</v>
      </c>
      <c r="C28" s="292">
        <f ca="1">ROUND((C5+C19+C20)*F27,0)</f>
        <v>1150510</v>
      </c>
      <c r="D28" s="278"/>
      <c r="E28" s="279"/>
      <c r="F28" s="289"/>
      <c r="G28" s="290"/>
    </row>
    <row r="29" spans="1:7" s="257" customFormat="1" ht="13.5" customHeight="1">
      <c r="A29" s="948" t="s">
        <v>792</v>
      </c>
      <c r="B29" s="291" t="s">
        <v>2380</v>
      </c>
      <c r="C29" s="281">
        <f ca="1">ROUND(C21*F27,4)</f>
        <v>5.0000000000000001E-3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6858179</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47021466</v>
      </c>
      <c r="D33" s="275"/>
      <c r="E33" s="255"/>
      <c r="F33" s="284"/>
      <c r="G33" s="277"/>
    </row>
    <row r="34" spans="1:7" s="301" customFormat="1" ht="13.5" customHeight="1">
      <c r="A34" s="948" t="s">
        <v>791</v>
      </c>
      <c r="B34" s="258" t="s">
        <v>2388</v>
      </c>
      <c r="C34" s="263">
        <f ca="1">ROUND(IF(B1="",SUMPRODUCT('数据-取费表'!K6:K14,'数据-取费表'!L6:L14),INDIRECT("'数据-取费表'!l"&amp;$G$1)*INDIRECT("'数据-取费表'!k"&amp;$G$1)+'数据-取费表'!L14*INDIRECT("'数据-取费表'!S"&amp;$G$1)),0)</f>
        <v>42298170</v>
      </c>
      <c r="D34" s="260"/>
      <c r="E34" s="263"/>
      <c r="F34" s="300"/>
      <c r="G34" s="262"/>
    </row>
    <row r="35" spans="1:7" ht="13.5" customHeight="1">
      <c r="A35" s="948" t="s">
        <v>796</v>
      </c>
      <c r="B35" s="258" t="s">
        <v>2390</v>
      </c>
      <c r="C35" s="263">
        <f ca="1">ROUND(C34*F35,0)</f>
        <v>1268945</v>
      </c>
      <c r="D35" s="263"/>
      <c r="E35" s="263"/>
      <c r="F35" s="302">
        <f>'数据-取费表'!B33</f>
        <v>0.03</v>
      </c>
      <c r="G35" s="262" t="s">
        <v>2391</v>
      </c>
    </row>
    <row r="36" spans="1:7" ht="24">
      <c r="A36" s="948" t="s">
        <v>797</v>
      </c>
      <c r="B36" s="258" t="s">
        <v>2392</v>
      </c>
      <c r="C36" s="263">
        <f ca="1">ROUND(IF(B1="",SUM('数据-取费表'!AP6:AP13)*F36,IF(INDIRECT("'数据-取费表'!c"&amp;$G$1)="住宅",INDIRECT("'数据-取费表'!k"&amp;$G$1)*INDIRECT("'数据-取费表'!l"&amp;$G$1)*F36,0)),0)</f>
        <v>0</v>
      </c>
      <c r="D36" s="263"/>
      <c r="E36" s="263"/>
      <c r="F36" s="302">
        <f>'数据-取费表'!B34</f>
        <v>0.05</v>
      </c>
      <c r="G36" s="303" t="s">
        <v>2393</v>
      </c>
    </row>
    <row r="37" spans="1:7" s="301" customFormat="1" ht="13.5" customHeight="1">
      <c r="A37" s="948" t="s">
        <v>798</v>
      </c>
      <c r="B37" s="258" t="s">
        <v>2394</v>
      </c>
      <c r="C37" s="292">
        <f ca="1">ROUND(E37*D37,0)</f>
        <v>2819878</v>
      </c>
      <c r="D37" s="260">
        <f ca="1">D19</f>
        <v>14099.390000000001</v>
      </c>
      <c r="E37" s="292">
        <f>'数据-取费表'!B35</f>
        <v>200</v>
      </c>
      <c r="F37" s="302"/>
      <c r="G37" s="304"/>
    </row>
    <row r="38" spans="1:7" ht="13.5" customHeight="1">
      <c r="A38" s="948" t="s">
        <v>799</v>
      </c>
      <c r="B38" s="258" t="s">
        <v>2396</v>
      </c>
      <c r="C38" s="263">
        <f ca="1">ROUND(C34*F38,0)</f>
        <v>634473</v>
      </c>
      <c r="D38" s="263"/>
      <c r="E38" s="263"/>
      <c r="F38" s="302">
        <f>'数据-取费表'!B36</f>
        <v>1.4999999999999999E-2</v>
      </c>
      <c r="G38" s="262" t="s">
        <v>2391</v>
      </c>
    </row>
    <row r="39" spans="1:7" s="257" customFormat="1" ht="13.5" customHeight="1">
      <c r="A39" s="298" t="s">
        <v>2397</v>
      </c>
      <c r="B39" s="253" t="s">
        <v>2398</v>
      </c>
      <c r="C39" s="275">
        <f ca="1">ROUND(C33*F20,0)</f>
        <v>940429</v>
      </c>
      <c r="D39" s="275"/>
      <c r="E39" s="275"/>
      <c r="F39" s="276"/>
      <c r="G39" s="277" t="s">
        <v>2399</v>
      </c>
    </row>
    <row r="40" spans="1:7" s="257" customFormat="1" ht="13.5" customHeight="1">
      <c r="A40" s="298" t="s">
        <v>2400</v>
      </c>
      <c r="B40" s="253" t="s">
        <v>2401</v>
      </c>
      <c r="C40" s="1723">
        <f>F21</f>
        <v>0.02</v>
      </c>
      <c r="D40" s="279" t="s">
        <v>2402</v>
      </c>
      <c r="E40" s="275"/>
      <c r="F40" s="276"/>
      <c r="G40" s="277" t="s">
        <v>2403</v>
      </c>
    </row>
    <row r="41" spans="1:7" s="257" customFormat="1" ht="13.5" customHeight="1">
      <c r="A41" s="298" t="s">
        <v>2404</v>
      </c>
      <c r="B41" s="253" t="s">
        <v>2405</v>
      </c>
      <c r="C41" s="275">
        <f ca="1">ROUND(SUM(C42:C43),0)</f>
        <v>2864450</v>
      </c>
      <c r="D41" s="278">
        <f ca="1">C44</f>
        <v>1.1999999999999999E-3</v>
      </c>
      <c r="E41" s="279" t="s">
        <v>2402</v>
      </c>
      <c r="F41" s="280"/>
      <c r="G41" s="277" t="str">
        <f>IF('数据-取费表'!B22&lt;=1,"单利计息","复利计息")</f>
        <v>复利计息</v>
      </c>
    </row>
    <row r="42" spans="1:7" ht="13.5" customHeight="1">
      <c r="A42" s="948" t="s">
        <v>791</v>
      </c>
      <c r="B42" s="258" t="s">
        <v>2406</v>
      </c>
      <c r="C42" s="281">
        <f ca="1">ROUND(IF('数据-取费表'!B22&lt;=1,C33*F22*'数据-取费表'!B20/2,C33*(POWER((1+F22),'数据-取费表'!B20/2)-1)),0)</f>
        <v>2808284</v>
      </c>
      <c r="D42" s="281"/>
      <c r="E42" s="281"/>
      <c r="F42" s="282"/>
      <c r="G42" s="3317" t="s">
        <v>2454</v>
      </c>
    </row>
    <row r="43" spans="1:7" ht="13.5" customHeight="1">
      <c r="A43" s="948" t="s">
        <v>792</v>
      </c>
      <c r="B43" s="258" t="s">
        <v>2408</v>
      </c>
      <c r="C43" s="281">
        <f ca="1">ROUND(IF('数据-取费表'!B22&lt;=1,C39*F22*'数据-取费表'!B20/2,C39*(POWER((1+F22),'数据-取费表'!B20/2)-1)),0)</f>
        <v>56166</v>
      </c>
      <c r="D43" s="281"/>
      <c r="E43" s="281"/>
      <c r="F43" s="282"/>
      <c r="G43" s="3318"/>
    </row>
    <row r="44" spans="1:7" ht="13.5" customHeight="1">
      <c r="A44" s="948" t="s">
        <v>793</v>
      </c>
      <c r="B44" s="258" t="s">
        <v>2409</v>
      </c>
      <c r="C44" s="281">
        <f ca="1">ROUND(IF('数据-取费表'!B22&lt;=1,C40*F22*'数据-取费表'!B20/2,C40*(POWER((1+F22),'数据-取费表'!B20/2)-1)),4)</f>
        <v>1.1999999999999999E-3</v>
      </c>
      <c r="D44" s="281"/>
      <c r="E44" s="281"/>
      <c r="F44" s="282"/>
      <c r="G44" s="3319"/>
    </row>
    <row r="45" spans="1:7" s="257" customFormat="1" ht="13.5" customHeight="1">
      <c r="A45" s="298" t="s">
        <v>2410</v>
      </c>
      <c r="B45" s="287" t="s">
        <v>2376</v>
      </c>
      <c r="C45" s="288">
        <f ca="1">C46</f>
        <v>11990474</v>
      </c>
      <c r="D45" s="278">
        <f ca="1">C47</f>
        <v>5.0000000000000001E-3</v>
      </c>
      <c r="E45" s="279" t="s">
        <v>2402</v>
      </c>
      <c r="F45" s="289"/>
      <c r="G45" s="290" t="s">
        <v>2411</v>
      </c>
    </row>
    <row r="46" spans="1:7" s="257" customFormat="1" ht="13.5" customHeight="1">
      <c r="A46" s="948" t="s">
        <v>791</v>
      </c>
      <c r="B46" s="291" t="s">
        <v>2412</v>
      </c>
      <c r="C46" s="292">
        <f ca="1">ROUND((C33+C39)*F27,0)</f>
        <v>11990474</v>
      </c>
      <c r="D46" s="306"/>
      <c r="E46" s="279"/>
      <c r="F46" s="289"/>
      <c r="G46" s="290"/>
    </row>
    <row r="47" spans="1:7" s="257" customFormat="1" ht="13.5" customHeight="1">
      <c r="A47" s="948" t="s">
        <v>792</v>
      </c>
      <c r="B47" s="291" t="s">
        <v>2413</v>
      </c>
      <c r="C47" s="281">
        <f ca="1">ROUND(C40*F27,4)</f>
        <v>5.0000000000000001E-3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68242063</v>
      </c>
      <c r="D49" s="275"/>
      <c r="E49" s="275"/>
      <c r="F49" s="307"/>
      <c r="G49" s="277" t="s">
        <v>2417</v>
      </c>
    </row>
    <row r="50" spans="1:7" s="301" customFormat="1">
      <c r="A50" s="298" t="s">
        <v>2418</v>
      </c>
      <c r="B50" s="253" t="s">
        <v>2419</v>
      </c>
      <c r="C50" s="275"/>
      <c r="D50" s="275"/>
      <c r="E50" s="275"/>
      <c r="F50" s="307">
        <f>IF('数据-取费表'!B24=0,'数据-取费表'!N16,1)</f>
        <v>0.92</v>
      </c>
      <c r="G50" s="290"/>
    </row>
    <row r="51" spans="1:7" ht="16.5" customHeight="1">
      <c r="A51" s="298" t="s">
        <v>2421</v>
      </c>
      <c r="B51" s="253" t="s">
        <v>2456</v>
      </c>
      <c r="C51" s="275">
        <f ca="1">ROUND(C49*F50,0)</f>
        <v>62782698</v>
      </c>
      <c r="D51" s="275"/>
      <c r="E51" s="275"/>
      <c r="F51" s="307"/>
      <c r="G51" s="277" t="s">
        <v>2423</v>
      </c>
    </row>
    <row r="52" spans="1:7" s="251" customFormat="1" ht="16.5" thickBot="1">
      <c r="A52" s="308" t="s">
        <v>2424</v>
      </c>
      <c r="B52" s="309"/>
      <c r="C52" s="310">
        <f ca="1">C31+C51</f>
        <v>69640877</v>
      </c>
      <c r="D52" s="309"/>
      <c r="E52" s="309"/>
      <c r="F52" s="309"/>
      <c r="G52" s="311"/>
    </row>
    <row r="55" spans="1:7" ht="15">
      <c r="B55" s="313" t="s">
        <v>2425</v>
      </c>
      <c r="C55" s="314"/>
    </row>
    <row r="56" spans="1:7">
      <c r="B56" s="316" t="s">
        <v>1513</v>
      </c>
      <c r="C56" s="318">
        <f ca="1">1-C57</f>
        <v>9.7999999999999976E-2</v>
      </c>
    </row>
    <row r="57" spans="1:7">
      <c r="B57" s="316" t="s">
        <v>1514</v>
      </c>
      <c r="C57" s="317">
        <f ca="1">ROUND(C51/C52,3)</f>
        <v>0.90200000000000002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2" customWidth="1"/>
    <col min="2" max="2" width="25.75" style="949" customWidth="1"/>
    <col min="3" max="3" width="10.375" style="992" customWidth="1"/>
    <col min="4" max="4" width="9.875" style="949" customWidth="1"/>
    <col min="5" max="5" width="9.5" style="792"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2457</v>
      </c>
      <c r="B1" s="1576"/>
      <c r="C1" s="1577"/>
      <c r="D1" s="1575"/>
      <c r="E1" s="319"/>
      <c r="F1" s="319"/>
      <c r="G1" s="1576"/>
      <c r="H1" s="319"/>
      <c r="I1" s="319"/>
      <c r="J1" s="319"/>
      <c r="K1" s="319">
        <f>MATCH(C1,'数据-取费表'!A6:A16,0)+5</f>
        <v>8</v>
      </c>
    </row>
    <row r="2" spans="1:33" ht="18" customHeight="1">
      <c r="A2" s="244" t="s">
        <v>2325</v>
      </c>
      <c r="B2" s="247">
        <f ca="1">C32</f>
        <v>-209</v>
      </c>
      <c r="C2" s="319" t="s">
        <v>2458</v>
      </c>
      <c r="D2" s="319"/>
      <c r="E2" s="319"/>
      <c r="F2" s="319"/>
      <c r="G2" s="319"/>
      <c r="H2" s="319"/>
      <c r="I2" s="319"/>
      <c r="J2" s="319"/>
      <c r="K2" s="319"/>
    </row>
    <row r="3" spans="1:33" ht="18" customHeight="1" thickBot="1">
      <c r="A3" s="246" t="s">
        <v>2327</v>
      </c>
      <c r="B3" s="247">
        <f ca="1">ROUND(B2*10000/IF(C1="",'数据-汇总表'!E3,INDIRECT("'数据-取费表'!K"&amp;$K$1)),0)</f>
        <v>-148</v>
      </c>
      <c r="C3" s="319" t="s">
        <v>2459</v>
      </c>
      <c r="D3" s="319"/>
      <c r="E3" s="319"/>
      <c r="F3" s="319"/>
      <c r="G3" s="319"/>
      <c r="H3" s="319"/>
      <c r="I3" s="319"/>
      <c r="J3" s="319"/>
      <c r="K3" s="319"/>
    </row>
    <row r="4" spans="1:33" s="953" customFormat="1" ht="16.5" customHeight="1">
      <c r="A4" s="950" t="s">
        <v>2460</v>
      </c>
      <c r="B4" s="951"/>
      <c r="C4" s="993">
        <f>SUM(C8:K8)</f>
        <v>0</v>
      </c>
      <c r="D4" s="951"/>
      <c r="E4" s="951"/>
      <c r="F4" s="951"/>
      <c r="G4" s="951"/>
      <c r="H4" s="951"/>
      <c r="I4" s="951"/>
      <c r="J4" s="951"/>
      <c r="K4" s="952"/>
    </row>
    <row r="5" spans="1:33" s="957" customFormat="1" ht="24.75">
      <c r="A5" s="954" t="s">
        <v>2461</v>
      </c>
      <c r="B5" s="955" t="s">
        <v>2462</v>
      </c>
      <c r="C5" s="2547" t="s">
        <v>2463</v>
      </c>
      <c r="D5" s="2547" t="s">
        <v>2464</v>
      </c>
      <c r="E5" s="2547" t="s">
        <v>2465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2469</v>
      </c>
      <c r="B8" s="176"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1334</v>
      </c>
      <c r="B11" s="969" t="s">
        <v>2478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1335</v>
      </c>
      <c r="B12" s="969" t="s">
        <v>2479</v>
      </c>
      <c r="C12" s="23">
        <f ca="1">ROUND(C11*F12,0)</f>
        <v>0</v>
      </c>
      <c r="D12" s="970"/>
      <c r="E12" s="374"/>
      <c r="F12" s="973">
        <f>'数据-取费表'!B33</f>
        <v>0.03</v>
      </c>
      <c r="G12" s="8" t="s">
        <v>2480</v>
      </c>
      <c r="H12" s="965"/>
      <c r="I12" s="965"/>
      <c r="J12" s="965"/>
      <c r="K12" s="966"/>
    </row>
    <row r="13" spans="1:33" s="972" customFormat="1" ht="13.5" customHeight="1">
      <c r="A13" s="968" t="s">
        <v>1336</v>
      </c>
      <c r="B13" s="969" t="s">
        <v>2481</v>
      </c>
      <c r="C13" s="23">
        <f ca="1">ROUND(IF(C1="",SUMIF('数据-取费表'!C:C,"住宅",'数据-取费表'!P:P)*F13,IF(INDIRECT("'数据-取费表'!c"&amp;$K$1)="住宅",INDIRECT("'数据-取费表'!P"&amp;$K$1)*F13,0)),0)</f>
        <v>0</v>
      </c>
      <c r="D13" s="1030"/>
      <c r="E13" s="374"/>
      <c r="F13" s="973">
        <f>'数据-取费表'!B34</f>
        <v>0.05</v>
      </c>
      <c r="G13" s="8" t="s">
        <v>2482</v>
      </c>
      <c r="H13" s="965"/>
      <c r="I13" s="965"/>
      <c r="J13" s="965"/>
      <c r="K13" s="966"/>
    </row>
    <row r="14" spans="1:33" s="974" customFormat="1" ht="13.5" customHeight="1">
      <c r="A14" s="968" t="s">
        <v>1337</v>
      </c>
      <c r="B14" s="969" t="s">
        <v>2483</v>
      </c>
      <c r="C14" s="23">
        <f ca="1">ROUND(D14*E14*F11/10000,0)</f>
        <v>0</v>
      </c>
      <c r="D14" s="1030">
        <f ca="1">IF(C1="",'数据-汇总表'!E3,INDIRECT("'数据-取费表'!K"&amp;$K$1)+INDIRECT("'数据-取费表'!S"&amp;$K$1))</f>
        <v>14099.390000000001</v>
      </c>
      <c r="E14" s="23">
        <f>'数据-取费表'!B35</f>
        <v>200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2485</v>
      </c>
      <c r="C15" s="980">
        <f ca="1">ROUND(C11*F15,0)</f>
        <v>0</v>
      </c>
      <c r="D15" s="975"/>
      <c r="E15" s="980"/>
      <c r="F15" s="981">
        <f>'数据-取费表'!B36</f>
        <v>1.4999999999999999E-2</v>
      </c>
      <c r="G15" s="139"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9"/>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3">
        <f ca="1">ROUND(D17*E17/10000,0)</f>
        <v>0</v>
      </c>
      <c r="D17" s="1030">
        <f ca="1">D14</f>
        <v>14099.390000000001</v>
      </c>
      <c r="E17" s="23">
        <f>'数据-取费表'!B32</f>
        <v>0</v>
      </c>
      <c r="F17" s="975"/>
      <c r="G17" s="139" t="s">
        <v>2489</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2490</v>
      </c>
      <c r="C18" s="23">
        <f ca="1">C19+C20-IF(C1="",'数据-取费表'!B29,IF(G18="已全部缴纳",C19+C20,H18))</f>
        <v>169</v>
      </c>
      <c r="D18" s="1030"/>
      <c r="E18" s="23"/>
      <c r="F18" s="973"/>
      <c r="G18" s="2549"/>
      <c r="H18" s="1572"/>
      <c r="I18" s="2550" t="s">
        <v>2491</v>
      </c>
      <c r="J18" s="976"/>
      <c r="K18" s="977"/>
    </row>
    <row r="19" spans="1:33" s="972" customFormat="1" ht="13.5" customHeight="1">
      <c r="A19" s="968" t="s">
        <v>805</v>
      </c>
      <c r="B19" s="969" t="s">
        <v>2492</v>
      </c>
      <c r="C19" s="23">
        <f ca="1">ROUND(D19*E19/10000,0)</f>
        <v>0</v>
      </c>
      <c r="D19" s="1030">
        <f ca="1">IF(C1="",'数据-汇总表'!E5,IF(INDIRECT("'数据-取费表'!c"&amp;$K$1)="住宅",INDIRECT("'数据-取费表'!k"&amp;$K$1),0))</f>
        <v>0</v>
      </c>
      <c r="E19" s="23">
        <f>'数据-取费表'!B27</f>
        <v>120</v>
      </c>
      <c r="F19" s="973"/>
      <c r="G19" s="14"/>
      <c r="H19" s="1574"/>
      <c r="I19" s="978"/>
      <c r="J19" s="978"/>
      <c r="K19" s="979"/>
    </row>
    <row r="20" spans="1:33" s="972" customFormat="1" ht="13.5" customHeight="1">
      <c r="A20" s="968" t="s">
        <v>806</v>
      </c>
      <c r="B20" s="969" t="s">
        <v>2493</v>
      </c>
      <c r="C20" s="23">
        <f ca="1">ROUND(D20*E20/10000,0)</f>
        <v>169</v>
      </c>
      <c r="D20" s="1030">
        <f ca="1">IF(C1="",'数据-汇总表'!E6,IF(INDIRECT("'数据-取费表'!c"&amp;$K$1)="住宅",INDIRECT("'数据-取费表'!s"&amp;$K$1),INDIRECT("'数据-取费表'!k"&amp;$K$1)+INDIRECT("'数据-取费表'!s"&amp;$K$1)))</f>
        <v>14099.390000000001</v>
      </c>
      <c r="E20" s="23">
        <f>'数据-取费表'!B28</f>
        <v>120</v>
      </c>
      <c r="F20" s="973"/>
      <c r="G20" s="14"/>
      <c r="H20" s="978"/>
      <c r="I20" s="978"/>
      <c r="J20" s="978"/>
      <c r="K20" s="979"/>
    </row>
    <row r="21" spans="1:33" s="972" customFormat="1" ht="13.5" customHeight="1">
      <c r="A21" s="958" t="s">
        <v>802</v>
      </c>
      <c r="B21" s="982" t="s">
        <v>2494</v>
      </c>
      <c r="C21" s="983">
        <f ca="1">C16+C17+C18</f>
        <v>169</v>
      </c>
      <c r="D21" s="984"/>
      <c r="E21" s="324"/>
      <c r="F21" s="324"/>
      <c r="G21" s="139" t="s">
        <v>2495</v>
      </c>
      <c r="H21" s="976"/>
      <c r="I21" s="976"/>
      <c r="J21" s="976"/>
      <c r="K21" s="977"/>
    </row>
    <row r="22" spans="1:33" s="972" customFormat="1" ht="13.5" customHeight="1">
      <c r="A22" s="958" t="s">
        <v>2467</v>
      </c>
      <c r="B22" s="982" t="s">
        <v>2496</v>
      </c>
      <c r="C22" s="983">
        <f ca="1">ROUND(C21*F22,0)</f>
        <v>3</v>
      </c>
      <c r="D22" s="324"/>
      <c r="E22" s="324"/>
      <c r="F22" s="985">
        <f>'数据-取费表'!B37</f>
        <v>0.02</v>
      </c>
      <c r="G22" s="8" t="s">
        <v>2497</v>
      </c>
      <c r="H22" s="965"/>
      <c r="I22" s="965"/>
      <c r="J22" s="965"/>
      <c r="K22" s="966"/>
    </row>
    <row r="23" spans="1:33" s="972" customFormat="1" ht="13.5" customHeight="1">
      <c r="A23" s="958" t="s">
        <v>2469</v>
      </c>
      <c r="B23" s="982" t="s">
        <v>2498</v>
      </c>
      <c r="C23" s="983">
        <f ca="1">ROUND(C4*F23*F11,0)</f>
        <v>0</v>
      </c>
      <c r="D23" s="324"/>
      <c r="E23" s="324"/>
      <c r="F23" s="985">
        <f>'数据-取费表'!B38</f>
        <v>0.02</v>
      </c>
      <c r="G23" s="8" t="s">
        <v>2499</v>
      </c>
      <c r="H23" s="965"/>
      <c r="I23" s="965"/>
      <c r="J23" s="965"/>
      <c r="K23" s="966"/>
    </row>
    <row r="24" spans="1:33" s="972" customFormat="1" ht="13.5" customHeight="1">
      <c r="A24" s="958" t="s">
        <v>2500</v>
      </c>
      <c r="B24" s="982" t="s">
        <v>2501</v>
      </c>
      <c r="C24" s="323">
        <f>ROUND(F24/(1+'数据-取费表'!C42),4)</f>
        <v>2.9000000000000001E-2</v>
      </c>
      <c r="D24" s="324" t="s">
        <v>15</v>
      </c>
      <c r="E24" s="324"/>
      <c r="F24" s="985">
        <f>'数据-取费表'!B48+'数据-取费表'!B49</f>
        <v>3.0499999999999999E-2</v>
      </c>
      <c r="G24" s="8" t="s">
        <v>2502</v>
      </c>
      <c r="H24" s="987"/>
      <c r="I24" s="987"/>
      <c r="J24" s="987"/>
      <c r="K24" s="988"/>
    </row>
    <row r="25" spans="1:33" s="972" customFormat="1" ht="13.5" customHeight="1">
      <c r="A25" s="958" t="s">
        <v>2503</v>
      </c>
      <c r="B25" s="984" t="s">
        <v>2504</v>
      </c>
      <c r="C25" s="1351">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2">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3">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2507</v>
      </c>
      <c r="B28" s="2552" t="s">
        <v>2508</v>
      </c>
      <c r="C28" s="330">
        <f ca="1">C30</f>
        <v>43</v>
      </c>
      <c r="D28" s="323">
        <f ca="1">C29</f>
        <v>0</v>
      </c>
      <c r="E28" s="325" t="s">
        <v>15</v>
      </c>
      <c r="F28" s="331">
        <f ca="1">IF(C1="",'数据-取费表'!Q16,INDIRECT("'数据-取费表'!q"&amp;$K$1))</f>
        <v>0.25</v>
      </c>
      <c r="G28" s="986"/>
      <c r="H28" s="987"/>
      <c r="I28" s="987"/>
      <c r="J28" s="987"/>
      <c r="K28" s="988"/>
    </row>
    <row r="29" spans="1:33" s="334" customFormat="1" ht="13.5" customHeight="1">
      <c r="A29" s="968" t="s">
        <v>803</v>
      </c>
      <c r="B29" s="991" t="s">
        <v>2509</v>
      </c>
      <c r="C29" s="327">
        <f ca="1">ROUND((1+C24)*F28*'数据-取费表'!B24/'数据-取费表'!B20,4)</f>
        <v>0</v>
      </c>
      <c r="D29" s="327"/>
      <c r="E29" s="328"/>
      <c r="F29" s="333"/>
      <c r="G29" s="139" t="s">
        <v>2510</v>
      </c>
      <c r="H29" s="976"/>
      <c r="I29" s="976"/>
      <c r="J29" s="976"/>
      <c r="K29" s="977"/>
    </row>
    <row r="30" spans="1:33" s="334" customFormat="1" ht="13.5" customHeight="1">
      <c r="A30" s="968" t="s">
        <v>804</v>
      </c>
      <c r="B30" s="991" t="s">
        <v>2511</v>
      </c>
      <c r="C30" s="335">
        <f ca="1">ROUND((C21+C22+C23)*F28,0)</f>
        <v>43</v>
      </c>
      <c r="D30" s="327"/>
      <c r="E30" s="328"/>
      <c r="F30" s="333"/>
      <c r="G30" s="139"/>
      <c r="H30" s="976"/>
      <c r="I30" s="976"/>
      <c r="J30" s="976"/>
      <c r="K30" s="977"/>
    </row>
    <row r="31" spans="1:33" s="972" customFormat="1" ht="13.5" customHeight="1" thickBot="1">
      <c r="A31" s="2553" t="s">
        <v>2512</v>
      </c>
      <c r="B31" s="1002" t="s">
        <v>2513</v>
      </c>
      <c r="C31" s="1003">
        <f>ROUND(C4*F31/(1+'数据-取费表'!C42),0)</f>
        <v>0</v>
      </c>
      <c r="D31" s="1004"/>
      <c r="E31" s="1005"/>
      <c r="F31" s="1006">
        <f>'数据-取费表'!B41</f>
        <v>5.6000000000000001E-2</v>
      </c>
      <c r="G31" s="1007" t="s">
        <v>2514</v>
      </c>
      <c r="H31" s="1008"/>
      <c r="I31" s="1008"/>
      <c r="J31" s="1008"/>
      <c r="K31" s="1009"/>
    </row>
    <row r="32" spans="1:33" s="967" customFormat="1" ht="13.5" customHeight="1" thickBot="1">
      <c r="A32" s="997" t="s">
        <v>2515</v>
      </c>
      <c r="B32" s="998"/>
      <c r="C32" s="999">
        <f ca="1">ROUND((C4-C21-C22-C23-C25-C28-C31)/(1+C24+D25+D28),0)</f>
        <v>-209</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00B0F0"/>
  </sheetPr>
  <dimension ref="A1:AK83"/>
  <sheetViews>
    <sheetView zoomScale="90" zoomScaleNormal="90" zoomScaleSheetLayoutView="90" workbookViewId="0">
      <selection activeCell="F35" sqref="F35"/>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6"/>
      <c r="C1" s="1832" t="s">
        <v>3066</v>
      </c>
      <c r="D1" s="1815" t="s">
        <v>70</v>
      </c>
      <c r="E1" s="1816" t="s">
        <v>1387</v>
      </c>
      <c r="F1" s="1278">
        <f ca="1">J53</f>
        <v>26.55</v>
      </c>
      <c r="G1" s="1831">
        <f>MATCH(C1,'数据-取费表'!A6:A16,0)+5</f>
        <v>6</v>
      </c>
      <c r="H1" s="746"/>
      <c r="I1" s="338"/>
      <c r="J1" s="338"/>
      <c r="K1" s="747"/>
      <c r="L1" s="338"/>
      <c r="M1" s="338"/>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1515</v>
      </c>
      <c r="B2" s="1839">
        <f ca="1">C40+J29+L46</f>
        <v>1961</v>
      </c>
      <c r="C2" s="1840" t="s">
        <v>1516</v>
      </c>
      <c r="D2" s="1840"/>
      <c r="E2" s="1841"/>
      <c r="F2" s="1842"/>
      <c r="G2" s="1843"/>
      <c r="H2" s="1835"/>
      <c r="I2" s="1835"/>
      <c r="J2" s="1835"/>
      <c r="K2" s="1836"/>
      <c r="L2" s="1835"/>
      <c r="M2" s="1835"/>
    </row>
    <row r="3" spans="1:37" ht="18" customHeight="1" thickBot="1">
      <c r="A3" s="1844" t="s">
        <v>1517</v>
      </c>
      <c r="B3" s="1845">
        <f ca="1">IF(ISERROR(B2*10000/F43),0,ROUND(B2*10000/F43,0))</f>
        <v>24805</v>
      </c>
      <c r="C3" s="1840" t="s">
        <v>1518</v>
      </c>
      <c r="D3" s="1840"/>
      <c r="E3" s="1841"/>
      <c r="F3" s="1842"/>
      <c r="G3" s="1843"/>
      <c r="H3" s="738" t="s">
        <v>1587</v>
      </c>
      <c r="I3" s="1835"/>
      <c r="J3" s="1835"/>
      <c r="K3" s="1836"/>
      <c r="L3" s="1835"/>
      <c r="M3" s="1835"/>
    </row>
    <row r="4" spans="1:37" ht="18" customHeight="1">
      <c r="A4" s="339" t="s">
        <v>1396</v>
      </c>
      <c r="B4" s="340" t="s">
        <v>1397</v>
      </c>
      <c r="C4" s="340" t="s">
        <v>1398</v>
      </c>
      <c r="D4" s="340" t="s">
        <v>1399</v>
      </c>
      <c r="E4" s="341" t="s">
        <v>1400</v>
      </c>
      <c r="F4" s="342"/>
      <c r="G4" s="1846"/>
      <c r="H4" s="339" t="s">
        <v>1396</v>
      </c>
      <c r="I4" s="340" t="s">
        <v>1397</v>
      </c>
      <c r="J4" s="340" t="s">
        <v>1398</v>
      </c>
      <c r="K4" s="340" t="s">
        <v>1399</v>
      </c>
      <c r="L4" s="341" t="s">
        <v>1400</v>
      </c>
      <c r="M4" s="342"/>
    </row>
    <row r="5" spans="1:37" ht="18" customHeight="1">
      <c r="A5" s="343">
        <v>1</v>
      </c>
      <c r="B5" s="344" t="s">
        <v>1401</v>
      </c>
      <c r="C5" s="1287">
        <f ca="1">C6+C10+C12</f>
        <v>127.2</v>
      </c>
      <c r="D5" s="1817" t="s">
        <v>1402</v>
      </c>
      <c r="E5" s="1288"/>
      <c r="F5" s="1289"/>
      <c r="G5" s="1846"/>
      <c r="H5" s="343">
        <v>1</v>
      </c>
      <c r="I5" s="344" t="s">
        <v>1401</v>
      </c>
      <c r="J5" s="1287">
        <f ca="1">J6+J10+J12</f>
        <v>0</v>
      </c>
      <c r="K5" s="1817" t="s">
        <v>1402</v>
      </c>
      <c r="L5" s="1288"/>
      <c r="M5" s="1289"/>
    </row>
    <row r="6" spans="1:37" ht="18" customHeight="1">
      <c r="A6" s="1286" t="s">
        <v>1035</v>
      </c>
      <c r="B6" s="3322" t="s">
        <v>1403</v>
      </c>
      <c r="C6" s="1291">
        <f ca="1">ROUND(F6*F8*F7*(1-F9)/10000,0)</f>
        <v>127</v>
      </c>
      <c r="D6" s="163" t="s">
        <v>3028</v>
      </c>
      <c r="E6" s="346" t="s">
        <v>1405</v>
      </c>
      <c r="F6" s="347">
        <f ca="1">INDIRECT("'数据-取费表'!u"&amp;$G$1)</f>
        <v>5.5</v>
      </c>
      <c r="G6" s="1846"/>
      <c r="H6" s="1286" t="s">
        <v>1035</v>
      </c>
      <c r="I6" s="3322" t="s">
        <v>1403</v>
      </c>
      <c r="J6" s="345">
        <f ca="1">ROUND(M6*M8*M7*(1-M9)/10000,0)</f>
        <v>0</v>
      </c>
      <c r="K6" s="163" t="s">
        <v>3027</v>
      </c>
      <c r="L6" s="346" t="s">
        <v>1405</v>
      </c>
      <c r="M6" s="347">
        <f ca="1">INDIRECT("'数据-取费表'!z"&amp;$G$1)</f>
        <v>0</v>
      </c>
    </row>
    <row r="7" spans="1:37" ht="18" customHeight="1">
      <c r="A7" s="1290"/>
      <c r="B7" s="3323"/>
      <c r="C7" s="1292"/>
      <c r="D7" s="351"/>
      <c r="E7" s="1293" t="s">
        <v>1406</v>
      </c>
      <c r="F7" s="347">
        <f ca="1">IF(INDIRECT("'数据-取费表'!ah"&amp;$G$1)="",INDIRECT("'数据-取费表'!k"&amp;$G$1),INDIRECT("'数据-取费表'!ah"&amp;$G$1))</f>
        <v>790.58</v>
      </c>
      <c r="G7" s="1846"/>
      <c r="H7" s="348"/>
      <c r="I7" s="3323"/>
      <c r="J7" s="350"/>
      <c r="K7" s="351"/>
      <c r="L7" s="346" t="s">
        <v>1406</v>
      </c>
      <c r="M7" s="347">
        <f ca="1">F7</f>
        <v>790.58</v>
      </c>
    </row>
    <row r="8" spans="1:37" ht="18" customHeight="1">
      <c r="A8" s="348"/>
      <c r="B8" s="3323"/>
      <c r="C8" s="350"/>
      <c r="D8" s="351"/>
      <c r="E8" s="346" t="s">
        <v>1407</v>
      </c>
      <c r="F8" s="347">
        <f ca="1">INDIRECT("'数据-取费表'!ai"&amp;$G$1)</f>
        <v>365</v>
      </c>
      <c r="G8" s="1846"/>
      <c r="H8" s="348"/>
      <c r="I8" s="3323"/>
      <c r="J8" s="350"/>
      <c r="K8" s="351"/>
      <c r="L8" s="346" t="s">
        <v>1407</v>
      </c>
      <c r="M8" s="347">
        <f ca="1">INDIRECT("'数据-取费表'!ai"&amp;$G$1)</f>
        <v>365</v>
      </c>
    </row>
    <row r="9" spans="1:37" ht="18" customHeight="1">
      <c r="A9" s="348"/>
      <c r="B9" s="3324"/>
      <c r="C9" s="350"/>
      <c r="D9" s="351"/>
      <c r="E9" s="346" t="s">
        <v>1408</v>
      </c>
      <c r="F9" s="356">
        <f ca="1">INDIRECT("'数据-取费表'!w"&amp;$G$1)</f>
        <v>0.2</v>
      </c>
      <c r="G9" s="1846"/>
      <c r="H9" s="348"/>
      <c r="I9" s="3324"/>
      <c r="J9" s="350"/>
      <c r="K9" s="351"/>
      <c r="L9" s="357" t="s">
        <v>1408</v>
      </c>
      <c r="M9" s="358">
        <f ca="1">INDIRECT("'数据-取费表'!ab"&amp;$G$1)</f>
        <v>0</v>
      </c>
    </row>
    <row r="10" spans="1:37" ht="18" customHeight="1">
      <c r="A10" s="1286" t="s">
        <v>1039</v>
      </c>
      <c r="B10" s="1818" t="s">
        <v>1409</v>
      </c>
      <c r="C10" s="2953">
        <f ca="1">ROUND(IF(F10="押一",C6/12*F11,IF(F10="押二",C6/12*2*F11,IF(F10="押三",C6/12*3*F11,C11*F11))),1)</f>
        <v>0.2</v>
      </c>
      <c r="D10" s="1819" t="s">
        <v>3037</v>
      </c>
      <c r="E10" s="357" t="s">
        <v>1410</v>
      </c>
      <c r="F10" s="1361" t="s">
        <v>3211</v>
      </c>
      <c r="G10" s="1846"/>
      <c r="H10" s="1286" t="s">
        <v>1039</v>
      </c>
      <c r="I10" s="1818" t="s">
        <v>1409</v>
      </c>
      <c r="J10" s="345">
        <f ca="1">ROUND(IF(M10="押一",J6/12*M11,IF(M10="押二",J6/12*2*M11,IF(M10="押三",J6/12*3*M11,J11*M11))),0)</f>
        <v>0</v>
      </c>
      <c r="K10" s="1819" t="s">
        <v>3036</v>
      </c>
      <c r="L10" s="357" t="s">
        <v>1410</v>
      </c>
      <c r="M10" s="1361" t="s">
        <v>1411</v>
      </c>
    </row>
    <row r="11" spans="1:37" ht="18" customHeight="1">
      <c r="A11" s="352"/>
      <c r="B11" s="1820" t="s">
        <v>1388</v>
      </c>
      <c r="C11" s="1175"/>
      <c r="D11" s="1821"/>
      <c r="E11" s="357" t="s">
        <v>1412</v>
      </c>
      <c r="F11" s="358">
        <f ca="1">'数据-取费表'!B39</f>
        <v>1.4999999999999999E-2</v>
      </c>
      <c r="G11" s="1846"/>
      <c r="H11" s="1294"/>
      <c r="I11" s="1820" t="s">
        <v>1388</v>
      </c>
      <c r="J11" s="1175"/>
      <c r="K11" s="742"/>
      <c r="L11" s="357" t="s">
        <v>1412</v>
      </c>
      <c r="M11" s="1053">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f ca="1">ROUND(C29*F13,0)</f>
        <v>351</v>
      </c>
      <c r="D13" s="1326" t="s">
        <v>1415</v>
      </c>
      <c r="E13" s="1326" t="s">
        <v>1416</v>
      </c>
      <c r="F13" s="1327">
        <f ca="1">INDIRECT("'数据-取费表'!y"&amp;$G$1)</f>
        <v>0.92</v>
      </c>
      <c r="G13" s="1846"/>
      <c r="H13" s="1324">
        <v>2</v>
      </c>
      <c r="I13" s="1325" t="s">
        <v>1414</v>
      </c>
      <c r="J13" s="1285">
        <f ca="1">ROUND(J14*J15,0)</f>
        <v>0</v>
      </c>
      <c r="K13" s="1332" t="s">
        <v>1415</v>
      </c>
      <c r="L13" s="1847"/>
      <c r="M13" s="1848"/>
    </row>
    <row r="14" spans="1:37" ht="18" customHeight="1">
      <c r="A14" s="1198" t="s">
        <v>1034</v>
      </c>
      <c r="B14" s="346" t="s">
        <v>1417</v>
      </c>
      <c r="C14" s="362">
        <f ca="1">INDIRECT("'数据-取费表'!m"&amp;$G$1)+INDIRECT("'数据-取费表'!t"&amp;$G$1)</f>
        <v>237</v>
      </c>
      <c r="D14" s="1795" t="s">
        <v>1418</v>
      </c>
      <c r="E14" s="1789"/>
      <c r="F14" s="363"/>
      <c r="G14" s="1846"/>
      <c r="H14" s="1198" t="s">
        <v>1035</v>
      </c>
      <c r="I14" s="346" t="s">
        <v>1419</v>
      </c>
      <c r="J14" s="23">
        <f ca="1">C29</f>
        <v>382</v>
      </c>
      <c r="K14" s="14"/>
      <c r="L14" s="976"/>
      <c r="M14" s="977"/>
    </row>
    <row r="15" spans="1:37" s="1853" customFormat="1" ht="18" customHeight="1" thickBot="1">
      <c r="A15" s="1198" t="s">
        <v>1036</v>
      </c>
      <c r="B15" s="346" t="s">
        <v>1420</v>
      </c>
      <c r="C15" s="23">
        <f ca="1">ROUND(C14*F15,0)</f>
        <v>7</v>
      </c>
      <c r="D15" s="364" t="s">
        <v>1421</v>
      </c>
      <c r="E15" s="364" t="s">
        <v>1422</v>
      </c>
      <c r="F15" s="365">
        <f>'数据-取费表'!B33</f>
        <v>0.03</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1389</v>
      </c>
      <c r="B16" s="346" t="s">
        <v>1423</v>
      </c>
      <c r="C16" s="23">
        <f ca="1">ROUND(INDIRECT("'数据-取费表'!m"&amp;$G$1)*F16,0)</f>
        <v>0</v>
      </c>
      <c r="D16" s="346" t="s">
        <v>1421</v>
      </c>
      <c r="E16" s="346" t="s">
        <v>1422</v>
      </c>
      <c r="F16" s="366">
        <f ca="1">IF(INDIRECT("'数据-取费表'!c"&amp;$G$1)="住宅",'数据-取费表'!B34,0)</f>
        <v>0</v>
      </c>
      <c r="G16" s="1846"/>
      <c r="H16" s="1324" t="s">
        <v>1030</v>
      </c>
      <c r="I16" s="1325" t="s">
        <v>1424</v>
      </c>
      <c r="J16" s="354">
        <f ca="1">ROUND(J17+J22+J23+J24,0)</f>
        <v>9</v>
      </c>
      <c r="K16" s="1332" t="s">
        <v>1425</v>
      </c>
      <c r="L16" s="1333"/>
      <c r="M16" s="1289"/>
    </row>
    <row r="17" spans="1:37" s="1853" customFormat="1" ht="18" customHeight="1">
      <c r="A17" s="1198" t="s">
        <v>1390</v>
      </c>
      <c r="B17" s="346" t="s">
        <v>1426</v>
      </c>
      <c r="C17" s="23">
        <f ca="1">ROUND(F17*(F43+INDIRECT("'数据-取费表'!S"&amp;$G$1))/10000,0)</f>
        <v>16</v>
      </c>
      <c r="D17" s="346" t="s">
        <v>1427</v>
      </c>
      <c r="E17" s="346" t="s">
        <v>1428</v>
      </c>
      <c r="F17" s="25">
        <f>'数据-取费表'!B35</f>
        <v>200</v>
      </c>
      <c r="G17" s="1849"/>
      <c r="H17" s="1198" t="s">
        <v>1035</v>
      </c>
      <c r="I17" s="346" t="s">
        <v>1429</v>
      </c>
      <c r="J17" s="23">
        <f ca="1">ROUND(IF(项目基本情况!B11="自然人",J5*M17,J18+J19+J20),1)</f>
        <v>3.4</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1391</v>
      </c>
      <c r="B18" s="346" t="s">
        <v>1432</v>
      </c>
      <c r="C18" s="23">
        <f ca="1">ROUND(C14*F18,0)</f>
        <v>4</v>
      </c>
      <c r="D18" s="346" t="s">
        <v>1421</v>
      </c>
      <c r="E18" s="346" t="s">
        <v>1422</v>
      </c>
      <c r="F18" s="366">
        <f>'数据-取费表'!B36</f>
        <v>1.4999999999999999E-2</v>
      </c>
      <c r="G18" s="1849"/>
      <c r="H18" s="1198" t="s">
        <v>1034</v>
      </c>
      <c r="I18" s="346" t="s">
        <v>1433</v>
      </c>
      <c r="J18" s="23">
        <f ca="1">ROUND(J5*M18/(1+'数据-取费表'!C42),2)</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1035</v>
      </c>
      <c r="B19" s="346" t="s">
        <v>1435</v>
      </c>
      <c r="C19" s="23">
        <f ca="1">SUM(C14:C18)</f>
        <v>264</v>
      </c>
      <c r="D19" s="139" t="s">
        <v>1436</v>
      </c>
      <c r="E19" s="1813"/>
      <c r="F19" s="25"/>
      <c r="G19" s="1846"/>
      <c r="H19" s="1198" t="s">
        <v>1036</v>
      </c>
      <c r="I19" s="346" t="s">
        <v>1437</v>
      </c>
      <c r="J19" s="23">
        <f ca="1">IF(K19="按租金收入计税",ROUND(J5*M19,2),ROUND(C29*M19*0.7,2))</f>
        <v>3.21</v>
      </c>
      <c r="K19" s="1823" t="s">
        <v>1438</v>
      </c>
      <c r="L19" s="346" t="s">
        <v>1422</v>
      </c>
      <c r="M19" s="366">
        <f>IF(K19="按租金收入计税",'数据-取费表'!B51,'数据-取费表'!B50)</f>
        <v>1.2E-2</v>
      </c>
    </row>
    <row r="20" spans="1:37" s="1853" customFormat="1" ht="18" customHeight="1">
      <c r="A20" s="1198" t="s">
        <v>1039</v>
      </c>
      <c r="B20" s="346" t="s">
        <v>1439</v>
      </c>
      <c r="C20" s="23">
        <f ca="1">ROUND(C19*F20,0)</f>
        <v>5</v>
      </c>
      <c r="D20" s="368" t="s">
        <v>1440</v>
      </c>
      <c r="E20" s="346" t="s">
        <v>1422</v>
      </c>
      <c r="F20" s="366">
        <f>'数据-取费表'!B37</f>
        <v>0.02</v>
      </c>
      <c r="G20" s="1849"/>
      <c r="H20" s="1198" t="s">
        <v>1389</v>
      </c>
      <c r="I20" s="163" t="s">
        <v>1441</v>
      </c>
      <c r="J20" s="24">
        <f ca="1">ROUND(M20*M21/10000,2)</f>
        <v>0.16</v>
      </c>
      <c r="K20" s="369" t="s">
        <v>1442</v>
      </c>
      <c r="L20" s="346" t="s">
        <v>1443</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1075</v>
      </c>
      <c r="B21" s="346" t="s">
        <v>1444</v>
      </c>
      <c r="C21" s="23" t="s">
        <v>18</v>
      </c>
      <c r="D21" s="368" t="s">
        <v>1445</v>
      </c>
      <c r="E21" s="346" t="s">
        <v>1446</v>
      </c>
      <c r="F21" s="366">
        <f>'数据-取费表'!B38</f>
        <v>0.02</v>
      </c>
      <c r="G21" s="1849"/>
      <c r="H21" s="371"/>
      <c r="I21" s="355"/>
      <c r="J21" s="28"/>
      <c r="K21" s="372"/>
      <c r="L21" s="346" t="s">
        <v>1447</v>
      </c>
      <c r="M21" s="347">
        <f ca="1">INDIRECT("'数据-取费表'!r"&amp;$G$1)</f>
        <v>102.74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1392</v>
      </c>
      <c r="B22" s="346" t="s">
        <v>1448</v>
      </c>
      <c r="C22" s="23"/>
      <c r="D22" s="139" t="str">
        <f>IF(F23&lt;=1,"单利计息。","复利计息。")&amp;"建造成本、管理费用、销售费用产生的利息。"</f>
        <v>复利计息。建造成本、管理费用、销售费用产生的利息。</v>
      </c>
      <c r="E22" s="1813"/>
      <c r="F22" s="25"/>
      <c r="G22" s="1846"/>
      <c r="H22" s="1198" t="s">
        <v>1039</v>
      </c>
      <c r="I22" s="346" t="s">
        <v>1449</v>
      </c>
      <c r="J22" s="23">
        <f ca="1">ROUND(J14*M22,1)</f>
        <v>5.7</v>
      </c>
      <c r="K22" s="1793" t="s">
        <v>1450</v>
      </c>
      <c r="L22" s="346" t="s">
        <v>1422</v>
      </c>
      <c r="M22" s="373">
        <f ca="1">INDIRECT("'数据-取费表'!Ak"&amp;$G$1)</f>
        <v>1.4999999999999999E-2</v>
      </c>
    </row>
    <row r="23" spans="1:37" s="1853" customFormat="1" ht="18" customHeight="1">
      <c r="A23" s="1198" t="s">
        <v>1034</v>
      </c>
      <c r="B23" s="346" t="s">
        <v>1451</v>
      </c>
      <c r="C23" s="23">
        <f ca="1">IF('数据-取费表'!B22&lt;=1,ROUND(C19*F24*F23/2,0)+ROUND(C20*F24*F23/2,0),ROUND(C19*(POWER((1+F24),F23/2)-1),0)+ROUND(C20*(POWER((1+F24),F23/2)-1),0))</f>
        <v>16</v>
      </c>
      <c r="D23" s="374" t="str">
        <f>IF(F23&lt;=1,"(建造成本+管理费用)×利率×(建设周期÷2)","(建造成本+管理费用)×((1+利率)^(建设周期÷2)-1)")</f>
        <v>(建造成本+管理费用)×((1+利率)^(建设周期÷2)-1)</v>
      </c>
      <c r="E23" s="346" t="s">
        <v>1452</v>
      </c>
      <c r="F23" s="370">
        <f>'数据-取费表'!B20</f>
        <v>2.5</v>
      </c>
      <c r="G23" s="1849"/>
      <c r="H23" s="1198" t="s">
        <v>1075</v>
      </c>
      <c r="I23" s="346" t="s">
        <v>1453</v>
      </c>
      <c r="J23" s="23">
        <f ca="1">ROUND(J13*M23,1)</f>
        <v>0</v>
      </c>
      <c r="K23" s="1793" t="s">
        <v>1454</v>
      </c>
      <c r="L23" s="346" t="s">
        <v>1455</v>
      </c>
      <c r="M23" s="375">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f ca="1">ROUND(J5*M24,1)</f>
        <v>0</v>
      </c>
      <c r="K24" s="1337" t="s">
        <v>1459</v>
      </c>
      <c r="L24" s="1335" t="s">
        <v>1455</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1460</v>
      </c>
      <c r="B25" s="346" t="s">
        <v>1461</v>
      </c>
      <c r="C25" s="23"/>
      <c r="D25" s="139" t="s">
        <v>1462</v>
      </c>
      <c r="E25" s="1813"/>
      <c r="F25" s="25"/>
      <c r="G25" s="1846"/>
      <c r="H25" s="1324" t="s">
        <v>1031</v>
      </c>
      <c r="I25" s="1339" t="s">
        <v>1463</v>
      </c>
      <c r="J25" s="354">
        <f ca="1">J5-J16</f>
        <v>-9</v>
      </c>
      <c r="K25" s="1340" t="s">
        <v>1464</v>
      </c>
      <c r="L25" s="1341"/>
      <c r="M25" s="1342"/>
    </row>
    <row r="26" spans="1:37">
      <c r="A26" s="1198" t="s">
        <v>1034</v>
      </c>
      <c r="B26" s="346" t="s">
        <v>1465</v>
      </c>
      <c r="C26" s="23">
        <f ca="1">ROUND((C19+C20)*F26,0)</f>
        <v>67</v>
      </c>
      <c r="D26" s="368" t="s">
        <v>1466</v>
      </c>
      <c r="E26" s="357" t="s">
        <v>1467</v>
      </c>
      <c r="F26" s="356">
        <f ca="1">INDIRECT("'数据-取费表'!q"&amp;$G$1)</f>
        <v>0.25</v>
      </c>
      <c r="G26" s="1846"/>
      <c r="H26" s="343" t="s">
        <v>1032</v>
      </c>
      <c r="I26" s="344" t="s">
        <v>1468</v>
      </c>
      <c r="J26" s="345">
        <f ca="1">IF(J5&lt;&gt;0,ROUND(J25*(1-((1+M28)/(1+M26))^M27)/(M26-M28),0),0)</f>
        <v>0</v>
      </c>
      <c r="K26" s="369" t="s">
        <v>1469</v>
      </c>
      <c r="L26" s="346" t="s">
        <v>1470</v>
      </c>
      <c r="M26" s="356">
        <f ca="1">INDIRECT("'数据-取费表'!I"&amp;$G$1)</f>
        <v>0.05</v>
      </c>
    </row>
    <row r="27" spans="1:37" ht="18" customHeight="1">
      <c r="A27" s="1198" t="s">
        <v>1036</v>
      </c>
      <c r="B27" s="346" t="s">
        <v>1471</v>
      </c>
      <c r="C27" s="23">
        <f ca="1">ROUND(F21*F26,4)</f>
        <v>5.0000000000000001E-3</v>
      </c>
      <c r="D27" s="368" t="s">
        <v>1472</v>
      </c>
      <c r="E27" s="364"/>
      <c r="F27" s="365"/>
      <c r="G27" s="1846"/>
      <c r="H27" s="348"/>
      <c r="I27" s="349"/>
      <c r="J27" s="350"/>
      <c r="K27" s="377" t="s">
        <v>1473</v>
      </c>
      <c r="L27" s="346" t="s">
        <v>1474</v>
      </c>
      <c r="M27" s="378">
        <f ca="1">INDIRECT("'数据-取费表'!ag"&amp;$G$1)</f>
        <v>0</v>
      </c>
    </row>
    <row r="28" spans="1:37" s="1853" customFormat="1" ht="18" customHeight="1">
      <c r="A28" s="1198" t="s">
        <v>1037</v>
      </c>
      <c r="B28" s="346" t="s">
        <v>1475</v>
      </c>
      <c r="C28" s="23">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382</v>
      </c>
      <c r="D29" s="1337"/>
      <c r="E29" s="1335"/>
      <c r="F29" s="1338"/>
      <c r="G29" s="1849"/>
      <c r="H29" s="379" t="s">
        <v>1033</v>
      </c>
      <c r="I29" s="380" t="s">
        <v>1479</v>
      </c>
      <c r="J29" s="381">
        <f ca="1">ROUND(J26/(1+F40)^F41,0)</f>
        <v>0</v>
      </c>
      <c r="K29" s="382" t="s">
        <v>1480</v>
      </c>
      <c r="L29" s="383"/>
      <c r="M29" s="384">
        <f ca="1">INDIRECT("'数据-取费表'!k"&amp;$G$1)</f>
        <v>790.58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f ca="1">ROUND(C31+C36+C37+C38,0)</f>
        <v>30</v>
      </c>
      <c r="D30" s="1332" t="s">
        <v>1425</v>
      </c>
      <c r="E30" s="1333"/>
      <c r="F30" s="1289"/>
      <c r="G30" s="1846"/>
      <c r="H30" s="739"/>
      <c r="I30" s="740"/>
      <c r="J30" s="741"/>
      <c r="K30" s="742"/>
      <c r="L30" s="743"/>
      <c r="M30" s="744"/>
    </row>
    <row r="31" spans="1:37" ht="18" customHeight="1">
      <c r="A31" s="1198" t="s">
        <v>1035</v>
      </c>
      <c r="B31" s="346" t="s">
        <v>1429</v>
      </c>
      <c r="C31" s="23">
        <f ca="1">ROUND(IF(项目基本情况!B11="自然人",C5*F31,C32+C33+C34),1)</f>
        <v>22.2</v>
      </c>
      <c r="D31" s="1795" t="s">
        <v>1430</v>
      </c>
      <c r="E31" s="1793" t="s">
        <v>1481</v>
      </c>
      <c r="F31" s="367" t="str">
        <f ca="1">IF(项目基本情况!B11="企业","",IF(INDIRECT("'数据-取费表'!c"&amp;$G$1)="住宅",5%,IF(F6*F7*F8/12/(1+'数据-取费表'!C42)&gt;20000,12%,7%)))</f>
        <v/>
      </c>
      <c r="G31" s="1846"/>
      <c r="H31" s="739"/>
      <c r="I31" s="740"/>
      <c r="J31" s="741"/>
      <c r="K31" s="742"/>
      <c r="L31" s="743"/>
      <c r="M31" s="744"/>
    </row>
    <row r="32" spans="1:37" ht="18" customHeight="1">
      <c r="A32" s="1198" t="s">
        <v>1034</v>
      </c>
      <c r="B32" s="346" t="s">
        <v>1433</v>
      </c>
      <c r="C32" s="23">
        <f ca="1">IF(项目基本情况!B11="自然人","——",ROUND(C5*F32/(1+'数据-取费表'!C42),2))</f>
        <v>6.78</v>
      </c>
      <c r="D32" s="1793" t="s">
        <v>1434</v>
      </c>
      <c r="E32" s="346" t="s">
        <v>1422</v>
      </c>
      <c r="F32" s="376">
        <f>'数据-取费表'!B41</f>
        <v>5.6000000000000001E-2</v>
      </c>
      <c r="G32" s="1846"/>
      <c r="H32" s="739"/>
      <c r="I32" s="740"/>
      <c r="J32" s="741"/>
      <c r="K32" s="742"/>
      <c r="L32" s="743"/>
      <c r="M32" s="744"/>
    </row>
    <row r="33" spans="1:18" ht="18" customHeight="1">
      <c r="A33" s="1198" t="s">
        <v>1036</v>
      </c>
      <c r="B33" s="346" t="s">
        <v>1437</v>
      </c>
      <c r="C33" s="23">
        <f ca="1">IF(项目基本情况!B11="自然人","——",IF(D33="按租金收入计税",ROUND(C5*F33,2),IF(D33="按房产原值计税",ROUND(C29*F33*0.7,2),INDIRECT("'数据-取费表'!Aj"&amp;$G$1))))</f>
        <v>15.26</v>
      </c>
      <c r="D33" s="2952" t="s">
        <v>3124</v>
      </c>
      <c r="E33" s="346" t="s">
        <v>1422</v>
      </c>
      <c r="F33" s="366">
        <f>IF(D33="按票据","——",IF(D33="按租金收入计税",'数据-取费表'!B51,'数据-取费表'!B50))</f>
        <v>0.12</v>
      </c>
      <c r="G33" s="1846"/>
      <c r="H33" s="1854"/>
      <c r="I33" s="1855"/>
      <c r="J33" s="1856"/>
      <c r="K33" s="1857"/>
      <c r="L33" s="1854"/>
      <c r="M33" s="1854"/>
    </row>
    <row r="34" spans="1:18" ht="18" customHeight="1">
      <c r="A34" s="1286" t="s">
        <v>1389</v>
      </c>
      <c r="B34" s="163" t="s">
        <v>1441</v>
      </c>
      <c r="C34" s="24">
        <f ca="1">IF(项目基本情况!B11="自然人","——",ROUND(F34*F35/10000,2))</f>
        <v>0.16</v>
      </c>
      <c r="D34" s="369" t="s">
        <v>1442</v>
      </c>
      <c r="E34" s="346" t="s">
        <v>1443</v>
      </c>
      <c r="F34" s="370">
        <f>'数据-取费表'!B52</f>
        <v>16</v>
      </c>
      <c r="G34" s="1846"/>
      <c r="H34" s="739"/>
      <c r="I34" s="1855"/>
      <c r="J34" s="1856"/>
      <c r="K34" s="1858"/>
      <c r="L34" s="1859"/>
      <c r="M34" s="1859"/>
    </row>
    <row r="35" spans="1:18" ht="18" customHeight="1">
      <c r="A35" s="1348"/>
      <c r="B35" s="1346"/>
      <c r="C35" s="28"/>
      <c r="D35" s="372"/>
      <c r="E35" s="346" t="s">
        <v>1447</v>
      </c>
      <c r="F35" s="347">
        <f ca="1">INDIRECT("'数据-取费表'!r"&amp;$G$1)</f>
        <v>102.74</v>
      </c>
      <c r="G35" s="1846"/>
      <c r="H35" s="739"/>
      <c r="I35" s="1855"/>
      <c r="J35" s="1856"/>
      <c r="K35" s="1857"/>
      <c r="L35" s="1854"/>
      <c r="M35" s="1854"/>
    </row>
    <row r="36" spans="1:18" ht="18" customHeight="1">
      <c r="A36" s="1347" t="s">
        <v>1039</v>
      </c>
      <c r="B36" s="346" t="s">
        <v>1449</v>
      </c>
      <c r="C36" s="23">
        <f ca="1">ROUND(C29*F36,1)</f>
        <v>5.7</v>
      </c>
      <c r="D36" s="1793" t="s">
        <v>1482</v>
      </c>
      <c r="E36" s="346" t="s">
        <v>1422</v>
      </c>
      <c r="F36" s="373">
        <f ca="1">INDIRECT("'数据-取费表'!Ak"&amp;$G$1)</f>
        <v>1.4999999999999999E-2</v>
      </c>
      <c r="G36" s="1846"/>
      <c r="H36" s="1854"/>
      <c r="I36" s="1855"/>
      <c r="J36" s="1856"/>
      <c r="K36" s="745"/>
      <c r="L36" s="1854"/>
      <c r="M36" s="1854"/>
    </row>
    <row r="37" spans="1:18" ht="18" customHeight="1">
      <c r="A37" s="1198" t="s">
        <v>1075</v>
      </c>
      <c r="B37" s="346" t="s">
        <v>1453</v>
      </c>
      <c r="C37" s="23">
        <f ca="1">ROUND(C13*F37,1)</f>
        <v>0.5</v>
      </c>
      <c r="D37" s="1793" t="s">
        <v>1454</v>
      </c>
      <c r="E37" s="346" t="s">
        <v>1455</v>
      </c>
      <c r="F37" s="375">
        <f ca="1">INDIRECT("'数据-取费表'!Al"&amp;$G$1)</f>
        <v>1.5E-3</v>
      </c>
      <c r="G37" s="1846"/>
      <c r="H37" s="1854"/>
      <c r="I37" s="1855"/>
      <c r="J37" s="1856"/>
      <c r="K37" s="745"/>
      <c r="L37" s="1854"/>
      <c r="M37" s="1854"/>
    </row>
    <row r="38" spans="1:18" ht="18" customHeight="1" thickBot="1">
      <c r="A38" s="1334" t="s">
        <v>1393</v>
      </c>
      <c r="B38" s="1335" t="s">
        <v>1439</v>
      </c>
      <c r="C38" s="1336">
        <f ca="1">ROUND(C5*F38,1)</f>
        <v>1.3</v>
      </c>
      <c r="D38" s="1337" t="s">
        <v>1459</v>
      </c>
      <c r="E38" s="1335" t="s">
        <v>1455</v>
      </c>
      <c r="F38" s="1331">
        <f ca="1">INDIRECT("'数据-取费表'!Am"&amp;$G$1)</f>
        <v>0.01</v>
      </c>
      <c r="G38" s="1846"/>
      <c r="H38" s="1854"/>
      <c r="I38" s="1855"/>
      <c r="J38" s="1856"/>
      <c r="K38" s="1860"/>
      <c r="L38" s="1854"/>
      <c r="M38" s="1854"/>
    </row>
    <row r="39" spans="1:18" ht="24.6" customHeight="1" thickTop="1">
      <c r="A39" s="1324" t="s">
        <v>1031</v>
      </c>
      <c r="B39" s="1339" t="s">
        <v>1483</v>
      </c>
      <c r="C39" s="354">
        <f ca="1">C5-C30</f>
        <v>97.2</v>
      </c>
      <c r="D39" s="1340" t="s">
        <v>1484</v>
      </c>
      <c r="E39" s="1341"/>
      <c r="F39" s="1342"/>
      <c r="G39" s="1846"/>
      <c r="H39" s="1854"/>
      <c r="I39" s="1855"/>
      <c r="J39" s="1856"/>
      <c r="K39" s="1860"/>
      <c r="L39" s="1854"/>
      <c r="M39" s="1854"/>
    </row>
    <row r="40" spans="1:18" ht="18" customHeight="1">
      <c r="A40" s="343" t="s">
        <v>1032</v>
      </c>
      <c r="B40" s="344" t="s">
        <v>1485</v>
      </c>
      <c r="C40" s="345">
        <f ca="1">ROUND(C39*(1-((1+F42)/(1+F40))^F41)/(F40-F42),0)</f>
        <v>1943</v>
      </c>
      <c r="D40" s="369" t="s">
        <v>1469</v>
      </c>
      <c r="E40" s="346" t="s">
        <v>1470</v>
      </c>
      <c r="F40" s="356">
        <f ca="1">INDIRECT("'数据-取费表'!I"&amp;$G$1)</f>
        <v>0.05</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26.55</v>
      </c>
      <c r="G41" s="1846"/>
      <c r="H41" s="726"/>
      <c r="I41" s="1855"/>
      <c r="J41" s="1856"/>
      <c r="K41" s="745"/>
      <c r="L41" s="726"/>
      <c r="M41" s="726"/>
    </row>
    <row r="42" spans="1:18" ht="18" customHeight="1">
      <c r="A42" s="352"/>
      <c r="B42" s="353"/>
      <c r="C42" s="354"/>
      <c r="D42" s="372"/>
      <c r="E42" s="346" t="s">
        <v>1477</v>
      </c>
      <c r="F42" s="356">
        <f ca="1">INDIRECT("'数据-取费表'!v"&amp;$G$1)</f>
        <v>0.03</v>
      </c>
      <c r="G42" s="1846"/>
      <c r="H42" s="726"/>
      <c r="I42" s="1855"/>
      <c r="J42" s="1856"/>
      <c r="K42" s="745"/>
      <c r="L42" s="726"/>
      <c r="M42" s="726"/>
    </row>
    <row r="43" spans="1:18" ht="18" customHeight="1" thickBot="1">
      <c r="A43" s="379" t="s">
        <v>1033</v>
      </c>
      <c r="B43" s="380" t="s">
        <v>1487</v>
      </c>
      <c r="C43" s="381">
        <f ca="1">ROUND(C40*10000/F43,0)</f>
        <v>24577</v>
      </c>
      <c r="D43" s="382" t="s">
        <v>1488</v>
      </c>
      <c r="E43" s="383" t="s">
        <v>1489</v>
      </c>
      <c r="F43" s="384">
        <f ca="1">INDIRECT("'数据-取费表'!k"&amp;$G$1)</f>
        <v>790.58</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0"/>
      <c r="O45" s="1864" t="s">
        <v>1519</v>
      </c>
      <c r="P45" s="1834"/>
      <c r="Q45" s="1834"/>
      <c r="R45" s="1834"/>
    </row>
    <row r="46" spans="1:18" s="1837" customFormat="1" ht="24.75" thickBot="1">
      <c r="A46" s="1865" t="s">
        <v>1520</v>
      </c>
      <c r="C46" s="1866">
        <f ca="1">C68-C40</f>
        <v>-2509</v>
      </c>
      <c r="D46" s="1867" t="str">
        <f>C2</f>
        <v>万元</v>
      </c>
      <c r="E46" s="1861"/>
      <c r="F46" s="1861"/>
      <c r="I46" s="2969" t="s">
        <v>1521</v>
      </c>
      <c r="J46" s="2970"/>
      <c r="K46" s="2971"/>
      <c r="L46" s="2972">
        <f ca="1">IF(M47="住宅",0,IF(L48&gt;J51,L60,J60))</f>
        <v>18</v>
      </c>
      <c r="O46" s="1872" t="s">
        <v>1522</v>
      </c>
      <c r="P46" s="1873" t="s">
        <v>1523</v>
      </c>
      <c r="Q46" s="1874" t="s">
        <v>1524</v>
      </c>
      <c r="R46" s="1874" t="s">
        <v>1525</v>
      </c>
    </row>
    <row r="47" spans="1:18" s="1837" customFormat="1" ht="13.5" thickBot="1">
      <c r="A47" s="1162" t="s">
        <v>1396</v>
      </c>
      <c r="B47" s="1194" t="s">
        <v>1397</v>
      </c>
      <c r="C47" s="1362" t="s">
        <v>1398</v>
      </c>
      <c r="D47" s="1194" t="s">
        <v>1399</v>
      </c>
      <c r="E47" s="1274" t="s">
        <v>1400</v>
      </c>
      <c r="F47" s="1275"/>
      <c r="G47" s="786"/>
      <c r="I47" s="2973" t="s">
        <v>1526</v>
      </c>
      <c r="J47" s="2776" t="s">
        <v>3071</v>
      </c>
      <c r="K47" s="2974" t="s">
        <v>1527</v>
      </c>
      <c r="L47" s="2975">
        <f ca="1">INDIRECT("'数据-取费表'!d"&amp;$G$1)</f>
        <v>40</v>
      </c>
      <c r="M47" s="1833" t="str">
        <f>IF(ISNUMBER(FIND("住宅",C1)),"住宅","非住宅")</f>
        <v>非住宅</v>
      </c>
      <c r="O47" s="1879" t="s">
        <v>1040</v>
      </c>
      <c r="P47" s="1880" t="s">
        <v>1528</v>
      </c>
      <c r="Q47" s="1881">
        <f ca="1">C40+J29</f>
        <v>1943</v>
      </c>
      <c r="R47" s="1881" t="s">
        <v>1529</v>
      </c>
    </row>
    <row r="48" spans="1:18" s="1837" customFormat="1" ht="28.5" thickBot="1">
      <c r="A48" s="1355" t="s">
        <v>1135</v>
      </c>
      <c r="B48" s="344" t="s">
        <v>1401</v>
      </c>
      <c r="C48" s="1812">
        <f ca="1">C49+C53+C55</f>
        <v>0</v>
      </c>
      <c r="D48" s="1357"/>
      <c r="E48" s="1358"/>
      <c r="F48" s="1178"/>
      <c r="G48" s="786"/>
      <c r="H48" s="787"/>
      <c r="I48" s="1917" t="s">
        <v>1530</v>
      </c>
      <c r="J48" s="2976" t="s">
        <v>3072</v>
      </c>
      <c r="K48" s="2977" t="s">
        <v>1531</v>
      </c>
      <c r="L48" s="813">
        <f ca="1">INDIRECT("'数据-取费表'!f"&amp;$G$1)</f>
        <v>26.55</v>
      </c>
      <c r="O48" s="1879" t="s">
        <v>1041</v>
      </c>
      <c r="P48" s="1880" t="s">
        <v>1532</v>
      </c>
      <c r="Q48" s="1881">
        <f ca="1">J60</f>
        <v>18</v>
      </c>
      <c r="R48" s="1881" t="s">
        <v>1533</v>
      </c>
    </row>
    <row r="49" spans="1:18" s="1837" customFormat="1" ht="13.5" thickBot="1">
      <c r="A49" s="1191" t="s">
        <v>1136</v>
      </c>
      <c r="B49" s="1824" t="s">
        <v>1490</v>
      </c>
      <c r="C49" s="1359">
        <f ca="1">ROUND(F49*F51*F50*(1-F52)/10000,0)</f>
        <v>0</v>
      </c>
      <c r="D49" s="1271" t="s">
        <v>3029</v>
      </c>
      <c r="E49" s="1825" t="s">
        <v>1491</v>
      </c>
      <c r="F49" s="1276"/>
      <c r="G49" s="1886"/>
      <c r="H49" s="787"/>
      <c r="I49" s="1917" t="s">
        <v>1534</v>
      </c>
      <c r="J49" s="2978">
        <v>2013</v>
      </c>
      <c r="K49" s="2977" t="s">
        <v>1535</v>
      </c>
      <c r="L49" s="2760"/>
      <c r="O49" s="1889" t="s">
        <v>1042</v>
      </c>
      <c r="P49" s="1880" t="s">
        <v>1536</v>
      </c>
      <c r="Q49" s="1881">
        <f ca="1">C29</f>
        <v>382</v>
      </c>
      <c r="R49" s="1881" t="s">
        <v>1529</v>
      </c>
    </row>
    <row r="50" spans="1:18" s="1837" customFormat="1" ht="13.5" thickBot="1">
      <c r="A50" s="1192"/>
      <c r="B50" s="1195"/>
      <c r="C50" s="1363"/>
      <c r="D50" s="1169"/>
      <c r="E50" s="1272" t="s">
        <v>1406</v>
      </c>
      <c r="F50" s="1273">
        <f ca="1">F7</f>
        <v>790.58</v>
      </c>
      <c r="H50" s="787"/>
      <c r="I50" s="1917" t="s">
        <v>1537</v>
      </c>
      <c r="J50" s="2979">
        <f>SUMPRODUCT((I63:I65=J47)*(J62:L62=J48)*(J63:L65))</f>
        <v>60</v>
      </c>
      <c r="K50" s="2977" t="s">
        <v>1538</v>
      </c>
      <c r="L50" s="2760"/>
      <c r="M50" s="1891"/>
      <c r="O50" s="1889" t="s">
        <v>1043</v>
      </c>
      <c r="P50" s="1880" t="s">
        <v>1539</v>
      </c>
      <c r="Q50" s="1892">
        <f ca="1">J58</f>
        <v>0.47399999999999998</v>
      </c>
      <c r="R50" s="1881"/>
    </row>
    <row r="51" spans="1:18" s="1837" customFormat="1" ht="13.5" thickBot="1">
      <c r="A51" s="1193"/>
      <c r="B51" s="1195"/>
      <c r="C51" s="1196"/>
      <c r="D51" s="1169"/>
      <c r="E51" s="1197" t="s">
        <v>1407</v>
      </c>
      <c r="F51" s="347">
        <f ca="1">F8</f>
        <v>365</v>
      </c>
      <c r="I51" s="2980" t="s">
        <v>1540</v>
      </c>
      <c r="J51" s="2981">
        <f>IF(J49="",J50,J49+J50-YEAR('数据-取费表'!B2))</f>
        <v>55</v>
      </c>
      <c r="K51" s="2982" t="s">
        <v>1541</v>
      </c>
      <c r="L51" s="2983">
        <f ca="1">ROUND(-PV(INDIRECT("'数据-取费表'!h"&amp;$G$1),L48,(C39-C13*C76),0),0)</f>
        <v>1032</v>
      </c>
      <c r="M51" s="1897"/>
      <c r="O51" s="1889" t="s">
        <v>1044</v>
      </c>
      <c r="P51" s="1880" t="s">
        <v>1542</v>
      </c>
      <c r="Q51" s="1892">
        <f>J52</f>
        <v>0.09</v>
      </c>
      <c r="R51" s="1881"/>
    </row>
    <row r="52" spans="1:18" s="1837" customFormat="1" ht="13.5" thickBot="1">
      <c r="A52" s="1193"/>
      <c r="B52" s="1195"/>
      <c r="C52" s="1196"/>
      <c r="D52" s="1169"/>
      <c r="E52" s="1197" t="s">
        <v>1408</v>
      </c>
      <c r="F52" s="1270"/>
      <c r="I52" s="2862" t="s">
        <v>1543</v>
      </c>
      <c r="J52" s="2984">
        <v>0.09</v>
      </c>
      <c r="K52" s="2862" t="s">
        <v>1544</v>
      </c>
      <c r="L52" s="2984"/>
      <c r="O52" s="1889" t="s">
        <v>1045</v>
      </c>
      <c r="P52" s="1880" t="s">
        <v>1545</v>
      </c>
      <c r="Q52" s="1881">
        <f ca="1">J53</f>
        <v>26.55</v>
      </c>
      <c r="R52" s="1881" t="s">
        <v>1546</v>
      </c>
    </row>
    <row r="53" spans="1:18" s="1837" customFormat="1" ht="24.75" thickBot="1">
      <c r="A53" s="1400" t="s">
        <v>1137</v>
      </c>
      <c r="B53" s="1826" t="s">
        <v>1409</v>
      </c>
      <c r="C53" s="360">
        <f ca="1">ROUND(IF(F53="押一",C49/12*F11,IF(F53="押二",C49/12*2*F11,IF(F53="押三",C49/12*3*F11,C54*F11))),0)</f>
        <v>0</v>
      </c>
      <c r="D53" s="1819" t="s">
        <v>3036</v>
      </c>
      <c r="E53" s="357" t="s">
        <v>1410</v>
      </c>
      <c r="F53" s="1361"/>
      <c r="I53" s="1900" t="s">
        <v>1547</v>
      </c>
      <c r="J53" s="2985">
        <f ca="1">IF(M47="住宅",J51,IF(D1="——",MIN(J51,L48),IF(D1="在建（套用方法）",MIN(J51,L48-'数据-取费表'!B24),IF(D1="土地（套用方法）",MIN(J51,L48-'数据-取费表'!B20)))))</f>
        <v>26.55</v>
      </c>
      <c r="K53" s="3320" t="s">
        <v>1548</v>
      </c>
      <c r="L53" s="3321"/>
      <c r="O53" s="1879" t="s">
        <v>1046</v>
      </c>
      <c r="P53" s="1880" t="s">
        <v>1549</v>
      </c>
      <c r="Q53" s="1881">
        <f ca="1">Q47+Q48</f>
        <v>1961</v>
      </c>
      <c r="R53" s="1881" t="s">
        <v>1047</v>
      </c>
    </row>
    <row r="54" spans="1:18" s="1837" customFormat="1" ht="51.75" thickBot="1">
      <c r="A54" s="1401"/>
      <c r="B54" s="1820" t="s">
        <v>1388</v>
      </c>
      <c r="C54" s="1175"/>
      <c r="D54" s="1819"/>
      <c r="E54" s="1827"/>
      <c r="F54" s="1902"/>
      <c r="I54" s="29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2987">
        <f ca="1">ROUND(IF(J47="钢混",J57/J50,1-(1-2%)*(J50-J57)/J50),3)</f>
        <v>0.47399999999999998</v>
      </c>
      <c r="K55" s="2988" t="s">
        <v>1552</v>
      </c>
      <c r="L55" s="2989" t="s">
        <v>3073</v>
      </c>
      <c r="O55" s="1872" t="s">
        <v>1522</v>
      </c>
      <c r="P55" s="1873" t="s">
        <v>1523</v>
      </c>
      <c r="Q55" s="1874" t="s">
        <v>1524</v>
      </c>
      <c r="R55" s="1874" t="s">
        <v>1525</v>
      </c>
    </row>
    <row r="56" spans="1:18" s="1837" customFormat="1" ht="25.5" thickTop="1" thickBot="1">
      <c r="A56" s="1173">
        <v>2</v>
      </c>
      <c r="B56" s="1174" t="s">
        <v>1414</v>
      </c>
      <c r="C56" s="275">
        <f ca="1">C13</f>
        <v>351</v>
      </c>
      <c r="D56" s="1909"/>
      <c r="E56" s="1910"/>
      <c r="F56" s="1902"/>
      <c r="I56" s="1911" t="s">
        <v>1553</v>
      </c>
      <c r="J56" s="2990" t="s">
        <v>3049</v>
      </c>
      <c r="K56" s="1917" t="s">
        <v>1554</v>
      </c>
      <c r="L56" s="813" t="str">
        <f ca="1">IF(L48&lt;J51,"——",L48-J53)</f>
        <v>——</v>
      </c>
      <c r="O56" s="1879" t="s">
        <v>1040</v>
      </c>
      <c r="P56" s="1880" t="s">
        <v>1528</v>
      </c>
      <c r="Q56" s="1881">
        <f ca="1">C40+J29</f>
        <v>1943</v>
      </c>
      <c r="R56" s="1881" t="s">
        <v>1529</v>
      </c>
    </row>
    <row r="57" spans="1:18" s="1837" customFormat="1" ht="24.75" thickBot="1">
      <c r="A57" s="1913"/>
      <c r="B57" s="1166" t="s">
        <v>1478</v>
      </c>
      <c r="C57" s="281">
        <f ca="1">C29</f>
        <v>382</v>
      </c>
      <c r="D57" s="1914"/>
      <c r="E57" s="1915"/>
      <c r="F57" s="1916"/>
      <c r="I57" s="1917" t="s">
        <v>1555</v>
      </c>
      <c r="J57" s="234">
        <f ca="1">IF(OR(M47="住宅",J51&lt;L48,J56="是"),"——",J51-L48)</f>
        <v>28.45</v>
      </c>
      <c r="K57" s="1917" t="s">
        <v>1556</v>
      </c>
      <c r="L57" s="813" t="str">
        <f ca="1">IF(L48&lt;J51,"——",IF(L55="比较法",L49,IF(L55="基准地价",L50,L51)))</f>
        <v>——</v>
      </c>
      <c r="O57" s="1879" t="s">
        <v>1041</v>
      </c>
      <c r="P57" s="1880" t="s">
        <v>1557</v>
      </c>
      <c r="Q57" s="1881">
        <f ca="1">L60</f>
        <v>0</v>
      </c>
      <c r="R57" s="1881" t="s">
        <v>1558</v>
      </c>
    </row>
    <row r="58" spans="1:18" s="1837" customFormat="1" ht="24.75" thickBot="1">
      <c r="A58" s="359" t="s">
        <v>1030</v>
      </c>
      <c r="B58" s="1174" t="s">
        <v>1424</v>
      </c>
      <c r="C58" s="360">
        <f ca="1">ROUND(C59+C64+C65+C66,0)</f>
        <v>39</v>
      </c>
      <c r="D58" s="1176" t="s">
        <v>1425</v>
      </c>
      <c r="E58" s="1177"/>
      <c r="F58" s="1178"/>
      <c r="I58" s="1917" t="s">
        <v>1559</v>
      </c>
      <c r="J58" s="2991">
        <f ca="1">IF(J55&lt;0.4,0.4,J55)</f>
        <v>0.47399999999999998</v>
      </c>
      <c r="K58" s="2982" t="s">
        <v>1560</v>
      </c>
      <c r="L58" s="813" t="e">
        <f ca="1">ROUND(POWER(1+L52,L47-L48)*(POWER(1+L52,L48)-1)/(POWER(1+L52,L47)-1),4)</f>
        <v>#DIV/0!</v>
      </c>
      <c r="O58" s="1889" t="s">
        <v>1042</v>
      </c>
      <c r="P58" s="1880" t="s">
        <v>1561</v>
      </c>
      <c r="Q58" s="1881">
        <f>IF(L55="比较法",L49,IF(L55="基准地价",L50,0))</f>
        <v>0</v>
      </c>
      <c r="R58" s="1881" t="s">
        <v>1529</v>
      </c>
    </row>
    <row r="59" spans="1:18" s="1837" customFormat="1" ht="24.75" thickBot="1">
      <c r="A59" s="1198" t="s">
        <v>1035</v>
      </c>
      <c r="B59" s="1166" t="s">
        <v>1429</v>
      </c>
      <c r="C59" s="23">
        <f ca="1">ROUND(IF(项目基本情况!B11="自然人",C48*F59,C60+C61+C62),1)</f>
        <v>32.299999999999997</v>
      </c>
      <c r="D59" s="1179" t="s">
        <v>1430</v>
      </c>
      <c r="E59" s="1180" t="s">
        <v>1431</v>
      </c>
      <c r="F59" s="367" t="str">
        <f ca="1">IF(项目基本情况!B11="企业","",IF(INDIRECT("'数据-取费表'!c"&amp;$G$1)="住宅",5%,IF(F49*F50*F51/12/(1+'数据-取费表'!C42)&gt;20000,12%,7%)))</f>
        <v/>
      </c>
      <c r="I59" s="1917" t="s">
        <v>1562</v>
      </c>
      <c r="J59" s="234">
        <f ca="1">IF(OR(M47="住宅",J51&lt;L48,J56="是"),"——",ROUND(C29*J58,0))</f>
        <v>181</v>
      </c>
      <c r="K59" s="19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813"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1563</v>
      </c>
      <c r="Q59" s="1892">
        <f>L52</f>
        <v>0</v>
      </c>
      <c r="R59" s="1881"/>
    </row>
    <row r="60" spans="1:18" s="1837" customFormat="1" ht="16.5" thickBot="1">
      <c r="A60" s="1198" t="s">
        <v>1034</v>
      </c>
      <c r="B60" s="1166" t="s">
        <v>1433</v>
      </c>
      <c r="C60" s="23">
        <f ca="1">IF(项目基本情况!B11="自然人","——",ROUND(C48*F60/(1+'数据-取费表'!C42),2))</f>
        <v>0</v>
      </c>
      <c r="D60" s="1180" t="s">
        <v>1434</v>
      </c>
      <c r="E60" s="1166" t="s">
        <v>1422</v>
      </c>
      <c r="F60" s="376">
        <f t="shared" ref="F60:F66" si="0">F32</f>
        <v>5.6000000000000001E-2</v>
      </c>
      <c r="I60" s="2992" t="s">
        <v>1564</v>
      </c>
      <c r="J60" s="2993">
        <f ca="1">IF(OR(M47="住宅",J51&lt;L48,J56="是"),"0",ROUND(J59/(1+J52)^J53,0))</f>
        <v>18</v>
      </c>
      <c r="K60" s="2994" t="s">
        <v>1565</v>
      </c>
      <c r="L60" s="2993">
        <f ca="1">IF(OR(M47="住宅",L48&lt;J51),0,ROUND(L57*(L58/L59-1),0))</f>
        <v>0</v>
      </c>
      <c r="O60" s="1889" t="s">
        <v>1044</v>
      </c>
      <c r="P60" s="1880" t="s">
        <v>1566</v>
      </c>
      <c r="Q60" s="1881" t="e">
        <f ca="1">L58</f>
        <v>#DIV/0!</v>
      </c>
      <c r="R60" s="1881" t="s">
        <v>1567</v>
      </c>
    </row>
    <row r="61" spans="1:18" s="1837" customFormat="1" ht="13.5" thickBot="1">
      <c r="A61" s="1198" t="s">
        <v>1492</v>
      </c>
      <c r="B61" s="1166" t="s">
        <v>1493</v>
      </c>
      <c r="C61" s="23">
        <f ca="1">IF(项目基本情况!B11="自然人","——",IF(D61="按租金收入计税",ROUND(C48*F61,2),IF(D61="按房产原值计税",ROUND(C57*F61*0.7,2),INDIRECT("'数据-取费表'!Aj"&amp;$G$1))))</f>
        <v>32.090000000000003</v>
      </c>
      <c r="D61" s="1823" t="s">
        <v>1438</v>
      </c>
      <c r="E61" s="1166" t="s">
        <v>1494</v>
      </c>
      <c r="F61" s="366">
        <f t="shared" si="0"/>
        <v>0.12</v>
      </c>
      <c r="I61" s="1923"/>
      <c r="J61" s="1923"/>
      <c r="K61" s="1923"/>
      <c r="L61" s="1923"/>
      <c r="O61" s="1889" t="s">
        <v>1045</v>
      </c>
      <c r="P61" s="1880" t="str">
        <f>K59</f>
        <v>建筑物剩余耐用年限下的土地年期修正系数Kn</v>
      </c>
      <c r="Q61" s="1881" t="e">
        <f ca="1">L59</f>
        <v>#DIV/0!</v>
      </c>
      <c r="R61" s="1881" t="s">
        <v>1568</v>
      </c>
    </row>
    <row r="62" spans="1:18" s="1837" customFormat="1" ht="13.5" thickBot="1">
      <c r="A62" s="1198" t="s">
        <v>1495</v>
      </c>
      <c r="B62" s="1165" t="s">
        <v>1496</v>
      </c>
      <c r="C62" s="24">
        <f ca="1">IF(项目基本情况!B11="自然人","——",ROUND(F62*F63/10000,2))</f>
        <v>0.16</v>
      </c>
      <c r="D62" s="1181" t="s">
        <v>1497</v>
      </c>
      <c r="E62" s="1166" t="s">
        <v>1498</v>
      </c>
      <c r="F62" s="370">
        <f t="shared" si="0"/>
        <v>16</v>
      </c>
      <c r="I62" s="1924" t="s">
        <v>1569</v>
      </c>
      <c r="J62" s="1925" t="s">
        <v>1570</v>
      </c>
      <c r="K62" s="1925" t="s">
        <v>1571</v>
      </c>
      <c r="L62" s="1925" t="s">
        <v>1572</v>
      </c>
      <c r="M62" s="1926" t="s">
        <v>1573</v>
      </c>
      <c r="O62" s="1879" t="s">
        <v>1046</v>
      </c>
      <c r="P62" s="1880" t="s">
        <v>1574</v>
      </c>
      <c r="Q62" s="1881">
        <f ca="1">Q56+Q57</f>
        <v>1943</v>
      </c>
      <c r="R62" s="1881" t="s">
        <v>1047</v>
      </c>
    </row>
    <row r="63" spans="1:18" s="1837" customFormat="1" ht="13.5" thickBot="1">
      <c r="A63" s="371"/>
      <c r="B63" s="1172"/>
      <c r="C63" s="28"/>
      <c r="D63" s="1182"/>
      <c r="E63" s="1166" t="s">
        <v>1499</v>
      </c>
      <c r="F63" s="347">
        <f t="shared" ca="1" si="0"/>
        <v>102.74</v>
      </c>
      <c r="I63" s="1924" t="s">
        <v>1575</v>
      </c>
      <c r="J63" s="1925">
        <v>70</v>
      </c>
      <c r="K63" s="1925">
        <v>50</v>
      </c>
      <c r="L63" s="1925">
        <v>80</v>
      </c>
      <c r="M63" s="1927">
        <v>0.02</v>
      </c>
      <c r="O63" s="1864" t="s">
        <v>1576</v>
      </c>
      <c r="P63" s="1834"/>
      <c r="Q63" s="1834"/>
      <c r="R63" s="1834"/>
    </row>
    <row r="64" spans="1:18" s="1837" customFormat="1" ht="13.5" thickBot="1">
      <c r="A64" s="1198" t="s">
        <v>1500</v>
      </c>
      <c r="B64" s="1166" t="s">
        <v>1501</v>
      </c>
      <c r="C64" s="23">
        <f ca="1">ROUND(C57*F64,1)</f>
        <v>5.7</v>
      </c>
      <c r="D64" s="1180" t="s">
        <v>1502</v>
      </c>
      <c r="E64" s="1166" t="s">
        <v>1494</v>
      </c>
      <c r="F64" s="373">
        <f t="shared" ca="1" si="0"/>
        <v>1.4999999999999999E-2</v>
      </c>
      <c r="I64" s="1924" t="s">
        <v>1577</v>
      </c>
      <c r="J64" s="1925">
        <v>50</v>
      </c>
      <c r="K64" s="1925">
        <v>35</v>
      </c>
      <c r="L64" s="1925">
        <v>60</v>
      </c>
      <c r="M64" s="1926">
        <v>0</v>
      </c>
      <c r="O64" s="1872" t="s">
        <v>1522</v>
      </c>
      <c r="P64" s="1873" t="s">
        <v>1523</v>
      </c>
      <c r="Q64" s="1874" t="s">
        <v>1524</v>
      </c>
      <c r="R64" s="1874" t="s">
        <v>1525</v>
      </c>
    </row>
    <row r="65" spans="1:18" s="1837" customFormat="1" ht="13.5" thickBot="1">
      <c r="A65" s="1198" t="s">
        <v>1503</v>
      </c>
      <c r="B65" s="1166" t="s">
        <v>1453</v>
      </c>
      <c r="C65" s="23">
        <f ca="1">ROUND(C56*F65,1)</f>
        <v>0.5</v>
      </c>
      <c r="D65" s="1180" t="s">
        <v>1454</v>
      </c>
      <c r="E65" s="1166" t="s">
        <v>1455</v>
      </c>
      <c r="F65" s="375">
        <f t="shared" ca="1" si="0"/>
        <v>1.5E-3</v>
      </c>
      <c r="I65" s="1924" t="s">
        <v>1578</v>
      </c>
      <c r="J65" s="1925">
        <v>40</v>
      </c>
      <c r="K65" s="1925">
        <v>30</v>
      </c>
      <c r="L65" s="1925">
        <v>50</v>
      </c>
      <c r="M65" s="1927">
        <v>0.02</v>
      </c>
      <c r="O65" s="1879" t="s">
        <v>1040</v>
      </c>
      <c r="P65" s="1880" t="s">
        <v>1579</v>
      </c>
      <c r="Q65" s="1881">
        <f ca="1">C40+J29</f>
        <v>1943</v>
      </c>
      <c r="R65" s="1881" t="s">
        <v>1529</v>
      </c>
    </row>
    <row r="66" spans="1:18" s="1837" customFormat="1" ht="16.5" thickBot="1">
      <c r="A66" s="1198" t="s">
        <v>1504</v>
      </c>
      <c r="B66" s="1166" t="s">
        <v>1439</v>
      </c>
      <c r="C66" s="23">
        <f ca="1">ROUND(C48*F66,1)</f>
        <v>0</v>
      </c>
      <c r="D66" s="1180" t="s">
        <v>1505</v>
      </c>
      <c r="E66" s="1166" t="s">
        <v>1422</v>
      </c>
      <c r="F66" s="356">
        <f t="shared" ca="1" si="0"/>
        <v>0.01</v>
      </c>
      <c r="O66" s="1879" t="s">
        <v>1041</v>
      </c>
      <c r="P66" s="1880" t="s">
        <v>1557</v>
      </c>
      <c r="Q66" s="1881">
        <f ca="1">L60</f>
        <v>0</v>
      </c>
      <c r="R66" s="1881" t="s">
        <v>1580</v>
      </c>
    </row>
    <row r="67" spans="1:18" s="1837" customFormat="1" ht="16.5" thickBot="1">
      <c r="A67" s="1173" t="s">
        <v>1031</v>
      </c>
      <c r="B67" s="1183" t="s">
        <v>1463</v>
      </c>
      <c r="C67" s="360">
        <f ca="1">C48-C58</f>
        <v>-39</v>
      </c>
      <c r="D67" s="1179" t="s">
        <v>1464</v>
      </c>
      <c r="E67" s="1184"/>
      <c r="F67" s="1185"/>
      <c r="O67" s="1889" t="s">
        <v>1042</v>
      </c>
      <c r="P67" s="1880" t="s">
        <v>1561</v>
      </c>
      <c r="Q67" s="1928">
        <f ca="1">L51</f>
        <v>1032</v>
      </c>
      <c r="R67" s="1881" t="s">
        <v>1581</v>
      </c>
    </row>
    <row r="68" spans="1:18" s="1837" customFormat="1" ht="16.5" thickBot="1">
      <c r="A68" s="1163" t="s">
        <v>1032</v>
      </c>
      <c r="B68" s="1164" t="s">
        <v>1485</v>
      </c>
      <c r="C68" s="345">
        <f ca="1">ROUND(C67*(1-((1+F70)/(1+F68))^F69)/(F68-F70),0)</f>
        <v>-566</v>
      </c>
      <c r="D68" s="1181" t="s">
        <v>1469</v>
      </c>
      <c r="E68" s="1166" t="s">
        <v>1470</v>
      </c>
      <c r="F68" s="356">
        <f ca="1">F40</f>
        <v>0.05</v>
      </c>
      <c r="O68" s="1889" t="s">
        <v>1043</v>
      </c>
      <c r="P68" s="1929" t="s">
        <v>1582</v>
      </c>
      <c r="Q68" s="1881">
        <f ca="1">ROUND(Q69-Q70*Q71,0)</f>
        <v>67</v>
      </c>
      <c r="R68" s="1881" t="s">
        <v>1051</v>
      </c>
    </row>
    <row r="69" spans="1:18" s="1837" customFormat="1" ht="13.5" thickBot="1">
      <c r="A69" s="1167"/>
      <c r="B69" s="1168"/>
      <c r="C69" s="350"/>
      <c r="D69" s="1186" t="s">
        <v>1473</v>
      </c>
      <c r="E69" s="1166" t="s">
        <v>1474</v>
      </c>
      <c r="F69" s="378">
        <f ca="1">F41</f>
        <v>26.55</v>
      </c>
      <c r="O69" s="1889" t="s">
        <v>1048</v>
      </c>
      <c r="P69" s="1929" t="s">
        <v>1583</v>
      </c>
      <c r="Q69" s="1881">
        <f ca="1">C39</f>
        <v>97.2</v>
      </c>
      <c r="R69" s="1881" t="s">
        <v>1529</v>
      </c>
    </row>
    <row r="70" spans="1:18" s="1837" customFormat="1" ht="13.5" thickBot="1">
      <c r="A70" s="1170"/>
      <c r="B70" s="1171"/>
      <c r="C70" s="354"/>
      <c r="D70" s="1182"/>
      <c r="E70" s="1166" t="s">
        <v>1477</v>
      </c>
      <c r="F70" s="1270"/>
      <c r="O70" s="1889" t="s">
        <v>1049</v>
      </c>
      <c r="P70" s="1929" t="s">
        <v>1584</v>
      </c>
      <c r="Q70" s="1881">
        <f ca="1">C13</f>
        <v>351</v>
      </c>
      <c r="R70" s="1881" t="s">
        <v>1529</v>
      </c>
    </row>
    <row r="71" spans="1:18" s="1837" customFormat="1" ht="13.5" thickBot="1">
      <c r="A71" s="1187" t="s">
        <v>1033</v>
      </c>
      <c r="B71" s="1188" t="s">
        <v>1487</v>
      </c>
      <c r="C71" s="381">
        <f ca="1">ROUND(C68*10000/F71,0)</f>
        <v>-7159</v>
      </c>
      <c r="D71" s="1189" t="s">
        <v>1488</v>
      </c>
      <c r="E71" s="1190" t="s">
        <v>1489</v>
      </c>
      <c r="F71" s="384">
        <f ca="1">F43</f>
        <v>790.58</v>
      </c>
      <c r="O71" s="1889" t="s">
        <v>1050</v>
      </c>
      <c r="P71" s="1929" t="s">
        <v>1585</v>
      </c>
      <c r="Q71" s="1892">
        <f ca="1">C76</f>
        <v>8.5000000000000006E-2</v>
      </c>
      <c r="R71" s="1881"/>
    </row>
    <row r="72" spans="1:18" s="1837" customFormat="1" ht="13.5" thickBot="1">
      <c r="B72" s="790"/>
      <c r="C72" s="790"/>
      <c r="O72" s="1889" t="s">
        <v>1044</v>
      </c>
      <c r="P72" s="1880" t="s">
        <v>1563</v>
      </c>
      <c r="Q72" s="1892">
        <f>L52</f>
        <v>0</v>
      </c>
      <c r="R72" s="1881"/>
    </row>
    <row r="73" spans="1:18" ht="16.5" thickBot="1">
      <c r="A73" s="1837"/>
      <c r="B73" s="790"/>
      <c r="C73" s="790"/>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建筑物剩余耐用年限下的土地年期修正系数Kn</v>
      </c>
      <c r="Q74" s="1881" t="e">
        <f ca="1">L59</f>
        <v>#DIV/0!</v>
      </c>
      <c r="R74" s="1881" t="s">
        <v>1568</v>
      </c>
    </row>
    <row r="75" spans="1:18" ht="13.5" thickBot="1">
      <c r="A75" s="1837"/>
      <c r="B75" s="385" t="s">
        <v>1506</v>
      </c>
      <c r="C75" s="386">
        <f ca="1">ROUND(C13*C76,0)</f>
        <v>30</v>
      </c>
      <c r="D75" s="1837"/>
      <c r="E75" s="1837"/>
      <c r="F75" s="1837"/>
      <c r="K75" s="1863"/>
      <c r="L75" s="1837"/>
      <c r="O75" s="1879" t="s">
        <v>1046</v>
      </c>
      <c r="P75" s="1880" t="s">
        <v>1549</v>
      </c>
      <c r="Q75" s="1881">
        <f ca="1">Q65+Q66</f>
        <v>1943</v>
      </c>
      <c r="R75" s="1881" t="s">
        <v>1047</v>
      </c>
    </row>
    <row r="76" spans="1:18">
      <c r="B76" s="387" t="s">
        <v>1507</v>
      </c>
      <c r="C76" s="388">
        <f ca="1">INDIRECT("'数据-取费表'!j"&amp;$G$1)</f>
        <v>8.5000000000000006E-2</v>
      </c>
      <c r="I76" s="1837"/>
      <c r="J76" s="1837"/>
      <c r="K76" s="1863"/>
      <c r="L76" s="1837"/>
    </row>
    <row r="77" spans="1:18">
      <c r="B77" s="389" t="s">
        <v>1508</v>
      </c>
      <c r="C77" s="390"/>
      <c r="I77" s="1837"/>
      <c r="J77" s="1837"/>
      <c r="K77" s="1863"/>
      <c r="L77" s="1837"/>
    </row>
    <row r="78" spans="1:18">
      <c r="B78" s="313" t="s">
        <v>1509</v>
      </c>
      <c r="C78" s="391"/>
    </row>
    <row r="79" spans="1:18">
      <c r="B79" s="385" t="s">
        <v>1510</v>
      </c>
      <c r="C79" s="317">
        <f ca="1">1-C80</f>
        <v>0.69100000000000006</v>
      </c>
    </row>
    <row r="80" spans="1:18">
      <c r="B80" s="385" t="s">
        <v>1511</v>
      </c>
      <c r="C80" s="317">
        <f ca="1">ROUND(C75/C39,3)</f>
        <v>0.309</v>
      </c>
    </row>
    <row r="81" spans="2:3">
      <c r="B81" s="313" t="s">
        <v>1512</v>
      </c>
      <c r="C81" s="281"/>
    </row>
    <row r="82" spans="2:3">
      <c r="B82" s="316" t="s">
        <v>1513</v>
      </c>
      <c r="C82" s="318">
        <f ca="1">1-C83</f>
        <v>0.81899999999999995</v>
      </c>
    </row>
    <row r="83" spans="2:3">
      <c r="B83" s="316" t="s">
        <v>1514</v>
      </c>
      <c r="C83" s="317">
        <f ca="1">ROUND(C13/C40,3)</f>
        <v>0.18099999999999999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0" customWidth="1"/>
    <col min="12" max="12" width="16.375" style="301" customWidth="1"/>
    <col min="13" max="13" width="13" style="301"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1"/>
  </cols>
  <sheetData>
    <row r="1" spans="1:37" s="336" customFormat="1" ht="21">
      <c r="A1" s="1828" t="s">
        <v>1588</v>
      </c>
      <c r="B1" s="776"/>
      <c r="C1" s="1832"/>
      <c r="D1" s="1815"/>
      <c r="E1" s="1816" t="s">
        <v>1387</v>
      </c>
      <c r="F1" s="1278" t="b">
        <f>J53</f>
        <v>0</v>
      </c>
      <c r="G1" s="1831">
        <f>MATCH(C1,'数据-取费表'!A6:A16,0)+5</f>
        <v>8</v>
      </c>
      <c r="H1" s="746"/>
      <c r="I1" s="338"/>
      <c r="J1" s="338"/>
      <c r="K1" s="747"/>
      <c r="L1" s="338"/>
      <c r="M1" s="338"/>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8" t="s">
        <v>1589</v>
      </c>
      <c r="B2" s="1839" t="e">
        <f ca="1">ROUND(D2/10000,0)</f>
        <v>#DIV/0!</v>
      </c>
      <c r="C2" s="1840" t="s">
        <v>1590</v>
      </c>
      <c r="D2" s="1933" t="e">
        <f ca="1">C40+J29+L46</f>
        <v>#DIV/0!</v>
      </c>
      <c r="E2" s="1841" t="s">
        <v>1591</v>
      </c>
      <c r="F2" s="1842"/>
      <c r="G2" s="1843"/>
      <c r="H2" s="1835"/>
      <c r="I2" s="1835"/>
      <c r="J2" s="1835"/>
      <c r="K2" s="1836"/>
      <c r="L2" s="1835"/>
      <c r="M2" s="1835"/>
    </row>
    <row r="3" spans="1:37" ht="18" customHeight="1" thickBot="1">
      <c r="A3" s="1844" t="s">
        <v>1592</v>
      </c>
      <c r="B3" s="1845">
        <f ca="1">IF(ISERROR(D2/F43),0,ROUND(D2/F43,0))</f>
        <v>0</v>
      </c>
      <c r="C3" s="1840" t="s">
        <v>1593</v>
      </c>
      <c r="D3" s="1840"/>
      <c r="E3" s="1841"/>
      <c r="F3" s="1842"/>
      <c r="G3" s="1843"/>
      <c r="H3" s="738" t="s">
        <v>1587</v>
      </c>
      <c r="I3" s="1835"/>
      <c r="J3" s="1835"/>
      <c r="K3" s="1836"/>
      <c r="L3" s="1835"/>
      <c r="M3" s="1835"/>
    </row>
    <row r="4" spans="1:37" ht="18" customHeight="1">
      <c r="A4" s="339" t="s">
        <v>1594</v>
      </c>
      <c r="B4" s="340" t="s">
        <v>1595</v>
      </c>
      <c r="C4" s="340" t="s">
        <v>1596</v>
      </c>
      <c r="D4" s="340" t="s">
        <v>1597</v>
      </c>
      <c r="E4" s="341" t="s">
        <v>1598</v>
      </c>
      <c r="F4" s="342"/>
      <c r="G4" s="1846"/>
      <c r="H4" s="339" t="s">
        <v>1594</v>
      </c>
      <c r="I4" s="340" t="s">
        <v>1595</v>
      </c>
      <c r="J4" s="340" t="s">
        <v>1596</v>
      </c>
      <c r="K4" s="340" t="s">
        <v>1597</v>
      </c>
      <c r="L4" s="341" t="s">
        <v>1598</v>
      </c>
      <c r="M4" s="342"/>
    </row>
    <row r="5" spans="1:37" ht="18" customHeight="1">
      <c r="A5" s="343">
        <v>1</v>
      </c>
      <c r="B5" s="344" t="s">
        <v>1599</v>
      </c>
      <c r="C5" s="1287">
        <f ca="1">C6+C10+C12</f>
        <v>0</v>
      </c>
      <c r="D5" s="1817" t="s">
        <v>1600</v>
      </c>
      <c r="E5" s="1288"/>
      <c r="F5" s="1289"/>
      <c r="G5" s="1846"/>
      <c r="H5" s="343">
        <v>1</v>
      </c>
      <c r="I5" s="344" t="s">
        <v>1599</v>
      </c>
      <c r="J5" s="1287">
        <f ca="1">J6+J10+J12</f>
        <v>0</v>
      </c>
      <c r="K5" s="1817" t="s">
        <v>1600</v>
      </c>
      <c r="L5" s="1288"/>
      <c r="M5" s="1289"/>
    </row>
    <row r="6" spans="1:37" ht="18" customHeight="1">
      <c r="A6" s="1286" t="s">
        <v>1035</v>
      </c>
      <c r="B6" s="3322" t="s">
        <v>1403</v>
      </c>
      <c r="C6" s="1291">
        <f ca="1">ROUND(F6*F8*F7*(1-F9),0)</f>
        <v>0</v>
      </c>
      <c r="D6" s="163" t="s">
        <v>3025</v>
      </c>
      <c r="E6" s="346" t="s">
        <v>1405</v>
      </c>
      <c r="F6" s="347">
        <f ca="1">INDIRECT("'数据-取费表'!u"&amp;$G$1)</f>
        <v>0</v>
      </c>
      <c r="G6" s="1846"/>
      <c r="H6" s="1286" t="s">
        <v>1035</v>
      </c>
      <c r="I6" s="3322" t="s">
        <v>1403</v>
      </c>
      <c r="J6" s="345">
        <f ca="1">ROUND(M6*M8*M7*(1-M9),0)</f>
        <v>0</v>
      </c>
      <c r="K6" s="1829" t="s">
        <v>3026</v>
      </c>
      <c r="L6" s="346" t="s">
        <v>1405</v>
      </c>
      <c r="M6" s="347">
        <f ca="1">INDIRECT("'数据-取费表'!z"&amp;$G$1)</f>
        <v>0</v>
      </c>
    </row>
    <row r="7" spans="1:37" ht="18" customHeight="1">
      <c r="A7" s="1290"/>
      <c r="B7" s="3323"/>
      <c r="C7" s="1292"/>
      <c r="D7" s="351"/>
      <c r="E7" s="1293" t="s">
        <v>1406</v>
      </c>
      <c r="F7" s="347">
        <f ca="1">IF(INDIRECT("'数据-取费表'!ah"&amp;$G$1)="",INDIRECT("'数据-取费表'!k"&amp;$G$1),INDIRECT("'数据-取费表'!ah"&amp;$G$1))</f>
        <v>0</v>
      </c>
      <c r="G7" s="1846"/>
      <c r="H7" s="348"/>
      <c r="I7" s="3323"/>
      <c r="J7" s="350"/>
      <c r="K7" s="351"/>
      <c r="L7" s="346" t="s">
        <v>1406</v>
      </c>
      <c r="M7" s="347">
        <f ca="1">F7</f>
        <v>0</v>
      </c>
    </row>
    <row r="8" spans="1:37" ht="18" customHeight="1">
      <c r="A8" s="348"/>
      <c r="B8" s="3323"/>
      <c r="C8" s="350"/>
      <c r="D8" s="351"/>
      <c r="E8" s="346" t="s">
        <v>1407</v>
      </c>
      <c r="F8" s="347">
        <f ca="1">INDIRECT("'数据-取费表'!ai"&amp;$G$1)</f>
        <v>0</v>
      </c>
      <c r="G8" s="1846"/>
      <c r="H8" s="348"/>
      <c r="I8" s="3323"/>
      <c r="J8" s="350"/>
      <c r="K8" s="351"/>
      <c r="L8" s="346" t="s">
        <v>1407</v>
      </c>
      <c r="M8" s="347">
        <f ca="1">INDIRECT("'数据-取费表'!ai"&amp;$G$1)</f>
        <v>0</v>
      </c>
    </row>
    <row r="9" spans="1:37" ht="18" customHeight="1">
      <c r="A9" s="348"/>
      <c r="B9" s="3324"/>
      <c r="C9" s="350"/>
      <c r="D9" s="351"/>
      <c r="E9" s="346" t="s">
        <v>1408</v>
      </c>
      <c r="F9" s="356">
        <f ca="1">INDIRECT("'数据-取费表'!w"&amp;$G$1)</f>
        <v>0</v>
      </c>
      <c r="G9" s="1846"/>
      <c r="H9" s="348"/>
      <c r="I9" s="3324"/>
      <c r="J9" s="350"/>
      <c r="K9" s="351"/>
      <c r="L9" s="357" t="s">
        <v>1408</v>
      </c>
      <c r="M9" s="358">
        <f ca="1">INDIRECT("'数据-取费表'!ab"&amp;$G$1)</f>
        <v>0</v>
      </c>
    </row>
    <row r="10" spans="1:37" ht="18" customHeight="1">
      <c r="A10" s="1286" t="s">
        <v>1039</v>
      </c>
      <c r="B10" s="1818" t="s">
        <v>1409</v>
      </c>
      <c r="C10" s="360">
        <f ca="1">ROUND(IF(F10="押一",C6/12*F11,IF(F10="押二",C6/12*2*F11,IF(F10="押三",C6/12*3*F11,C11*F11))),0)</f>
        <v>0</v>
      </c>
      <c r="D10" s="1819" t="s">
        <v>3036</v>
      </c>
      <c r="E10" s="357" t="s">
        <v>1410</v>
      </c>
      <c r="F10" s="1361"/>
      <c r="G10" s="1846"/>
      <c r="H10" s="1286" t="s">
        <v>1039</v>
      </c>
      <c r="I10" s="1818" t="s">
        <v>1409</v>
      </c>
      <c r="J10" s="345">
        <f ca="1">ROUND(IF(M10="押一",J6/12*M11,IF(M10="押二",J6/12*2*M11,IF(M10="押三",J6/12*3*M11,J11*M11))),0)</f>
        <v>0</v>
      </c>
      <c r="K10" s="1830" t="s">
        <v>3038</v>
      </c>
      <c r="L10" s="357" t="s">
        <v>1410</v>
      </c>
      <c r="M10" s="1361"/>
    </row>
    <row r="11" spans="1:37" ht="18" customHeight="1">
      <c r="A11" s="352"/>
      <c r="B11" s="1820" t="s">
        <v>1601</v>
      </c>
      <c r="C11" s="1175"/>
      <c r="D11" s="351"/>
      <c r="E11" s="357" t="s">
        <v>1412</v>
      </c>
      <c r="F11" s="358">
        <f ca="1">'数据-取费表'!B39</f>
        <v>1.4999999999999999E-2</v>
      </c>
      <c r="G11" s="1846"/>
      <c r="H11" s="1294"/>
      <c r="I11" s="1820" t="s">
        <v>1602</v>
      </c>
      <c r="J11" s="1175"/>
      <c r="K11" s="742"/>
      <c r="L11" s="357" t="s">
        <v>1412</v>
      </c>
      <c r="M11" s="1053">
        <f ca="1">'数据-取费表'!B39</f>
        <v>1.4999999999999999E-2</v>
      </c>
    </row>
    <row r="12" spans="1:37" ht="18" customHeight="1" thickBot="1">
      <c r="A12" s="1328" t="s">
        <v>1075</v>
      </c>
      <c r="B12" s="1822" t="s">
        <v>1413</v>
      </c>
      <c r="C12" s="1329"/>
      <c r="D12" s="1330"/>
      <c r="E12" s="1335"/>
      <c r="F12" s="1331"/>
      <c r="G12" s="1846"/>
      <c r="H12" s="1328" t="s">
        <v>1075</v>
      </c>
      <c r="I12" s="1822" t="s">
        <v>1413</v>
      </c>
      <c r="J12" s="1329"/>
      <c r="K12" s="1343"/>
      <c r="L12" s="1335"/>
      <c r="M12" s="1344"/>
    </row>
    <row r="13" spans="1:37" ht="18" customHeight="1" thickTop="1">
      <c r="A13" s="1324">
        <v>2</v>
      </c>
      <c r="B13" s="1325" t="s">
        <v>1414</v>
      </c>
      <c r="C13" s="354">
        <f ca="1">ROUND(C29*F13,0)</f>
        <v>0</v>
      </c>
      <c r="D13" s="1326" t="s">
        <v>1415</v>
      </c>
      <c r="E13" s="1326" t="s">
        <v>1416</v>
      </c>
      <c r="F13" s="1327">
        <f ca="1">INDIRECT("'数据-取费表'!y"&amp;$G$1)</f>
        <v>0</v>
      </c>
      <c r="G13" s="1846"/>
      <c r="H13" s="1324">
        <v>2</v>
      </c>
      <c r="I13" s="1325" t="s">
        <v>1414</v>
      </c>
      <c r="J13" s="1285">
        <f ca="1">ROUND(J14*J15,0)</f>
        <v>0</v>
      </c>
      <c r="K13" s="1332" t="s">
        <v>1415</v>
      </c>
      <c r="L13" s="1847"/>
      <c r="M13" s="1848"/>
    </row>
    <row r="14" spans="1:37" ht="18" customHeight="1">
      <c r="A14" s="1198" t="s">
        <v>1034</v>
      </c>
      <c r="B14" s="346" t="s">
        <v>1417</v>
      </c>
      <c r="C14" s="362">
        <f ca="1">ROUND(INDIRECT("'数据-取费表'!l"&amp;$G$1)*F43+'数据-取费表'!L14*INDIRECT("'数据-取费表'!S"&amp;$G$1),0)</f>
        <v>0</v>
      </c>
      <c r="D14" s="1795" t="s">
        <v>1418</v>
      </c>
      <c r="E14" s="1789"/>
      <c r="F14" s="363"/>
      <c r="G14" s="1846"/>
      <c r="H14" s="1198" t="s">
        <v>1035</v>
      </c>
      <c r="I14" s="346" t="s">
        <v>1419</v>
      </c>
      <c r="J14" s="23">
        <f ca="1">C29</f>
        <v>0</v>
      </c>
      <c r="K14" s="14"/>
      <c r="L14" s="976"/>
      <c r="M14" s="977"/>
    </row>
    <row r="15" spans="1:37" s="1853" customFormat="1" ht="18" customHeight="1" thickBot="1">
      <c r="A15" s="1198" t="s">
        <v>1036</v>
      </c>
      <c r="B15" s="346" t="s">
        <v>1420</v>
      </c>
      <c r="C15" s="23">
        <f ca="1">ROUND(C14*F15,0)</f>
        <v>0</v>
      </c>
      <c r="D15" s="364" t="s">
        <v>1421</v>
      </c>
      <c r="E15" s="364" t="s">
        <v>1422</v>
      </c>
      <c r="F15" s="365">
        <f>'数据-取费表'!B33</f>
        <v>0.03</v>
      </c>
      <c r="G15" s="1849"/>
      <c r="H15" s="1334" t="s">
        <v>1039</v>
      </c>
      <c r="I15" s="1335" t="s">
        <v>1416</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1389</v>
      </c>
      <c r="B16" s="346" t="s">
        <v>1423</v>
      </c>
      <c r="C16" s="23">
        <f ca="1">ROUND(INDIRECT("'数据-取费表'!l"&amp;$G$1)*F43*F16,0)</f>
        <v>0</v>
      </c>
      <c r="D16" s="346" t="s">
        <v>1421</v>
      </c>
      <c r="E16" s="346" t="s">
        <v>1422</v>
      </c>
      <c r="F16" s="366">
        <f ca="1">IF(INDIRECT("'数据-取费表'!c"&amp;$G$1)="住宅",'数据-取费表'!B34,0)</f>
        <v>0</v>
      </c>
      <c r="G16" s="1846"/>
      <c r="H16" s="1324" t="s">
        <v>1030</v>
      </c>
      <c r="I16" s="1325" t="s">
        <v>1424</v>
      </c>
      <c r="J16" s="354">
        <f ca="1">ROUND(J17+J22+J23+J24,0)</f>
        <v>0</v>
      </c>
      <c r="K16" s="1332" t="s">
        <v>1425</v>
      </c>
      <c r="L16" s="1333"/>
      <c r="M16" s="1289"/>
    </row>
    <row r="17" spans="1:37" s="1853" customFormat="1" ht="18" customHeight="1">
      <c r="A17" s="1198" t="s">
        <v>1390</v>
      </c>
      <c r="B17" s="346" t="s">
        <v>1426</v>
      </c>
      <c r="C17" s="23">
        <f ca="1">ROUND(F17*(F43+INDIRECT("'数据-取费表'!S"&amp;$G$1)),0)</f>
        <v>0</v>
      </c>
      <c r="D17" s="346" t="s">
        <v>1427</v>
      </c>
      <c r="E17" s="346" t="s">
        <v>1428</v>
      </c>
      <c r="F17" s="25">
        <f>'数据-取费表'!B35</f>
        <v>200</v>
      </c>
      <c r="G17" s="1849"/>
      <c r="H17" s="1198" t="s">
        <v>1035</v>
      </c>
      <c r="I17" s="346" t="s">
        <v>1429</v>
      </c>
      <c r="J17" s="23">
        <f ca="1">ROUND(IF(项目基本情况!B11="自然人",J5*M17,J18+J19+J20),0)</f>
        <v>0</v>
      </c>
      <c r="K17" s="1795" t="s">
        <v>1430</v>
      </c>
      <c r="L17" s="1793" t="s">
        <v>1431</v>
      </c>
      <c r="M17" s="367"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1391</v>
      </c>
      <c r="B18" s="346" t="s">
        <v>1432</v>
      </c>
      <c r="C18" s="23">
        <f ca="1">ROUND(C14*F18,0)</f>
        <v>0</v>
      </c>
      <c r="D18" s="346" t="s">
        <v>1421</v>
      </c>
      <c r="E18" s="346" t="s">
        <v>1422</v>
      </c>
      <c r="F18" s="366">
        <f>'数据-取费表'!B36</f>
        <v>1.4999999999999999E-2</v>
      </c>
      <c r="G18" s="1849"/>
      <c r="H18" s="1198" t="s">
        <v>1034</v>
      </c>
      <c r="I18" s="346" t="s">
        <v>1433</v>
      </c>
      <c r="J18" s="23">
        <f ca="1">ROUND(J5*M18/(1+'数据-取费表'!C42),0)</f>
        <v>0</v>
      </c>
      <c r="K18" s="1793" t="s">
        <v>1434</v>
      </c>
      <c r="L18" s="346" t="s">
        <v>1422</v>
      </c>
      <c r="M18" s="366">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1035</v>
      </c>
      <c r="B19" s="346" t="s">
        <v>1435</v>
      </c>
      <c r="C19" s="23">
        <f ca="1">SUM(C14:C18)</f>
        <v>0</v>
      </c>
      <c r="D19" s="139" t="s">
        <v>1436</v>
      </c>
      <c r="E19" s="1813"/>
      <c r="F19" s="25"/>
      <c r="G19" s="1846"/>
      <c r="H19" s="1198" t="s">
        <v>1036</v>
      </c>
      <c r="I19" s="346" t="s">
        <v>1437</v>
      </c>
      <c r="J19" s="23">
        <f ca="1">IF(K19="按租金收入计税",ROUND(J5*M19,0),ROUND(C29*M19*0.7,0))</f>
        <v>0</v>
      </c>
      <c r="K19" s="1823" t="s">
        <v>1438</v>
      </c>
      <c r="L19" s="346" t="s">
        <v>1422</v>
      </c>
      <c r="M19" s="366">
        <f>IF(K19="按租金收入计税",'数据-取费表'!B51,'数据-取费表'!B50)</f>
        <v>1.2E-2</v>
      </c>
    </row>
    <row r="20" spans="1:37" s="1853" customFormat="1" ht="18" customHeight="1">
      <c r="A20" s="1198" t="s">
        <v>1039</v>
      </c>
      <c r="B20" s="346" t="s">
        <v>1439</v>
      </c>
      <c r="C20" s="23">
        <f ca="1">ROUND(C19*F20,0)</f>
        <v>0</v>
      </c>
      <c r="D20" s="368" t="s">
        <v>1440</v>
      </c>
      <c r="E20" s="346" t="s">
        <v>1422</v>
      </c>
      <c r="F20" s="366">
        <f>'数据-取费表'!B37</f>
        <v>0.02</v>
      </c>
      <c r="G20" s="1849"/>
      <c r="H20" s="1198" t="s">
        <v>1389</v>
      </c>
      <c r="I20" s="163" t="s">
        <v>1441</v>
      </c>
      <c r="J20" s="24">
        <f ca="1">ROUND(M20*M21,0)</f>
        <v>0</v>
      </c>
      <c r="K20" s="369" t="s">
        <v>1442</v>
      </c>
      <c r="L20" s="346" t="s">
        <v>1443</v>
      </c>
      <c r="M20" s="370">
        <f>'数据-取费表'!B52</f>
        <v>16</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1075</v>
      </c>
      <c r="B21" s="346" t="s">
        <v>1444</v>
      </c>
      <c r="C21" s="23" t="s">
        <v>1</v>
      </c>
      <c r="D21" s="368" t="s">
        <v>1445</v>
      </c>
      <c r="E21" s="346" t="s">
        <v>1446</v>
      </c>
      <c r="F21" s="366">
        <f>'数据-取费表'!B38</f>
        <v>0.02</v>
      </c>
      <c r="G21" s="1849"/>
      <c r="H21" s="371"/>
      <c r="I21" s="355"/>
      <c r="J21" s="28"/>
      <c r="K21" s="372"/>
      <c r="L21" s="346" t="s">
        <v>1447</v>
      </c>
      <c r="M21" s="347">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1392</v>
      </c>
      <c r="B22" s="346" t="s">
        <v>1448</v>
      </c>
      <c r="C22" s="23"/>
      <c r="D22" s="139" t="str">
        <f>IF(F23&lt;=1,"单利计息。","复利计息。")&amp;"建造成本、管理费用、销售费用产生的利息。"</f>
        <v>复利计息。建造成本、管理费用、销售费用产生的利息。</v>
      </c>
      <c r="E22" s="1813"/>
      <c r="F22" s="25"/>
      <c r="G22" s="1846"/>
      <c r="H22" s="1198" t="s">
        <v>1039</v>
      </c>
      <c r="I22" s="346" t="s">
        <v>1449</v>
      </c>
      <c r="J22" s="23">
        <f ca="1">ROUND(J14*M22,0)</f>
        <v>0</v>
      </c>
      <c r="K22" s="1793" t="s">
        <v>1450</v>
      </c>
      <c r="L22" s="346" t="s">
        <v>1422</v>
      </c>
      <c r="M22" s="373">
        <f ca="1">INDIRECT("'数据-取费表'!Ak"&amp;$G$1)</f>
        <v>0</v>
      </c>
    </row>
    <row r="23" spans="1:37" s="1853" customFormat="1" ht="18" customHeight="1">
      <c r="A23" s="1198"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2.5</v>
      </c>
      <c r="G23" s="1849"/>
      <c r="H23" s="1198" t="s">
        <v>1075</v>
      </c>
      <c r="I23" s="346" t="s">
        <v>1453</v>
      </c>
      <c r="J23" s="23">
        <f ca="1">ROUND(J13*M23,0)</f>
        <v>0</v>
      </c>
      <c r="K23" s="1793" t="s">
        <v>1454</v>
      </c>
      <c r="L23" s="346" t="s">
        <v>1455</v>
      </c>
      <c r="M23" s="375">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1456</v>
      </c>
      <c r="B24" s="346" t="s">
        <v>1457</v>
      </c>
      <c r="C24" s="23">
        <f ca="1">ROUND(IF('数据-取费表'!B22&lt;=1,F21*F24*F23/2,F21*(POWER((1+F24),F23/2)-1)),4)</f>
        <v>1.1999999999999999E-3</v>
      </c>
      <c r="D24" s="374" t="str">
        <f>IF(F23&lt;=1,"销售费用×利率×(建设周期÷2)","销售费用×((1+利率)^(建设周期÷2)-1)")</f>
        <v>销售费用×((1+利率)^(建设周期÷2)-1)</v>
      </c>
      <c r="E24" s="346" t="s">
        <v>1458</v>
      </c>
      <c r="F24" s="376">
        <f ca="1">'数据-取费表'!B40</f>
        <v>4.7500000000000001E-2</v>
      </c>
      <c r="G24" s="1849"/>
      <c r="H24" s="1334" t="s">
        <v>1393</v>
      </c>
      <c r="I24" s="1335" t="s">
        <v>1439</v>
      </c>
      <c r="J24" s="1336">
        <f ca="1">ROUND(J5*M24,0)</f>
        <v>0</v>
      </c>
      <c r="K24" s="1337" t="s">
        <v>1459</v>
      </c>
      <c r="L24" s="1335" t="s">
        <v>1455</v>
      </c>
      <c r="M24" s="1331">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1460</v>
      </c>
      <c r="B25" s="346" t="s">
        <v>1461</v>
      </c>
      <c r="C25" s="23"/>
      <c r="D25" s="139" t="s">
        <v>1462</v>
      </c>
      <c r="E25" s="1813"/>
      <c r="F25" s="25"/>
      <c r="G25" s="1846"/>
      <c r="H25" s="1324" t="s">
        <v>1031</v>
      </c>
      <c r="I25" s="1339" t="s">
        <v>1463</v>
      </c>
      <c r="J25" s="354">
        <f ca="1">J5-J16</f>
        <v>0</v>
      </c>
      <c r="K25" s="1340" t="s">
        <v>1464</v>
      </c>
      <c r="L25" s="1341"/>
      <c r="M25" s="1342"/>
    </row>
    <row r="26" spans="1:37" ht="18" customHeight="1">
      <c r="A26" s="1198" t="s">
        <v>1034</v>
      </c>
      <c r="B26" s="346" t="s">
        <v>1465</v>
      </c>
      <c r="C26" s="23">
        <f ca="1">ROUND((C19+C20)*F26,0)</f>
        <v>0</v>
      </c>
      <c r="D26" s="368" t="s">
        <v>1466</v>
      </c>
      <c r="E26" s="357" t="s">
        <v>1467</v>
      </c>
      <c r="F26" s="356">
        <f ca="1">INDIRECT("'数据-取费表'!q"&amp;$G$1)</f>
        <v>0</v>
      </c>
      <c r="G26" s="1846"/>
      <c r="H26" s="343" t="s">
        <v>1032</v>
      </c>
      <c r="I26" s="344" t="s">
        <v>1468</v>
      </c>
      <c r="J26" s="345">
        <f ca="1">IF(J5&lt;&gt;0,ROUND(J25*(1-((1+M28)/(1+M26))^M27)/(M26-M28),0),0)</f>
        <v>0</v>
      </c>
      <c r="K26" s="369" t="s">
        <v>1469</v>
      </c>
      <c r="L26" s="346" t="s">
        <v>1470</v>
      </c>
      <c r="M26" s="356">
        <f ca="1">INDIRECT("'数据-取费表'!I"&amp;$G$1)</f>
        <v>0</v>
      </c>
    </row>
    <row r="27" spans="1:37" ht="18" customHeight="1">
      <c r="A27" s="1198" t="s">
        <v>1036</v>
      </c>
      <c r="B27" s="346" t="s">
        <v>1471</v>
      </c>
      <c r="C27" s="23">
        <f ca="1">ROUND(F21*F26,4)</f>
        <v>0</v>
      </c>
      <c r="D27" s="368" t="s">
        <v>1472</v>
      </c>
      <c r="E27" s="364"/>
      <c r="F27" s="365"/>
      <c r="G27" s="1846"/>
      <c r="H27" s="348"/>
      <c r="I27" s="349"/>
      <c r="J27" s="350"/>
      <c r="K27" s="377" t="s">
        <v>1473</v>
      </c>
      <c r="L27" s="346" t="s">
        <v>1474</v>
      </c>
      <c r="M27" s="378">
        <f ca="1">INDIRECT("'数据-取费表'!ag"&amp;$G$1)</f>
        <v>0</v>
      </c>
    </row>
    <row r="28" spans="1:37" s="1853" customFormat="1" ht="18" customHeight="1">
      <c r="A28" s="1198" t="s">
        <v>1037</v>
      </c>
      <c r="B28" s="346" t="s">
        <v>1475</v>
      </c>
      <c r="C28" s="23">
        <f>ROUND(F28/(1+'数据-取费表'!C42),4)</f>
        <v>5.33E-2</v>
      </c>
      <c r="D28" s="368" t="s">
        <v>1476</v>
      </c>
      <c r="E28" s="346" t="s">
        <v>1422</v>
      </c>
      <c r="F28" s="366">
        <f>'数据-取费表'!B41</f>
        <v>5.6000000000000001E-2</v>
      </c>
      <c r="G28" s="1849"/>
      <c r="H28" s="352"/>
      <c r="I28" s="353"/>
      <c r="J28" s="354"/>
      <c r="K28" s="372"/>
      <c r="L28" s="346" t="s">
        <v>1477</v>
      </c>
      <c r="M28" s="356">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1038</v>
      </c>
      <c r="B29" s="1335" t="s">
        <v>1478</v>
      </c>
      <c r="C29" s="1336">
        <f ca="1">ROUND((C19+C20+C23+C26)/(1-F21-C24-C27-C28),0)</f>
        <v>0</v>
      </c>
      <c r="D29" s="1337"/>
      <c r="E29" s="1335"/>
      <c r="F29" s="1338"/>
      <c r="G29" s="1849"/>
      <c r="H29" s="379" t="s">
        <v>1033</v>
      </c>
      <c r="I29" s="380" t="s">
        <v>1479</v>
      </c>
      <c r="J29" s="381">
        <f ca="1">ROUND(J26/(1+F40)^F41,0)</f>
        <v>0</v>
      </c>
      <c r="K29" s="382" t="s">
        <v>1480</v>
      </c>
      <c r="L29" s="383"/>
      <c r="M29" s="384">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1030</v>
      </c>
      <c r="B30" s="1325" t="s">
        <v>1424</v>
      </c>
      <c r="C30" s="354">
        <f ca="1">ROUND(C31+C36+C37+C38,0)</f>
        <v>0</v>
      </c>
      <c r="D30" s="1332" t="s">
        <v>1425</v>
      </c>
      <c r="E30" s="1333"/>
      <c r="F30" s="1289"/>
      <c r="G30" s="1846"/>
      <c r="H30" s="739"/>
      <c r="I30" s="740"/>
      <c r="J30" s="741"/>
      <c r="K30" s="742"/>
      <c r="L30" s="743"/>
      <c r="M30" s="744"/>
    </row>
    <row r="31" spans="1:37" ht="18" customHeight="1">
      <c r="A31" s="1198" t="s">
        <v>1035</v>
      </c>
      <c r="B31" s="346" t="s">
        <v>1429</v>
      </c>
      <c r="C31" s="23">
        <f ca="1">ROUND(IF(项目基本情况!B11="自然人",C5*F31,C32+C33+C34),0)</f>
        <v>0</v>
      </c>
      <c r="D31" s="1795" t="s">
        <v>1430</v>
      </c>
      <c r="E31" s="1793" t="s">
        <v>1481</v>
      </c>
      <c r="F31" s="367" t="str">
        <f ca="1">IF(项目基本情况!B11="企业","",IF(INDIRECT("'数据-取费表'!c"&amp;$G$1)="住宅",5%,IF(F6*F7*F8/12/(1+'数据-取费表'!C42)&gt;20000,12%,7%)))</f>
        <v/>
      </c>
      <c r="G31" s="1846"/>
      <c r="H31" s="739"/>
      <c r="I31" s="740"/>
      <c r="J31" s="741"/>
      <c r="K31" s="742"/>
      <c r="L31" s="743"/>
      <c r="M31" s="744"/>
    </row>
    <row r="32" spans="1:37" ht="18" customHeight="1">
      <c r="A32" s="1198" t="s">
        <v>1034</v>
      </c>
      <c r="B32" s="346" t="s">
        <v>1433</v>
      </c>
      <c r="C32" s="23">
        <f ca="1">IF(项目基本情况!B11="自然人","——",ROUND(C5*F32/(1+'数据-取费表'!C42),0))</f>
        <v>0</v>
      </c>
      <c r="D32" s="1793" t="s">
        <v>1434</v>
      </c>
      <c r="E32" s="346" t="s">
        <v>1422</v>
      </c>
      <c r="F32" s="376">
        <f>'数据-取费表'!B41</f>
        <v>5.6000000000000001E-2</v>
      </c>
      <c r="G32" s="1846"/>
      <c r="H32" s="739"/>
      <c r="I32" s="740"/>
      <c r="J32" s="741"/>
      <c r="K32" s="742"/>
      <c r="L32" s="743"/>
      <c r="M32" s="744"/>
    </row>
    <row r="33" spans="1:18" ht="18" customHeight="1">
      <c r="A33" s="1198" t="s">
        <v>1036</v>
      </c>
      <c r="B33" s="346" t="s">
        <v>1437</v>
      </c>
      <c r="C33" s="23">
        <f ca="1">IF(项目基本情况!B11="自然人","——",IF(D33="按租金收入计税",ROUND(C5*F33,0),IF(D33="按房产原值计税",ROUND(C29*F33*0.7,0),INDIRECT("'数据-取费表'!Aj"&amp;$G$1))))</f>
        <v>0</v>
      </c>
      <c r="D33" s="1823" t="s">
        <v>1438</v>
      </c>
      <c r="E33" s="346" t="s">
        <v>1422</v>
      </c>
      <c r="F33" s="366">
        <f>IF(D33="按票据","——",IF(D33="按租金收入计税",'数据-取费表'!B51,'数据-取费表'!B50))</f>
        <v>1.2E-2</v>
      </c>
      <c r="G33" s="1846"/>
      <c r="H33" s="1854"/>
      <c r="I33" s="1855"/>
      <c r="J33" s="1856"/>
      <c r="K33" s="1857"/>
      <c r="L33" s="1854"/>
      <c r="M33" s="1854"/>
    </row>
    <row r="34" spans="1:18" ht="18" customHeight="1">
      <c r="A34" s="1286" t="s">
        <v>1389</v>
      </c>
      <c r="B34" s="163" t="s">
        <v>1441</v>
      </c>
      <c r="C34" s="24">
        <f ca="1">IF(项目基本情况!B11="自然人","——",ROUND(F34*F35,))</f>
        <v>0</v>
      </c>
      <c r="D34" s="369" t="s">
        <v>1442</v>
      </c>
      <c r="E34" s="346" t="s">
        <v>1443</v>
      </c>
      <c r="F34" s="370">
        <f>'数据-取费表'!B52</f>
        <v>16</v>
      </c>
      <c r="G34" s="1846"/>
      <c r="H34" s="739"/>
      <c r="I34" s="1855"/>
      <c r="J34" s="1856"/>
      <c r="K34" s="1858"/>
      <c r="L34" s="1859"/>
      <c r="M34" s="1859"/>
    </row>
    <row r="35" spans="1:18" ht="18" customHeight="1">
      <c r="A35" s="1348"/>
      <c r="B35" s="1346"/>
      <c r="C35" s="28"/>
      <c r="D35" s="372"/>
      <c r="E35" s="346" t="s">
        <v>1447</v>
      </c>
      <c r="F35" s="347">
        <f ca="1">INDIRECT("'数据-取费表'!r"&amp;$G$1)</f>
        <v>0</v>
      </c>
      <c r="G35" s="1846"/>
      <c r="H35" s="739"/>
      <c r="I35" s="1855"/>
      <c r="J35" s="1856"/>
      <c r="K35" s="1857"/>
      <c r="L35" s="1854"/>
      <c r="M35" s="1854"/>
    </row>
    <row r="36" spans="1:18" ht="18" customHeight="1">
      <c r="A36" s="1347" t="s">
        <v>1039</v>
      </c>
      <c r="B36" s="346" t="s">
        <v>1449</v>
      </c>
      <c r="C36" s="23">
        <f ca="1">ROUND(C29*F36,0)</f>
        <v>0</v>
      </c>
      <c r="D36" s="1793" t="s">
        <v>1482</v>
      </c>
      <c r="E36" s="346" t="s">
        <v>1422</v>
      </c>
      <c r="F36" s="373">
        <f ca="1">INDIRECT("'数据-取费表'!Ak"&amp;$G$1)</f>
        <v>0</v>
      </c>
      <c r="G36" s="1846"/>
      <c r="H36" s="1854"/>
      <c r="I36" s="1855"/>
      <c r="J36" s="1856"/>
      <c r="K36" s="745"/>
      <c r="L36" s="1854"/>
      <c r="M36" s="1854"/>
    </row>
    <row r="37" spans="1:18" ht="18" customHeight="1">
      <c r="A37" s="1198" t="s">
        <v>1075</v>
      </c>
      <c r="B37" s="346" t="s">
        <v>1453</v>
      </c>
      <c r="C37" s="23">
        <f ca="1">ROUND(C13*F37,0)</f>
        <v>0</v>
      </c>
      <c r="D37" s="1793" t="s">
        <v>1454</v>
      </c>
      <c r="E37" s="346" t="s">
        <v>1455</v>
      </c>
      <c r="F37" s="375">
        <f ca="1">INDIRECT("'数据-取费表'!Al"&amp;$G$1)</f>
        <v>0</v>
      </c>
      <c r="G37" s="1846"/>
      <c r="H37" s="1854"/>
      <c r="I37" s="1855"/>
      <c r="J37" s="1856"/>
      <c r="K37" s="745"/>
      <c r="L37" s="1854"/>
      <c r="M37" s="1854"/>
    </row>
    <row r="38" spans="1:18" ht="18" customHeight="1" thickBot="1">
      <c r="A38" s="1334" t="s">
        <v>1393</v>
      </c>
      <c r="B38" s="1335" t="s">
        <v>1439</v>
      </c>
      <c r="C38" s="1336">
        <f ca="1">ROUND(C5*F38,1)</f>
        <v>0</v>
      </c>
      <c r="D38" s="1337" t="s">
        <v>1459</v>
      </c>
      <c r="E38" s="1335" t="s">
        <v>1455</v>
      </c>
      <c r="F38" s="1331">
        <f ca="1">INDIRECT("'数据-取费表'!Am"&amp;$G$1)</f>
        <v>0</v>
      </c>
      <c r="G38" s="1846"/>
      <c r="H38" s="1854"/>
      <c r="I38" s="1855"/>
      <c r="J38" s="1856"/>
      <c r="K38" s="1860"/>
      <c r="L38" s="1854"/>
      <c r="M38" s="1854"/>
    </row>
    <row r="39" spans="1:18" ht="24.6" customHeight="1" thickTop="1">
      <c r="A39" s="1324" t="s">
        <v>1031</v>
      </c>
      <c r="B39" s="1339" t="s">
        <v>1483</v>
      </c>
      <c r="C39" s="354">
        <f ca="1">C5-C30</f>
        <v>0</v>
      </c>
      <c r="D39" s="1340" t="s">
        <v>1484</v>
      </c>
      <c r="E39" s="1341"/>
      <c r="F39" s="1342"/>
      <c r="G39" s="1846"/>
      <c r="H39" s="1854"/>
      <c r="I39" s="1855"/>
      <c r="J39" s="1856"/>
      <c r="K39" s="1860"/>
      <c r="L39" s="1854"/>
      <c r="M39" s="1854"/>
    </row>
    <row r="40" spans="1:18" ht="18" customHeight="1">
      <c r="A40" s="343" t="s">
        <v>1032</v>
      </c>
      <c r="B40" s="344" t="s">
        <v>1485</v>
      </c>
      <c r="C40" s="345" t="e">
        <f ca="1">ROUND(C39*(1-((1+F42)/(1+F40))^F41)/(F40-F42),0)</f>
        <v>#DIV/0!</v>
      </c>
      <c r="D40" s="369" t="s">
        <v>1469</v>
      </c>
      <c r="E40" s="346" t="s">
        <v>1470</v>
      </c>
      <c r="F40" s="356">
        <f ca="1">INDIRECT("'数据-取费表'!I"&amp;$G$1)</f>
        <v>0</v>
      </c>
      <c r="G40" s="1846"/>
      <c r="H40" s="1834"/>
      <c r="I40" s="1855"/>
      <c r="J40" s="1856"/>
      <c r="K40" s="1860"/>
      <c r="L40" s="1834"/>
      <c r="M40" s="1834"/>
    </row>
    <row r="41" spans="1:18" ht="18" customHeight="1">
      <c r="A41" s="348"/>
      <c r="B41" s="349"/>
      <c r="C41" s="350"/>
      <c r="D41" s="377" t="s">
        <v>1486</v>
      </c>
      <c r="E41" s="346" t="s">
        <v>1474</v>
      </c>
      <c r="F41" s="378">
        <f ca="1">IF(INDIRECT("'数据-取费表'!af"&amp;$G$1)=0,INDIRECT("'数据-取费表'!ae"&amp;$G$1),INDIRECT("'数据-取费表'!af"&amp;$G$1))</f>
        <v>0</v>
      </c>
      <c r="G41" s="1846"/>
      <c r="H41" s="726"/>
      <c r="I41" s="1855"/>
      <c r="J41" s="1856"/>
      <c r="K41" s="745"/>
      <c r="L41" s="726"/>
      <c r="M41" s="726"/>
    </row>
    <row r="42" spans="1:18" ht="18" customHeight="1">
      <c r="A42" s="352"/>
      <c r="B42" s="353"/>
      <c r="C42" s="354"/>
      <c r="D42" s="372"/>
      <c r="E42" s="346" t="s">
        <v>1477</v>
      </c>
      <c r="F42" s="356">
        <f ca="1">INDIRECT("'数据-取费表'!v"&amp;$G$1)</f>
        <v>0</v>
      </c>
      <c r="G42" s="1846"/>
      <c r="H42" s="726"/>
      <c r="I42" s="1855"/>
      <c r="J42" s="1856"/>
      <c r="K42" s="745"/>
      <c r="L42" s="726"/>
      <c r="M42" s="726"/>
    </row>
    <row r="43" spans="1:18" ht="18" customHeight="1" thickBot="1">
      <c r="A43" s="379" t="s">
        <v>1033</v>
      </c>
      <c r="B43" s="380" t="s">
        <v>1487</v>
      </c>
      <c r="C43" s="381" t="e">
        <f ca="1">ROUND(C40/F43,0)</f>
        <v>#DIV/0!</v>
      </c>
      <c r="D43" s="382" t="s">
        <v>1488</v>
      </c>
      <c r="E43" s="383" t="s">
        <v>1489</v>
      </c>
      <c r="F43" s="384">
        <f ca="1">INDIRECT("'数据-取费表'!k"&amp;$G$1)</f>
        <v>0</v>
      </c>
      <c r="G43" s="1846"/>
      <c r="H43" s="726"/>
      <c r="I43" s="726"/>
      <c r="J43" s="726"/>
      <c r="K43" s="745"/>
      <c r="L43" s="726"/>
      <c r="M43" s="726"/>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1603</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2" t="s">
        <v>1396</v>
      </c>
      <c r="B47" s="1194" t="s">
        <v>1397</v>
      </c>
      <c r="C47" s="1194" t="s">
        <v>1398</v>
      </c>
      <c r="D47" s="1194" t="s">
        <v>1399</v>
      </c>
      <c r="E47" s="1274" t="s">
        <v>1400</v>
      </c>
      <c r="F47" s="1275"/>
      <c r="G47" s="786"/>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5" t="s">
        <v>1135</v>
      </c>
      <c r="B48" s="344" t="s">
        <v>1401</v>
      </c>
      <c r="C48" s="1812">
        <f ca="1">C49+C53+C55</f>
        <v>0</v>
      </c>
      <c r="D48" s="1357"/>
      <c r="E48" s="1358"/>
      <c r="F48" s="1178"/>
      <c r="G48" s="786"/>
      <c r="H48" s="787"/>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1" t="s">
        <v>1136</v>
      </c>
      <c r="B49" s="1824" t="s">
        <v>1490</v>
      </c>
      <c r="C49" s="1359">
        <f ca="1">ROUND(F49*F51*F50*(1-F52),0)</f>
        <v>0</v>
      </c>
      <c r="D49" s="1271" t="s">
        <v>1404</v>
      </c>
      <c r="E49" s="1825" t="s">
        <v>1491</v>
      </c>
      <c r="F49" s="1276"/>
      <c r="G49" s="1886"/>
      <c r="H49" s="787"/>
      <c r="I49" s="1882" t="s">
        <v>1534</v>
      </c>
      <c r="J49" s="1887"/>
      <c r="K49" s="1884" t="s">
        <v>1535</v>
      </c>
      <c r="L49" s="1888"/>
      <c r="O49" s="1889" t="s">
        <v>1042</v>
      </c>
      <c r="P49" s="1880" t="s">
        <v>1536</v>
      </c>
      <c r="Q49" s="1881">
        <f ca="1">C29</f>
        <v>0</v>
      </c>
      <c r="R49" s="1881" t="s">
        <v>1529</v>
      </c>
    </row>
    <row r="50" spans="1:18" s="1837" customFormat="1" ht="13.5" thickBot="1">
      <c r="A50" s="1192"/>
      <c r="B50" s="1195"/>
      <c r="C50" s="1196"/>
      <c r="D50" s="1169"/>
      <c r="E50" s="1272" t="s">
        <v>1406</v>
      </c>
      <c r="F50" s="1273">
        <f ca="1">F7</f>
        <v>0</v>
      </c>
      <c r="H50" s="787"/>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3"/>
      <c r="B51" s="1195"/>
      <c r="C51" s="1196"/>
      <c r="D51" s="1169"/>
      <c r="E51" s="1197" t="s">
        <v>1407</v>
      </c>
      <c r="F51" s="347">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3"/>
      <c r="B52" s="1195"/>
      <c r="C52" s="1196"/>
      <c r="D52" s="1169"/>
      <c r="E52" s="1197" t="s">
        <v>1408</v>
      </c>
      <c r="F52" s="1270"/>
      <c r="I52" s="1898" t="s">
        <v>1543</v>
      </c>
      <c r="J52" s="1899"/>
      <c r="K52" s="1898" t="s">
        <v>1544</v>
      </c>
      <c r="L52" s="1899"/>
      <c r="O52" s="1889" t="s">
        <v>1045</v>
      </c>
      <c r="P52" s="1880" t="s">
        <v>1545</v>
      </c>
      <c r="Q52" s="1881" t="b">
        <f>J53</f>
        <v>0</v>
      </c>
      <c r="R52" s="1881" t="s">
        <v>1546</v>
      </c>
    </row>
    <row r="53" spans="1:18" s="1837" customFormat="1" ht="30.75" customHeight="1" thickBot="1">
      <c r="A53" s="1356" t="s">
        <v>1137</v>
      </c>
      <c r="B53" s="368" t="s">
        <v>1409</v>
      </c>
      <c r="C53" s="360">
        <f ca="1">ROUND(IF(F53="押一",C49/12*F11,IF(F53="押二",C49/12*2*F11,IF(F53="押三",C49/12*3*F11,C54*F11))),0)</f>
        <v>0</v>
      </c>
      <c r="D53" s="1819" t="s">
        <v>3039</v>
      </c>
      <c r="E53" s="357" t="s">
        <v>1410</v>
      </c>
      <c r="F53" s="1361"/>
      <c r="I53" s="1900" t="s">
        <v>1547</v>
      </c>
      <c r="J53" s="1901" t="b">
        <f>IF(M47="住宅",J51,IF(D1="——",MIN(J51,L48),IF(D1="在建（套用方法）",MIN(J51,L48-'数据-取费表'!B24),IF(D1="土地（套用方法）",MIN(J51,L48-'数据-取费表'!B20)))))</f>
        <v>0</v>
      </c>
      <c r="K53" s="3320" t="s">
        <v>1548</v>
      </c>
      <c r="L53" s="3321"/>
      <c r="O53" s="1879" t="s">
        <v>1046</v>
      </c>
      <c r="P53" s="1880" t="s">
        <v>1549</v>
      </c>
      <c r="Q53" s="1881" t="e">
        <f ca="1">Q47+Q48</f>
        <v>#DIV/0!</v>
      </c>
      <c r="R53" s="1881" t="s">
        <v>1047</v>
      </c>
    </row>
    <row r="54" spans="1:18" s="1837" customFormat="1" ht="13.5" thickBot="1">
      <c r="A54" s="1191"/>
      <c r="B54" s="1936" t="s">
        <v>1602</v>
      </c>
      <c r="C54" s="1175"/>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8" t="s">
        <v>1075</v>
      </c>
      <c r="B55" s="1822" t="s">
        <v>1413</v>
      </c>
      <c r="C55" s="1329"/>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3">
        <v>2</v>
      </c>
      <c r="B56" s="1174" t="s">
        <v>1414</v>
      </c>
      <c r="C56" s="275">
        <f ca="1">C13</f>
        <v>0</v>
      </c>
      <c r="D56" s="1909"/>
      <c r="E56" s="1910"/>
      <c r="F56" s="1902"/>
      <c r="I56" s="1911" t="s">
        <v>1553</v>
      </c>
      <c r="J56" s="1912"/>
      <c r="K56" s="1882" t="s">
        <v>1554</v>
      </c>
      <c r="L56" s="1885">
        <f ca="1">IF(L48&lt;J51,"——",L48-J51)</f>
        <v>0</v>
      </c>
      <c r="O56" s="1879" t="s">
        <v>1040</v>
      </c>
      <c r="P56" s="1880" t="s">
        <v>1528</v>
      </c>
      <c r="Q56" s="1881" t="e">
        <f ca="1">C40+J29</f>
        <v>#DIV/0!</v>
      </c>
      <c r="R56" s="1881" t="s">
        <v>1529</v>
      </c>
    </row>
    <row r="57" spans="1:18" s="1837" customFormat="1" ht="24.75" thickBot="1">
      <c r="A57" s="1913"/>
      <c r="B57" s="1166" t="s">
        <v>1478</v>
      </c>
      <c r="C57" s="281">
        <f ca="1">C29</f>
        <v>0</v>
      </c>
      <c r="D57" s="1914"/>
      <c r="E57" s="1915"/>
      <c r="F57" s="1916"/>
      <c r="I57" s="1917" t="s">
        <v>1555</v>
      </c>
      <c r="J57" s="1918">
        <f ca="1">IF(OR(M47="住宅",J51&lt;L48,J56="是"),"——",J51-L48)</f>
        <v>0</v>
      </c>
      <c r="K57" s="1882" t="s">
        <v>1604</v>
      </c>
      <c r="L57" s="1885">
        <f ca="1">IF(L48&lt;J51,"——",IF(L55="比较法",L49,IF(L55="基准地价",L50,L51)))</f>
        <v>0</v>
      </c>
      <c r="O57" s="1879" t="s">
        <v>1041</v>
      </c>
      <c r="P57" s="1880" t="s">
        <v>1605</v>
      </c>
      <c r="Q57" s="1881" t="e">
        <f ca="1">L60</f>
        <v>#DIV/0!</v>
      </c>
      <c r="R57" s="1881" t="s">
        <v>1606</v>
      </c>
    </row>
    <row r="58" spans="1:18" s="1837" customFormat="1" ht="24.75" thickBot="1">
      <c r="A58" s="359" t="s">
        <v>1030</v>
      </c>
      <c r="B58" s="1174" t="s">
        <v>1424</v>
      </c>
      <c r="C58" s="360">
        <f ca="1">ROUND(C59+C64+C65+C66,0)</f>
        <v>0</v>
      </c>
      <c r="D58" s="1176" t="s">
        <v>1425</v>
      </c>
      <c r="E58" s="1177"/>
      <c r="F58" s="1178"/>
      <c r="I58" s="1917" t="s">
        <v>1559</v>
      </c>
      <c r="J58" s="1919" t="e">
        <f ca="1">IF(J55&lt;0.4,0.4,J55)</f>
        <v>#DIV/0!</v>
      </c>
      <c r="K58" s="1895" t="s">
        <v>1607</v>
      </c>
      <c r="L58" s="1885" t="e">
        <f ca="1">ROUND(POWER(1+L52,L47-L48)*(POWER(1+L52,L48)-1)/(POWER(1+L52,L47)-1),4)</f>
        <v>#DIV/0!</v>
      </c>
      <c r="O58" s="1889" t="s">
        <v>1042</v>
      </c>
      <c r="P58" s="1880" t="s">
        <v>1561</v>
      </c>
      <c r="Q58" s="1881">
        <f>IF(L55="比较法",L49,IF(L55="基准地价",L50,0))</f>
        <v>0</v>
      </c>
      <c r="R58" s="1881" t="s">
        <v>1529</v>
      </c>
    </row>
    <row r="59" spans="1:18" s="1837" customFormat="1" ht="24.75" thickBot="1">
      <c r="A59" s="1198" t="s">
        <v>1035</v>
      </c>
      <c r="B59" s="1166" t="s">
        <v>1429</v>
      </c>
      <c r="C59" s="23">
        <f ca="1">ROUND(IF(项目基本情况!B11="自然人",C48*F59,C60+C61+C62),0)</f>
        <v>0</v>
      </c>
      <c r="D59" s="1179" t="s">
        <v>1430</v>
      </c>
      <c r="E59" s="1180" t="s">
        <v>1431</v>
      </c>
      <c r="F59" s="367" t="str">
        <f ca="1">IF(项目基本情况!B11="企业","",IF(INDIRECT("'数据-取费表'!c"&amp;$G$1)="住宅",5%,IF(F49*F50*F51/12/(1+'数据-取费表'!C42)&gt;20000,12%,7%)))</f>
        <v/>
      </c>
      <c r="I59" s="1917" t="s">
        <v>1562</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1563</v>
      </c>
      <c r="Q59" s="1892">
        <f>L52</f>
        <v>0</v>
      </c>
      <c r="R59" s="1881"/>
    </row>
    <row r="60" spans="1:18" s="1837" customFormat="1" ht="16.5" thickBot="1">
      <c r="A60" s="1198" t="s">
        <v>1034</v>
      </c>
      <c r="B60" s="1166" t="s">
        <v>1433</v>
      </c>
      <c r="C60" s="23">
        <f ca="1">IF(项目基本情况!B11="自然人","——",ROUND(C48*F60/(1+'数据-取费表'!C42),0))</f>
        <v>0</v>
      </c>
      <c r="D60" s="1180" t="s">
        <v>1434</v>
      </c>
      <c r="E60" s="1166" t="s">
        <v>1422</v>
      </c>
      <c r="F60" s="376">
        <f t="shared" ref="F60:F66" si="0">F32</f>
        <v>5.6000000000000001E-2</v>
      </c>
      <c r="I60" s="1920" t="s">
        <v>1564</v>
      </c>
      <c r="J60" s="1921" t="e">
        <f ca="1">IF(OR(M47="住宅",J51&lt;L48,J56="是"),"0",ROUND(J59/(1+J52)^J53,0))</f>
        <v>#DIV/0!</v>
      </c>
      <c r="K60" s="1922" t="s">
        <v>1565</v>
      </c>
      <c r="L60" s="1921" t="e">
        <f ca="1">IF(OR(M47="住宅",L48&lt;J51),0,ROUND(L57*(L58/L59-1),0))</f>
        <v>#DIV/0!</v>
      </c>
      <c r="O60" s="1889" t="s">
        <v>1044</v>
      </c>
      <c r="P60" s="1880" t="s">
        <v>1566</v>
      </c>
      <c r="Q60" s="1881" t="e">
        <f ca="1">L58</f>
        <v>#DIV/0!</v>
      </c>
      <c r="R60" s="1881" t="s">
        <v>1567</v>
      </c>
    </row>
    <row r="61" spans="1:18" s="1837" customFormat="1" ht="13.5" thickBot="1">
      <c r="A61" s="1198" t="s">
        <v>1492</v>
      </c>
      <c r="B61" s="1166" t="s">
        <v>1493</v>
      </c>
      <c r="C61" s="23">
        <f ca="1">IF(项目基本情况!B11="自然人","——",IF(D61="按租金收入计税",ROUND(C48*F61,0),IF(D61="按房产原值计税",ROUND(C57*F61*0.7,0),INDIRECT("'数据-取费表'!Aj"&amp;$G$1))))</f>
        <v>0</v>
      </c>
      <c r="D61" s="1823" t="s">
        <v>1438</v>
      </c>
      <c r="E61" s="1166" t="s">
        <v>1494</v>
      </c>
      <c r="F61" s="366">
        <f t="shared" si="0"/>
        <v>1.2E-2</v>
      </c>
      <c r="I61" s="1923"/>
      <c r="J61" s="1923"/>
      <c r="K61" s="1923"/>
      <c r="L61" s="1923"/>
      <c r="O61" s="1889" t="s">
        <v>1045</v>
      </c>
      <c r="P61" s="1880" t="str">
        <f>K59</f>
        <v>建设期及建筑物耐用年限下的土地年期修正系数Kn</v>
      </c>
      <c r="Q61" s="1881" t="e">
        <f ca="1">L59</f>
        <v>#DIV/0!</v>
      </c>
      <c r="R61" s="1881" t="s">
        <v>1568</v>
      </c>
    </row>
    <row r="62" spans="1:18" s="1837" customFormat="1" ht="13.5" thickBot="1">
      <c r="A62" s="1198" t="s">
        <v>1495</v>
      </c>
      <c r="B62" s="1165" t="s">
        <v>1496</v>
      </c>
      <c r="C62" s="24">
        <f ca="1">IF(项目基本情况!B11="自然人","——",ROUND(F62*F63,0))</f>
        <v>0</v>
      </c>
      <c r="D62" s="1181" t="s">
        <v>1497</v>
      </c>
      <c r="E62" s="1166" t="s">
        <v>1498</v>
      </c>
      <c r="F62" s="370">
        <f t="shared" si="0"/>
        <v>16</v>
      </c>
      <c r="I62" s="1924" t="s">
        <v>1569</v>
      </c>
      <c r="J62" s="1925" t="s">
        <v>1570</v>
      </c>
      <c r="K62" s="1925" t="s">
        <v>1571</v>
      </c>
      <c r="L62" s="1925" t="s">
        <v>1572</v>
      </c>
      <c r="M62" s="1926" t="s">
        <v>1573</v>
      </c>
      <c r="O62" s="1879" t="s">
        <v>1046</v>
      </c>
      <c r="P62" s="1880" t="s">
        <v>1574</v>
      </c>
      <c r="Q62" s="1881" t="e">
        <f ca="1">Q56+Q57</f>
        <v>#DIV/0!</v>
      </c>
      <c r="R62" s="1881" t="s">
        <v>1047</v>
      </c>
    </row>
    <row r="63" spans="1:18" s="1837" customFormat="1" ht="13.5" thickBot="1">
      <c r="A63" s="371"/>
      <c r="B63" s="1172"/>
      <c r="C63" s="28"/>
      <c r="D63" s="1182"/>
      <c r="E63" s="1166" t="s">
        <v>1499</v>
      </c>
      <c r="F63" s="347">
        <f t="shared" ca="1" si="0"/>
        <v>0</v>
      </c>
      <c r="I63" s="1924" t="s">
        <v>1575</v>
      </c>
      <c r="J63" s="1925">
        <v>70</v>
      </c>
      <c r="K63" s="1925">
        <v>50</v>
      </c>
      <c r="L63" s="1925">
        <v>80</v>
      </c>
      <c r="M63" s="1927">
        <v>0.02</v>
      </c>
      <c r="O63" s="1864" t="s">
        <v>1576</v>
      </c>
      <c r="P63" s="1834"/>
      <c r="Q63" s="1834"/>
      <c r="R63" s="1834"/>
    </row>
    <row r="64" spans="1:18" s="1837" customFormat="1" ht="13.5" thickBot="1">
      <c r="A64" s="1198" t="s">
        <v>1500</v>
      </c>
      <c r="B64" s="1166" t="s">
        <v>1501</v>
      </c>
      <c r="C64" s="23">
        <f ca="1">ROUND(C57*F64,0)</f>
        <v>0</v>
      </c>
      <c r="D64" s="1180" t="s">
        <v>1502</v>
      </c>
      <c r="E64" s="1166" t="s">
        <v>1494</v>
      </c>
      <c r="F64" s="373">
        <f t="shared" ca="1" si="0"/>
        <v>0</v>
      </c>
      <c r="I64" s="1924" t="s">
        <v>1577</v>
      </c>
      <c r="J64" s="1925">
        <v>50</v>
      </c>
      <c r="K64" s="1925">
        <v>35</v>
      </c>
      <c r="L64" s="1925">
        <v>60</v>
      </c>
      <c r="M64" s="1926">
        <v>0</v>
      </c>
      <c r="O64" s="1872" t="s">
        <v>1522</v>
      </c>
      <c r="P64" s="1873" t="s">
        <v>1523</v>
      </c>
      <c r="Q64" s="1874" t="s">
        <v>1524</v>
      </c>
      <c r="R64" s="1874" t="s">
        <v>1525</v>
      </c>
    </row>
    <row r="65" spans="1:18" s="1837" customFormat="1" ht="13.5" thickBot="1">
      <c r="A65" s="1198" t="s">
        <v>1503</v>
      </c>
      <c r="B65" s="1166" t="s">
        <v>1453</v>
      </c>
      <c r="C65" s="23">
        <f ca="1">ROUND(C56*F65,0)</f>
        <v>0</v>
      </c>
      <c r="D65" s="1180" t="s">
        <v>1454</v>
      </c>
      <c r="E65" s="1166" t="s">
        <v>1455</v>
      </c>
      <c r="F65" s="375">
        <f t="shared" ca="1" si="0"/>
        <v>0</v>
      </c>
      <c r="I65" s="1924" t="s">
        <v>1578</v>
      </c>
      <c r="J65" s="1925">
        <v>40</v>
      </c>
      <c r="K65" s="1925">
        <v>30</v>
      </c>
      <c r="L65" s="1925">
        <v>50</v>
      </c>
      <c r="M65" s="1927">
        <v>0.02</v>
      </c>
      <c r="O65" s="1879" t="s">
        <v>1040</v>
      </c>
      <c r="P65" s="1880" t="s">
        <v>1579</v>
      </c>
      <c r="Q65" s="1881" t="e">
        <f ca="1">C40+J29</f>
        <v>#DIV/0!</v>
      </c>
      <c r="R65" s="1881" t="s">
        <v>1529</v>
      </c>
    </row>
    <row r="66" spans="1:18" s="1837" customFormat="1" ht="16.5" thickBot="1">
      <c r="A66" s="1198" t="s">
        <v>1504</v>
      </c>
      <c r="B66" s="1166" t="s">
        <v>1439</v>
      </c>
      <c r="C66" s="23">
        <f ca="1">ROUND(C48*F66,0)</f>
        <v>0</v>
      </c>
      <c r="D66" s="1180" t="s">
        <v>1505</v>
      </c>
      <c r="E66" s="1166" t="s">
        <v>1422</v>
      </c>
      <c r="F66" s="356">
        <f t="shared" ca="1" si="0"/>
        <v>0</v>
      </c>
      <c r="O66" s="1879" t="s">
        <v>1041</v>
      </c>
      <c r="P66" s="1880" t="s">
        <v>1557</v>
      </c>
      <c r="Q66" s="1881" t="e">
        <f ca="1">L60</f>
        <v>#DIV/0!</v>
      </c>
      <c r="R66" s="1881" t="s">
        <v>1580</v>
      </c>
    </row>
    <row r="67" spans="1:18" s="1837" customFormat="1" ht="16.5" thickBot="1">
      <c r="A67" s="1173" t="s">
        <v>1031</v>
      </c>
      <c r="B67" s="1183" t="s">
        <v>1463</v>
      </c>
      <c r="C67" s="360">
        <f ca="1">C48-C58</f>
        <v>0</v>
      </c>
      <c r="D67" s="1179" t="s">
        <v>1464</v>
      </c>
      <c r="E67" s="1184"/>
      <c r="F67" s="1185"/>
      <c r="O67" s="1889" t="s">
        <v>1042</v>
      </c>
      <c r="P67" s="1880" t="s">
        <v>1561</v>
      </c>
      <c r="Q67" s="1928">
        <f ca="1">L51</f>
        <v>0</v>
      </c>
      <c r="R67" s="1881" t="s">
        <v>1581</v>
      </c>
    </row>
    <row r="68" spans="1:18" s="1837" customFormat="1" ht="16.5" thickBot="1">
      <c r="A68" s="1163" t="s">
        <v>1032</v>
      </c>
      <c r="B68" s="1164" t="s">
        <v>1485</v>
      </c>
      <c r="C68" s="345" t="e">
        <f ca="1">ROUND(C67*(1-((1+F70)/(1+F68))^F69)/(F68-F70),0)</f>
        <v>#DIV/0!</v>
      </c>
      <c r="D68" s="1181" t="s">
        <v>1469</v>
      </c>
      <c r="E68" s="1166" t="s">
        <v>1470</v>
      </c>
      <c r="F68" s="356">
        <f ca="1">F40</f>
        <v>0</v>
      </c>
      <c r="O68" s="1889" t="s">
        <v>1043</v>
      </c>
      <c r="P68" s="1929" t="s">
        <v>1582</v>
      </c>
      <c r="Q68" s="1881">
        <f ca="1">ROUND(Q69-Q70*Q71,0)</f>
        <v>0</v>
      </c>
      <c r="R68" s="1881" t="s">
        <v>1051</v>
      </c>
    </row>
    <row r="69" spans="1:18" s="1837" customFormat="1" ht="13.5" thickBot="1">
      <c r="A69" s="1167"/>
      <c r="B69" s="1168"/>
      <c r="C69" s="350"/>
      <c r="D69" s="1186" t="s">
        <v>1473</v>
      </c>
      <c r="E69" s="1166" t="s">
        <v>1474</v>
      </c>
      <c r="F69" s="378">
        <f ca="1">F41</f>
        <v>0</v>
      </c>
      <c r="O69" s="1889" t="s">
        <v>1048</v>
      </c>
      <c r="P69" s="1929" t="s">
        <v>1583</v>
      </c>
      <c r="Q69" s="1881">
        <f ca="1">C39</f>
        <v>0</v>
      </c>
      <c r="R69" s="1881" t="s">
        <v>1529</v>
      </c>
    </row>
    <row r="70" spans="1:18" s="1837" customFormat="1" ht="13.5" thickBot="1">
      <c r="A70" s="1170"/>
      <c r="B70" s="1171"/>
      <c r="C70" s="354"/>
      <c r="D70" s="1182"/>
      <c r="E70" s="1166" t="s">
        <v>1477</v>
      </c>
      <c r="F70" s="1270">
        <f ca="1">F42</f>
        <v>0</v>
      </c>
      <c r="O70" s="1889" t="s">
        <v>1049</v>
      </c>
      <c r="P70" s="1929" t="s">
        <v>1584</v>
      </c>
      <c r="Q70" s="1881">
        <f ca="1">C13</f>
        <v>0</v>
      </c>
      <c r="R70" s="1881" t="s">
        <v>1529</v>
      </c>
    </row>
    <row r="71" spans="1:18" s="1837" customFormat="1" ht="13.5" thickBot="1">
      <c r="A71" s="1187" t="s">
        <v>1033</v>
      </c>
      <c r="B71" s="1188" t="s">
        <v>1487</v>
      </c>
      <c r="C71" s="381" t="e">
        <f ca="1">ROUND(C68/F71,0)</f>
        <v>#DIV/0!</v>
      </c>
      <c r="D71" s="1189" t="s">
        <v>1488</v>
      </c>
      <c r="E71" s="1190" t="s">
        <v>1489</v>
      </c>
      <c r="F71" s="384">
        <f ca="1">F43</f>
        <v>0</v>
      </c>
      <c r="O71" s="1889" t="s">
        <v>1050</v>
      </c>
      <c r="P71" s="1929" t="s">
        <v>1585</v>
      </c>
      <c r="Q71" s="1892">
        <f ca="1">C76</f>
        <v>0</v>
      </c>
      <c r="R71" s="1881"/>
    </row>
    <row r="72" spans="1:18" s="1837" customFormat="1" ht="13.5" thickBot="1">
      <c r="B72" s="790"/>
      <c r="C72" s="790"/>
      <c r="O72" s="1889" t="s">
        <v>1044</v>
      </c>
      <c r="P72" s="1880" t="s">
        <v>1563</v>
      </c>
      <c r="Q72" s="1892">
        <f>L52</f>
        <v>0</v>
      </c>
      <c r="R72" s="1881"/>
    </row>
    <row r="73" spans="1:18" ht="16.5" thickBot="1">
      <c r="A73" s="1837"/>
      <c r="B73" s="790"/>
      <c r="C73" s="790"/>
      <c r="D73" s="1837"/>
      <c r="E73" s="1837"/>
      <c r="F73" s="1837"/>
      <c r="O73" s="1889" t="s">
        <v>1045</v>
      </c>
      <c r="P73" s="1880" t="s">
        <v>1566</v>
      </c>
      <c r="Q73" s="1881" t="e">
        <f ca="1">L58</f>
        <v>#DIV/0!</v>
      </c>
      <c r="R73" s="1881" t="s">
        <v>1567</v>
      </c>
    </row>
    <row r="74" spans="1:18" ht="13.5" thickBot="1">
      <c r="A74" s="1837"/>
      <c r="B74" s="316" t="s">
        <v>1586</v>
      </c>
      <c r="C74" s="1931"/>
      <c r="D74" s="1837"/>
      <c r="E74" s="1837"/>
      <c r="F74" s="1837"/>
      <c r="O74" s="1889" t="s">
        <v>1052</v>
      </c>
      <c r="P74" s="1880" t="str">
        <f>K59</f>
        <v>建设期及建筑物耐用年限下的土地年期修正系数Kn</v>
      </c>
      <c r="Q74" s="1881" t="e">
        <f ca="1">L59</f>
        <v>#DIV/0!</v>
      </c>
      <c r="R74" s="1881" t="s">
        <v>1568</v>
      </c>
    </row>
    <row r="75" spans="1:18" ht="13.5" thickBot="1">
      <c r="A75" s="1837"/>
      <c r="B75" s="385" t="s">
        <v>1506</v>
      </c>
      <c r="C75" s="386">
        <f ca="1">ROUND(C13*C76,0)</f>
        <v>0</v>
      </c>
      <c r="D75" s="1837"/>
      <c r="E75" s="1837"/>
      <c r="F75" s="1837"/>
      <c r="K75" s="1863"/>
      <c r="L75" s="1837"/>
      <c r="O75" s="1879" t="s">
        <v>1046</v>
      </c>
      <c r="P75" s="1880" t="s">
        <v>1549</v>
      </c>
      <c r="Q75" s="1881" t="e">
        <f ca="1">Q65+Q66</f>
        <v>#DIV/0!</v>
      </c>
      <c r="R75" s="1881" t="s">
        <v>1047</v>
      </c>
    </row>
    <row r="76" spans="1:18">
      <c r="B76" s="387" t="s">
        <v>1507</v>
      </c>
      <c r="C76" s="388">
        <f ca="1">INDIRECT("'数据-取费表'!j"&amp;$G$1)</f>
        <v>0</v>
      </c>
      <c r="I76" s="1837"/>
      <c r="J76" s="1837"/>
      <c r="K76" s="1863"/>
      <c r="L76" s="1837"/>
    </row>
    <row r="77" spans="1:18">
      <c r="B77" s="389" t="s">
        <v>1508</v>
      </c>
      <c r="C77" s="390"/>
      <c r="I77" s="1837"/>
      <c r="J77" s="1837"/>
      <c r="K77" s="1863"/>
      <c r="L77" s="1837"/>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2524</v>
      </c>
      <c r="B1" s="2555"/>
      <c r="C1" s="2555"/>
      <c r="D1" s="2555"/>
      <c r="E1" s="2556"/>
    </row>
    <row r="2" spans="1:6" ht="15.75">
      <c r="A2" s="2557" t="s">
        <v>2325</v>
      </c>
      <c r="B2" s="2558">
        <f ca="1">SUMIF(B6:B13,"&lt;&gt;#ref!",B6:B13)</f>
        <v>1961</v>
      </c>
      <c r="C2" s="2559" t="s">
        <v>2517</v>
      </c>
      <c r="D2" s="2560" t="s">
        <v>2518</v>
      </c>
      <c r="E2" s="2561">
        <f>SUM(E6:E13)</f>
        <v>790.58</v>
      </c>
    </row>
    <row r="3" spans="1:6" ht="15.75">
      <c r="A3" s="2557" t="s">
        <v>1395</v>
      </c>
      <c r="B3" s="2558">
        <f ca="1">ROUND(B2*10000/E2,0)</f>
        <v>24805</v>
      </c>
      <c r="C3" s="2559" t="s">
        <v>2525</v>
      </c>
      <c r="D3" s="2562"/>
      <c r="E3" s="2563"/>
    </row>
    <row r="4" spans="1:6" ht="15.75">
      <c r="A4" s="2564"/>
      <c r="B4" s="2562"/>
      <c r="C4" s="2562"/>
      <c r="D4" s="2562"/>
      <c r="E4" s="2563"/>
    </row>
    <row r="5" spans="1:6" ht="15">
      <c r="A5" s="2565" t="s">
        <v>2519</v>
      </c>
      <c r="B5" s="3325" t="s">
        <v>2520</v>
      </c>
      <c r="C5" s="3325"/>
      <c r="D5" s="2566"/>
      <c r="E5" s="2567" t="s">
        <v>2521</v>
      </c>
      <c r="F5" s="2568" t="s">
        <v>2522</v>
      </c>
    </row>
    <row r="6" spans="1:6">
      <c r="A6" s="2569" t="str">
        <f>'数据-取费表'!AN6</f>
        <v>收益法</v>
      </c>
      <c r="B6" s="2568">
        <f ca="1">IF(F6="是",'数据-取费表'!AO6,0)</f>
        <v>1961</v>
      </c>
      <c r="C6" s="2559" t="s">
        <v>2517</v>
      </c>
      <c r="D6" s="2562"/>
      <c r="E6" s="2570">
        <f>IF(OR(A6=0,F6="否"),0,'数据-取费表'!K6+'数据-取费表'!S6)</f>
        <v>790.58</v>
      </c>
      <c r="F6" s="2571" t="s">
        <v>2523</v>
      </c>
    </row>
    <row r="7" spans="1:6">
      <c r="A7" s="2569">
        <f>'数据-取费表'!AN7</f>
        <v>0</v>
      </c>
      <c r="B7" s="2568" t="e">
        <f ca="1">IF(F7="是",'数据-取费表'!AO7,0)</f>
        <v>#REF!</v>
      </c>
      <c r="C7" s="2559" t="s">
        <v>2517</v>
      </c>
      <c r="D7" s="2562"/>
      <c r="E7" s="2570">
        <f>IF(OR(A7=0,F7="否"),0,'数据-取费表'!K7+'数据-取费表'!S7)</f>
        <v>0</v>
      </c>
      <c r="F7" s="2571" t="s">
        <v>2523</v>
      </c>
    </row>
    <row r="8" spans="1:6">
      <c r="A8" s="2569">
        <f>'数据-取费表'!AN8</f>
        <v>0</v>
      </c>
      <c r="B8" s="2568" t="e">
        <f ca="1">IF(F8="是",'数据-取费表'!AO8,0)</f>
        <v>#REF!</v>
      </c>
      <c r="C8" s="2559" t="s">
        <v>2517</v>
      </c>
      <c r="D8" s="2562"/>
      <c r="E8" s="2570">
        <f>IF(OR(A8=0,F8="否"),0,'数据-取费表'!K8+'数据-取费表'!S8)</f>
        <v>0</v>
      </c>
      <c r="F8" s="2571" t="s">
        <v>2523</v>
      </c>
    </row>
    <row r="9" spans="1:6">
      <c r="A9" s="2569">
        <f>'数据-取费表'!AN9</f>
        <v>0</v>
      </c>
      <c r="B9" s="2568" t="e">
        <f ca="1">IF(F9="是",'数据-取费表'!AO9,0)</f>
        <v>#REF!</v>
      </c>
      <c r="C9" s="2559" t="s">
        <v>2517</v>
      </c>
      <c r="D9" s="2562"/>
      <c r="E9" s="2570">
        <f>IF(OR(A9=0,F9="否"),0,'数据-取费表'!K9+'数据-取费表'!S9)</f>
        <v>0</v>
      </c>
      <c r="F9" s="2571" t="s">
        <v>2523</v>
      </c>
    </row>
    <row r="10" spans="1:6">
      <c r="A10" s="2569">
        <f>'数据-取费表'!AN10</f>
        <v>0</v>
      </c>
      <c r="B10" s="2568" t="e">
        <f ca="1">IF(F10="是",'数据-取费表'!AO10,0)</f>
        <v>#REF!</v>
      </c>
      <c r="C10" s="2559" t="s">
        <v>2517</v>
      </c>
      <c r="D10" s="2562"/>
      <c r="E10" s="2570">
        <f>IF(OR(A10=0,F10="否"),0,'数据-取费表'!K10+'数据-取费表'!S10)</f>
        <v>0</v>
      </c>
      <c r="F10" s="2571" t="s">
        <v>2523</v>
      </c>
    </row>
    <row r="11" spans="1:6">
      <c r="A11" s="2569">
        <f>'数据-取费表'!AN11</f>
        <v>0</v>
      </c>
      <c r="B11" s="2568" t="e">
        <f ca="1">IF(F11="是",'数据-取费表'!AO11,0)</f>
        <v>#REF!</v>
      </c>
      <c r="C11" s="2559" t="s">
        <v>2517</v>
      </c>
      <c r="D11" s="2562"/>
      <c r="E11" s="2570">
        <f>IF(OR(A11=0,F11="否"),0,'数据-取费表'!K11+'数据-取费表'!S11)</f>
        <v>0</v>
      </c>
      <c r="F11" s="2571" t="s">
        <v>2523</v>
      </c>
    </row>
    <row r="12" spans="1:6">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6" t="s">
        <v>1076</v>
      </c>
      <c r="B1" s="3327"/>
      <c r="C1" s="3328"/>
      <c r="D1" s="3329">
        <f>SUM(I10,I15,I20,I21,I23)</f>
        <v>0</v>
      </c>
      <c r="E1" s="3329"/>
      <c r="F1" s="3329"/>
      <c r="G1" s="3329"/>
      <c r="H1" s="3329"/>
      <c r="I1" s="3330"/>
    </row>
    <row r="2" spans="1:9">
      <c r="A2" s="3331" t="s">
        <v>1077</v>
      </c>
      <c r="B2" s="3332" t="s">
        <v>1078</v>
      </c>
      <c r="C2" s="3332"/>
      <c r="D2" s="1296" t="s">
        <v>1079</v>
      </c>
      <c r="E2" s="1296" t="s">
        <v>1080</v>
      </c>
      <c r="F2" s="1296" t="s">
        <v>1081</v>
      </c>
      <c r="G2" s="1296" t="s">
        <v>1082</v>
      </c>
      <c r="H2" s="1296" t="s">
        <v>1083</v>
      </c>
      <c r="I2" s="1297" t="s">
        <v>1084</v>
      </c>
    </row>
    <row r="3" spans="1:9">
      <c r="A3" s="3331"/>
      <c r="B3" s="3332" t="s">
        <v>1085</v>
      </c>
      <c r="C3" s="3332"/>
      <c r="D3" s="1298"/>
      <c r="E3" s="1296"/>
      <c r="F3" s="1299"/>
      <c r="G3" s="1299"/>
      <c r="H3" s="1300"/>
      <c r="I3" s="1301">
        <f>ROUND(D3*E3*F3*G3*H3/10000,0)</f>
        <v>0</v>
      </c>
    </row>
    <row r="4" spans="1:9">
      <c r="A4" s="3331"/>
      <c r="B4" s="3332" t="s">
        <v>1086</v>
      </c>
      <c r="C4" s="3332"/>
      <c r="D4" s="1298"/>
      <c r="E4" s="1296"/>
      <c r="F4" s="1299"/>
      <c r="G4" s="1299"/>
      <c r="H4" s="1300"/>
      <c r="I4" s="1301">
        <f t="shared" ref="I4:I9" si="0">ROUND(D4*E4*F4*G4*H4/10000,0)</f>
        <v>0</v>
      </c>
    </row>
    <row r="5" spans="1:9">
      <c r="A5" s="3331"/>
      <c r="B5" s="3332" t="s">
        <v>1087</v>
      </c>
      <c r="C5" s="3332"/>
      <c r="D5" s="1298"/>
      <c r="E5" s="1296"/>
      <c r="F5" s="1299"/>
      <c r="G5" s="1299"/>
      <c r="H5" s="1300"/>
      <c r="I5" s="1301">
        <f t="shared" si="0"/>
        <v>0</v>
      </c>
    </row>
    <row r="6" spans="1:9">
      <c r="A6" s="3331"/>
      <c r="B6" s="3332" t="s">
        <v>1088</v>
      </c>
      <c r="C6" s="3332"/>
      <c r="D6" s="1298"/>
      <c r="E6" s="1296"/>
      <c r="F6" s="1299"/>
      <c r="G6" s="1299"/>
      <c r="H6" s="1300"/>
      <c r="I6" s="1301">
        <f t="shared" si="0"/>
        <v>0</v>
      </c>
    </row>
    <row r="7" spans="1:9">
      <c r="A7" s="3331"/>
      <c r="B7" s="3332" t="s">
        <v>1089</v>
      </c>
      <c r="C7" s="3332"/>
      <c r="D7" s="1298"/>
      <c r="E7" s="1296"/>
      <c r="F7" s="1299"/>
      <c r="G7" s="1299"/>
      <c r="H7" s="1300"/>
      <c r="I7" s="1301">
        <f t="shared" si="0"/>
        <v>0</v>
      </c>
    </row>
    <row r="8" spans="1:9">
      <c r="A8" s="3331"/>
      <c r="B8" s="3332" t="s">
        <v>1090</v>
      </c>
      <c r="C8" s="3332"/>
      <c r="D8" s="1298"/>
      <c r="E8" s="1296"/>
      <c r="F8" s="1299"/>
      <c r="G8" s="1299"/>
      <c r="H8" s="1300"/>
      <c r="I8" s="1301">
        <f t="shared" si="0"/>
        <v>0</v>
      </c>
    </row>
    <row r="9" spans="1:9">
      <c r="A9" s="3331"/>
      <c r="B9" s="3332" t="s">
        <v>1091</v>
      </c>
      <c r="C9" s="3332"/>
      <c r="D9" s="1298"/>
      <c r="E9" s="1296"/>
      <c r="F9" s="1299"/>
      <c r="G9" s="1299"/>
      <c r="H9" s="1300"/>
      <c r="I9" s="1301">
        <f t="shared" si="0"/>
        <v>0</v>
      </c>
    </row>
    <row r="10" spans="1:9">
      <c r="A10" s="3331"/>
      <c r="B10" s="3333" t="s">
        <v>1092</v>
      </c>
      <c r="C10" s="3333"/>
      <c r="D10" s="1302"/>
      <c r="E10" s="1302" t="e">
        <f>ROUND(D1*10000/D10/H9,0)</f>
        <v>#DIV/0!</v>
      </c>
      <c r="F10" s="1303"/>
      <c r="G10" s="1303"/>
      <c r="H10" s="1304"/>
      <c r="I10" s="1305">
        <f>SUM(I3:I9)</f>
        <v>0</v>
      </c>
    </row>
    <row r="11" spans="1:9" ht="14.25">
      <c r="A11" s="3331" t="s">
        <v>1093</v>
      </c>
      <c r="B11" s="3332" t="s">
        <v>1094</v>
      </c>
      <c r="C11" s="3332"/>
      <c r="D11" s="1298" t="s">
        <v>1095</v>
      </c>
      <c r="E11" s="1298" t="s">
        <v>1096</v>
      </c>
      <c r="F11" s="1299" t="s">
        <v>1097</v>
      </c>
      <c r="G11" s="1299" t="s">
        <v>1083</v>
      </c>
      <c r="H11" s="1306" t="s">
        <v>1098</v>
      </c>
      <c r="I11" s="1297" t="s">
        <v>1084</v>
      </c>
    </row>
    <row r="12" spans="1:9">
      <c r="A12" s="3331"/>
      <c r="B12" s="3332" t="s">
        <v>1099</v>
      </c>
      <c r="C12" s="3332"/>
      <c r="D12" s="1298"/>
      <c r="E12" s="1298"/>
      <c r="F12" s="1299"/>
      <c r="G12" s="1300"/>
      <c r="H12" s="1307"/>
      <c r="I12" s="1297">
        <f>ROUND(D12*E12*F12*G12/10000,0)</f>
        <v>0</v>
      </c>
    </row>
    <row r="13" spans="1:9">
      <c r="A13" s="3331"/>
      <c r="B13" s="3332" t="s">
        <v>1100</v>
      </c>
      <c r="C13" s="3332"/>
      <c r="D13" s="1298"/>
      <c r="E13" s="1298"/>
      <c r="F13" s="1299"/>
      <c r="G13" s="1300"/>
      <c r="H13" s="1307"/>
      <c r="I13" s="1297">
        <f>ROUND(D13*E13*F13*G13/10000,0)</f>
        <v>0</v>
      </c>
    </row>
    <row r="14" spans="1:9">
      <c r="A14" s="3331"/>
      <c r="B14" s="3332" t="s">
        <v>1101</v>
      </c>
      <c r="C14" s="3332"/>
      <c r="D14" s="1298"/>
      <c r="E14" s="1298"/>
      <c r="F14" s="1299"/>
      <c r="G14" s="1300"/>
      <c r="H14" s="1307"/>
      <c r="I14" s="1297">
        <f>ROUND(D14*E14*F14*G14/10000,0)</f>
        <v>0</v>
      </c>
    </row>
    <row r="15" spans="1:9">
      <c r="A15" s="3331"/>
      <c r="B15" s="3333" t="s">
        <v>1092</v>
      </c>
      <c r="C15" s="3333"/>
      <c r="D15" s="1302"/>
      <c r="E15" s="1302">
        <f>SUM(E12:E14)</f>
        <v>0</v>
      </c>
      <c r="F15" s="1303"/>
      <c r="G15" s="1300"/>
      <c r="H15" s="1307"/>
      <c r="I15" s="1308">
        <f>SUM(I12:I14)</f>
        <v>0</v>
      </c>
    </row>
    <row r="16" spans="1:9" ht="24">
      <c r="A16" s="3331" t="s">
        <v>1102</v>
      </c>
      <c r="B16" s="3332" t="s">
        <v>1103</v>
      </c>
      <c r="C16" s="3332"/>
      <c r="D16" s="1298" t="s">
        <v>1079</v>
      </c>
      <c r="E16" s="1309" t="s">
        <v>1104</v>
      </c>
      <c r="F16" s="1299" t="s">
        <v>1105</v>
      </c>
      <c r="G16" s="1300" t="s">
        <v>1083</v>
      </c>
      <c r="H16" s="1306" t="s">
        <v>1098</v>
      </c>
      <c r="I16" s="1297" t="s">
        <v>1084</v>
      </c>
    </row>
    <row r="17" spans="1:9" ht="14.25">
      <c r="A17" s="3331"/>
      <c r="B17" s="3332" t="s">
        <v>1106</v>
      </c>
      <c r="C17" s="3332"/>
      <c r="D17" s="1298"/>
      <c r="E17" s="1298"/>
      <c r="F17" s="1299"/>
      <c r="G17" s="1300"/>
      <c r="H17" s="1310"/>
      <c r="I17" s="1311">
        <f>ROUND(D17*E17*F17*G17/10000,0)</f>
        <v>0</v>
      </c>
    </row>
    <row r="18" spans="1:9" ht="14.25">
      <c r="A18" s="3331"/>
      <c r="B18" s="3332" t="s">
        <v>1107</v>
      </c>
      <c r="C18" s="3332"/>
      <c r="D18" s="1298"/>
      <c r="E18" s="1298"/>
      <c r="F18" s="1299"/>
      <c r="G18" s="1300"/>
      <c r="H18" s="1310"/>
      <c r="I18" s="1311">
        <f>ROUND(D18*E18*F18*G18/10000,0)</f>
        <v>0</v>
      </c>
    </row>
    <row r="19" spans="1:9" ht="14.25">
      <c r="A19" s="3331"/>
      <c r="B19" s="3332" t="s">
        <v>1108</v>
      </c>
      <c r="C19" s="3332"/>
      <c r="D19" s="1298"/>
      <c r="E19" s="1298"/>
      <c r="F19" s="1299"/>
      <c r="G19" s="1300"/>
      <c r="H19" s="1310"/>
      <c r="I19" s="1311">
        <f>ROUND(D19*E19*F19*G19/10000,0)</f>
        <v>0</v>
      </c>
    </row>
    <row r="20" spans="1:9">
      <c r="A20" s="3331"/>
      <c r="B20" s="3333" t="s">
        <v>1092</v>
      </c>
      <c r="C20" s="3333"/>
      <c r="D20" s="1302">
        <f>SUM(D17:D19)</f>
        <v>0</v>
      </c>
      <c r="E20" s="1302"/>
      <c r="F20" s="1303"/>
      <c r="G20" s="1300"/>
      <c r="H20" s="1307"/>
      <c r="I20" s="1308">
        <f>SUM(I17:I19)</f>
        <v>0</v>
      </c>
    </row>
    <row r="21" spans="1:9">
      <c r="A21" s="3331" t="s">
        <v>1109</v>
      </c>
      <c r="B21" s="3335"/>
      <c r="C21" s="3335"/>
      <c r="D21" s="3335"/>
      <c r="E21" s="3335"/>
      <c r="F21" s="3335"/>
      <c r="G21" s="3335"/>
      <c r="H21" s="1760">
        <v>0.1</v>
      </c>
      <c r="I21" s="1305">
        <f>ROUND(I10*H21,0)</f>
        <v>0</v>
      </c>
    </row>
    <row r="22" spans="1:9" ht="14.25">
      <c r="A22" s="3336" t="s">
        <v>1110</v>
      </c>
      <c r="B22" s="3337"/>
      <c r="C22" s="3338"/>
      <c r="D22" s="1312" t="s">
        <v>1111</v>
      </c>
      <c r="E22" s="1312" t="s">
        <v>1112</v>
      </c>
      <c r="F22" s="1313" t="s">
        <v>1113</v>
      </c>
      <c r="G22" s="1313" t="s">
        <v>1114</v>
      </c>
      <c r="H22" s="1306" t="s">
        <v>1115</v>
      </c>
      <c r="I22" s="1297" t="s">
        <v>1116</v>
      </c>
    </row>
    <row r="23" spans="1:9" ht="14.25" thickBot="1">
      <c r="A23" s="3339"/>
      <c r="B23" s="3340"/>
      <c r="C23" s="3341"/>
      <c r="D23" s="1314"/>
      <c r="E23" s="1314"/>
      <c r="F23" s="1314"/>
      <c r="G23" s="1315"/>
      <c r="H23" s="1316"/>
      <c r="I23" s="1317">
        <f>ROUND(E23*D23*F23*(1-G23)/10000,0)</f>
        <v>0</v>
      </c>
    </row>
    <row r="26" spans="1:9">
      <c r="A26" s="1318" t="s">
        <v>1117</v>
      </c>
      <c r="B26" s="1318"/>
      <c r="C26" s="1318"/>
      <c r="D26" s="1318"/>
      <c r="E26" s="3342">
        <f>C27-C30-C31-C32</f>
        <v>0</v>
      </c>
      <c r="F26" s="3342"/>
      <c r="G26" s="3342"/>
      <c r="H26" s="1732" t="s">
        <v>1340</v>
      </c>
    </row>
    <row r="27" spans="1:9">
      <c r="A27" s="1319">
        <v>1</v>
      </c>
      <c r="B27" s="1320" t="s">
        <v>1118</v>
      </c>
      <c r="C27" s="1320">
        <f>C28+C29</f>
        <v>0</v>
      </c>
      <c r="D27" s="1320"/>
      <c r="E27" s="3343"/>
      <c r="F27" s="3343"/>
      <c r="G27" s="3343"/>
    </row>
    <row r="28" spans="1:9">
      <c r="A28" s="1321" t="s">
        <v>1119</v>
      </c>
      <c r="B28" s="1320" t="s">
        <v>1120</v>
      </c>
      <c r="C28" s="1320"/>
      <c r="D28" s="1320"/>
      <c r="E28" s="3343"/>
      <c r="F28" s="3343"/>
      <c r="G28" s="3343"/>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34"/>
      <c r="F32" s="3334"/>
      <c r="G32" s="3334"/>
    </row>
    <row r="33" spans="1:7" hidden="1">
      <c r="A33" s="3344" t="s">
        <v>1129</v>
      </c>
      <c r="B33" s="3345"/>
      <c r="C33" s="3345"/>
      <c r="D33" s="3346"/>
      <c r="E33" s="3342"/>
      <c r="F33" s="3342"/>
      <c r="G33" s="3342"/>
    </row>
    <row r="34" spans="1:7" hidden="1">
      <c r="A34" s="1323">
        <v>1</v>
      </c>
      <c r="B34" s="1320" t="s">
        <v>1130</v>
      </c>
      <c r="C34" s="1320"/>
      <c r="D34" s="1320"/>
      <c r="E34" s="3343"/>
      <c r="F34" s="3343"/>
      <c r="G34" s="3343"/>
    </row>
    <row r="35" spans="1:7" hidden="1">
      <c r="A35" s="1323">
        <v>2</v>
      </c>
      <c r="B35" s="1320" t="s">
        <v>1131</v>
      </c>
      <c r="C35" s="1320"/>
      <c r="D35" s="1320"/>
      <c r="E35" s="3343"/>
      <c r="F35" s="3343"/>
      <c r="G35" s="3343"/>
    </row>
    <row r="36" spans="1:7" hidden="1">
      <c r="A36" s="1323">
        <v>3</v>
      </c>
      <c r="B36" s="1320" t="s">
        <v>1132</v>
      </c>
      <c r="C36" s="1320"/>
      <c r="D36" s="1320"/>
      <c r="E36" s="3343"/>
      <c r="F36" s="3343"/>
      <c r="G36" s="3343"/>
    </row>
    <row r="37" spans="1:7" hidden="1">
      <c r="A37" s="1323">
        <v>4</v>
      </c>
      <c r="B37" s="1320" t="s">
        <v>1133</v>
      </c>
      <c r="C37" s="1320"/>
      <c r="D37" s="1320"/>
      <c r="E37" s="3343"/>
      <c r="F37" s="3343"/>
      <c r="G37" s="3343"/>
    </row>
    <row r="38" spans="1:7" hidden="1">
      <c r="A38" s="3344" t="s">
        <v>1134</v>
      </c>
      <c r="B38" s="3345"/>
      <c r="C38" s="3345"/>
      <c r="D38" s="3346"/>
      <c r="E38" s="3342"/>
      <c r="F38" s="3342"/>
      <c r="G38" s="33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2526</v>
      </c>
      <c r="B1" s="2575" t="s">
        <v>2527</v>
      </c>
      <c r="C1" s="1629" t="s">
        <v>2528</v>
      </c>
      <c r="D1" s="1616"/>
      <c r="E1" s="2576"/>
      <c r="F1" s="2577" t="s">
        <v>2529</v>
      </c>
      <c r="G1" s="1626" t="s">
        <v>2530</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2" customFormat="1" ht="28.5" customHeight="1" thickTop="1">
      <c r="A2" s="1612" t="s">
        <v>1394</v>
      </c>
      <c r="B2" s="1413" t="e">
        <f ca="1">IF(C2="——",ROUND(C49*D3/10000,0),ROUND(C49*D3/10000,0)-D2)</f>
        <v>#DIV/0!</v>
      </c>
      <c r="C2" s="2579"/>
      <c r="D2" s="1360" t="e">
        <f ca="1">SUMIF(INDIRECT("'"&amp;F2&amp;"'"&amp;"!A:A"),"承租人权益价值",INDIRECT("'"&amp;F2&amp;"'"&amp;"!c:c"))</f>
        <v>#REF!</v>
      </c>
      <c r="E2" s="2580" t="s">
        <v>2531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2532</v>
      </c>
      <c r="D3" s="398">
        <f>IF(D1="",'数据-汇总表'!E3,SUMIF('数据-汇总表'!$C19:$C33,D1,'数据-汇总表'!$E19:$E33))</f>
        <v>14099.390000000001</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7"/>
    </row>
    <row r="4" spans="1:29" ht="15">
      <c r="A4" s="400" t="s">
        <v>2533</v>
      </c>
      <c r="B4" s="401"/>
      <c r="C4" s="3290" t="s">
        <v>2534</v>
      </c>
      <c r="D4" s="3291"/>
      <c r="E4" s="3292" t="s">
        <v>2535</v>
      </c>
      <c r="F4" s="3293"/>
      <c r="G4" s="3290" t="s">
        <v>2536</v>
      </c>
      <c r="H4" s="3291"/>
      <c r="I4" s="3290" t="s">
        <v>2537</v>
      </c>
      <c r="J4" s="3291"/>
      <c r="K4" s="2589" t="s">
        <v>2538</v>
      </c>
      <c r="L4" s="1127"/>
      <c r="M4" s="1128"/>
      <c r="N4" s="1128"/>
      <c r="O4" s="1128"/>
      <c r="P4" s="3294" t="s">
        <v>2539</v>
      </c>
      <c r="Q4" s="3295"/>
      <c r="R4" s="3277" t="s">
        <v>2535</v>
      </c>
      <c r="S4" s="3278"/>
      <c r="T4" s="3277" t="s">
        <v>2536</v>
      </c>
      <c r="U4" s="3278"/>
      <c r="V4" s="3274" t="s">
        <v>2537</v>
      </c>
      <c r="W4" s="3274"/>
      <c r="X4" s="1808"/>
      <c r="Y4" s="3277" t="s">
        <v>2539</v>
      </c>
      <c r="Z4" s="3278"/>
      <c r="AA4" s="3271" t="s">
        <v>2535</v>
      </c>
      <c r="AB4" s="3271" t="s">
        <v>2536</v>
      </c>
      <c r="AC4" s="3271" t="s">
        <v>2537</v>
      </c>
    </row>
    <row r="5" spans="1:29" ht="15">
      <c r="A5" s="403"/>
      <c r="B5" s="404"/>
      <c r="C5" s="3348" t="s">
        <v>2540</v>
      </c>
      <c r="D5" s="3284"/>
      <c r="E5" s="3347" t="s">
        <v>2541</v>
      </c>
      <c r="F5" s="3282"/>
      <c r="G5" s="3348" t="s">
        <v>2542</v>
      </c>
      <c r="H5" s="3284"/>
      <c r="I5" s="3348" t="s">
        <v>2543</v>
      </c>
      <c r="J5" s="3284"/>
      <c r="K5" s="2590"/>
      <c r="L5" s="1127"/>
      <c r="M5" s="1128"/>
      <c r="N5" s="1128"/>
      <c r="O5" s="1128"/>
      <c r="P5" s="3296"/>
      <c r="Q5" s="3297"/>
      <c r="R5" s="3279"/>
      <c r="S5" s="3280"/>
      <c r="T5" s="3279"/>
      <c r="U5" s="3280"/>
      <c r="V5" s="3274"/>
      <c r="W5" s="3274"/>
      <c r="X5" s="1808"/>
      <c r="Y5" s="3279"/>
      <c r="Z5" s="3280"/>
      <c r="AA5" s="3272"/>
      <c r="AB5" s="3272"/>
      <c r="AC5" s="3272"/>
    </row>
    <row r="6" spans="1:29" ht="15.75" thickBot="1">
      <c r="A6" s="405"/>
      <c r="B6" s="406"/>
      <c r="C6" s="3349" t="s">
        <v>2544</v>
      </c>
      <c r="D6" s="3286"/>
      <c r="E6" s="3350" t="s">
        <v>2544</v>
      </c>
      <c r="F6" s="3288"/>
      <c r="G6" s="3349" t="s">
        <v>2544</v>
      </c>
      <c r="H6" s="3286"/>
      <c r="I6" s="3349" t="s">
        <v>2544</v>
      </c>
      <c r="J6" s="3286"/>
      <c r="K6" s="2590" t="s">
        <v>2545</v>
      </c>
      <c r="L6" s="1127"/>
      <c r="M6" s="1128"/>
      <c r="N6" s="1128"/>
      <c r="O6" s="1128"/>
      <c r="P6" s="3298"/>
      <c r="Q6" s="3299"/>
      <c r="R6" s="3279"/>
      <c r="S6" s="3280"/>
      <c r="T6" s="3300"/>
      <c r="U6" s="3301"/>
      <c r="V6" s="3274"/>
      <c r="W6" s="3274"/>
      <c r="X6" s="1808"/>
      <c r="Y6" s="3300"/>
      <c r="Z6" s="3301"/>
      <c r="AA6" s="3273"/>
      <c r="AB6" s="3273"/>
      <c r="AC6" s="3273"/>
    </row>
    <row r="7" spans="1:29" s="116" customFormat="1" ht="15.75" thickBot="1">
      <c r="A7" s="407" t="s">
        <v>2546</v>
      </c>
      <c r="B7" s="408"/>
      <c r="C7" s="409">
        <f>'数据-取费表'!B2</f>
        <v>43209</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75" t="s">
        <v>2547</v>
      </c>
      <c r="Q7" s="3302"/>
      <c r="R7" s="764" t="s">
        <v>23</v>
      </c>
      <c r="S7" s="765">
        <f t="shared" ref="S7:S15" si="0">F7</f>
        <v>0</v>
      </c>
      <c r="T7" s="764" t="s">
        <v>23</v>
      </c>
      <c r="U7" s="765">
        <f t="shared" ref="U7:U15" si="1">H7</f>
        <v>0</v>
      </c>
      <c r="V7" s="764" t="s">
        <v>23</v>
      </c>
      <c r="W7" s="765">
        <f t="shared" ref="W7:W15" si="2">J7</f>
        <v>0</v>
      </c>
      <c r="X7" s="766"/>
      <c r="Y7" s="3275" t="s">
        <v>2547</v>
      </c>
      <c r="Z7" s="3276"/>
      <c r="AA7" s="767" t="e">
        <f>D7/F7</f>
        <v>#DIV/0!</v>
      </c>
      <c r="AB7" s="767" t="e">
        <f>D7/H7</f>
        <v>#DIV/0!</v>
      </c>
      <c r="AC7" s="767" t="e">
        <f>D7/J7</f>
        <v>#DIV/0!</v>
      </c>
    </row>
    <row r="8" spans="1:29" s="116" customFormat="1" ht="15.75" thickBot="1">
      <c r="A8" s="407" t="s">
        <v>2548</v>
      </c>
      <c r="B8" s="408"/>
      <c r="C8" s="413" t="s">
        <v>2549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75" t="s">
        <v>2550</v>
      </c>
      <c r="Q8" s="3276"/>
      <c r="R8" s="764" t="s">
        <v>23</v>
      </c>
      <c r="S8" s="765">
        <f t="shared" si="0"/>
        <v>0</v>
      </c>
      <c r="T8" s="764" t="s">
        <v>23</v>
      </c>
      <c r="U8" s="765">
        <f t="shared" si="1"/>
        <v>0</v>
      </c>
      <c r="V8" s="764" t="s">
        <v>23</v>
      </c>
      <c r="W8" s="765">
        <f t="shared" si="2"/>
        <v>0</v>
      </c>
      <c r="X8" s="766"/>
      <c r="Y8" s="3275" t="s">
        <v>2550</v>
      </c>
      <c r="Z8" s="3276"/>
      <c r="AA8" s="767" t="e">
        <f t="shared" ref="AA8:AA19" si="3">D8/F8</f>
        <v>#DIV/0!</v>
      </c>
      <c r="AB8" s="767" t="e">
        <f t="shared" ref="AB8:AB19" si="4">D8/H8</f>
        <v>#DIV/0!</v>
      </c>
      <c r="AC8" s="767" t="e">
        <f t="shared" ref="AC8:AC19" si="5">D8/J8</f>
        <v>#DIV/0!</v>
      </c>
    </row>
    <row r="9" spans="1:29" s="116" customFormat="1">
      <c r="A9" s="414" t="s">
        <v>2551</v>
      </c>
      <c r="B9" s="70" t="s">
        <v>2552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89"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767">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89"/>
      <c r="Q10" s="1790" t="str">
        <f t="shared" si="6"/>
        <v>土地使用年限（年）</v>
      </c>
      <c r="R10" s="764" t="s">
        <v>17</v>
      </c>
      <c r="S10" s="765">
        <f t="shared" si="0"/>
        <v>100</v>
      </c>
      <c r="T10" s="764" t="s">
        <v>17</v>
      </c>
      <c r="U10" s="765">
        <f t="shared" si="1"/>
        <v>100</v>
      </c>
      <c r="V10" s="764" t="s">
        <v>17</v>
      </c>
      <c r="W10" s="765">
        <f t="shared" si="2"/>
        <v>100</v>
      </c>
      <c r="X10" s="766"/>
      <c r="Y10" s="3151"/>
      <c r="Z10" s="54" t="str">
        <f t="shared" si="7"/>
        <v>土地使用年限（年）</v>
      </c>
      <c r="AA10" s="767">
        <f t="shared" si="3"/>
        <v>1</v>
      </c>
      <c r="AB10" s="767">
        <f t="shared" si="4"/>
        <v>1</v>
      </c>
      <c r="AC10" s="767">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89"/>
      <c r="Q11" s="1790" t="str">
        <f t="shared" si="6"/>
        <v>容积率</v>
      </c>
      <c r="R11" s="764" t="s">
        <v>21</v>
      </c>
      <c r="S11" s="765" t="e">
        <f t="shared" si="0"/>
        <v>#N/A</v>
      </c>
      <c r="T11" s="764" t="s">
        <v>21</v>
      </c>
      <c r="U11" s="765" t="e">
        <f t="shared" si="1"/>
        <v>#N/A</v>
      </c>
      <c r="V11" s="764" t="s">
        <v>21</v>
      </c>
      <c r="W11" s="765" t="e">
        <f t="shared" si="2"/>
        <v>#N/A</v>
      </c>
      <c r="X11" s="766"/>
      <c r="Y11" s="3151"/>
      <c r="Z11" s="54" t="str">
        <f t="shared" si="7"/>
        <v>容积率</v>
      </c>
      <c r="AA11" s="767" t="e">
        <f t="shared" si="3"/>
        <v>#N/A</v>
      </c>
      <c r="AB11" s="767" t="e">
        <f t="shared" si="4"/>
        <v>#N/A</v>
      </c>
      <c r="AC11" s="767"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89"/>
      <c r="Q12" s="1790">
        <f t="shared" si="6"/>
        <v>111</v>
      </c>
      <c r="R12" s="764" t="s">
        <v>21</v>
      </c>
      <c r="S12" s="765">
        <f t="shared" si="0"/>
        <v>100</v>
      </c>
      <c r="T12" s="764" t="s">
        <v>21</v>
      </c>
      <c r="U12" s="765">
        <f t="shared" si="1"/>
        <v>100</v>
      </c>
      <c r="V12" s="764" t="s">
        <v>21</v>
      </c>
      <c r="W12" s="765">
        <f t="shared" si="2"/>
        <v>100</v>
      </c>
      <c r="X12" s="766"/>
      <c r="Y12" s="3151"/>
      <c r="Z12" s="54">
        <f t="shared" si="7"/>
        <v>111</v>
      </c>
      <c r="AA12" s="767">
        <f>D12/F12</f>
        <v>1</v>
      </c>
      <c r="AB12" s="767">
        <f>D12/H12</f>
        <v>1</v>
      </c>
      <c r="AC12" s="767">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89"/>
      <c r="Q13" s="1790">
        <f t="shared" si="6"/>
        <v>111</v>
      </c>
      <c r="R13" s="764" t="s">
        <v>21</v>
      </c>
      <c r="S13" s="765">
        <f t="shared" si="0"/>
        <v>100</v>
      </c>
      <c r="T13" s="764" t="s">
        <v>21</v>
      </c>
      <c r="U13" s="765">
        <f t="shared" si="1"/>
        <v>100</v>
      </c>
      <c r="V13" s="764" t="s">
        <v>21</v>
      </c>
      <c r="W13" s="765">
        <f t="shared" si="2"/>
        <v>100</v>
      </c>
      <c r="X13" s="766"/>
      <c r="Y13" s="3151"/>
      <c r="Z13" s="54">
        <f t="shared" si="7"/>
        <v>111</v>
      </c>
      <c r="AA13" s="767">
        <f t="shared" si="3"/>
        <v>1</v>
      </c>
      <c r="AB13" s="767">
        <f t="shared" si="4"/>
        <v>1</v>
      </c>
      <c r="AC13" s="767">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89"/>
      <c r="Q14" s="1790">
        <f t="shared" si="6"/>
        <v>111</v>
      </c>
      <c r="R14" s="764" t="s">
        <v>21</v>
      </c>
      <c r="S14" s="765">
        <f t="shared" si="0"/>
        <v>100</v>
      </c>
      <c r="T14" s="764" t="s">
        <v>21</v>
      </c>
      <c r="U14" s="765">
        <f t="shared" si="1"/>
        <v>100</v>
      </c>
      <c r="V14" s="764" t="s">
        <v>21</v>
      </c>
      <c r="W14" s="765">
        <f t="shared" si="2"/>
        <v>100</v>
      </c>
      <c r="X14" s="766"/>
      <c r="Y14" s="3151"/>
      <c r="Z14" s="54">
        <f t="shared" si="7"/>
        <v>111</v>
      </c>
      <c r="AA14" s="767">
        <f t="shared" si="3"/>
        <v>1</v>
      </c>
      <c r="AB14" s="767">
        <f t="shared" si="4"/>
        <v>1</v>
      </c>
      <c r="AC14" s="767">
        <f t="shared" si="5"/>
        <v>1</v>
      </c>
    </row>
    <row r="15" spans="1:29" ht="99.75">
      <c r="A15" s="439" t="s">
        <v>2557</v>
      </c>
      <c r="B15" s="68" t="s">
        <v>2082</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03" t="s">
        <v>2558</v>
      </c>
      <c r="Q15" s="1805" t="str">
        <f t="shared" si="6"/>
        <v>居住社区成熟度</v>
      </c>
      <c r="R15" s="768" t="s">
        <v>21</v>
      </c>
      <c r="S15" s="769">
        <f t="shared" si="0"/>
        <v>100</v>
      </c>
      <c r="T15" s="768" t="s">
        <v>21</v>
      </c>
      <c r="U15" s="769">
        <f t="shared" si="1"/>
        <v>100</v>
      </c>
      <c r="V15" s="768" t="s">
        <v>21</v>
      </c>
      <c r="W15" s="769">
        <f t="shared" si="2"/>
        <v>100</v>
      </c>
      <c r="X15" s="1808"/>
      <c r="Y15" s="3305" t="s">
        <v>2558</v>
      </c>
      <c r="Z15" s="1809" t="str">
        <f t="shared" si="7"/>
        <v>居住社区成熟度</v>
      </c>
      <c r="AA15" s="1806">
        <f t="shared" si="3"/>
        <v>1</v>
      </c>
      <c r="AB15" s="1806">
        <f t="shared" si="4"/>
        <v>1</v>
      </c>
      <c r="AC15" s="1806">
        <f t="shared" si="5"/>
        <v>1</v>
      </c>
    </row>
    <row r="16" spans="1:29" ht="15">
      <c r="A16" s="427"/>
      <c r="B16" s="445"/>
      <c r="C16" s="446"/>
      <c r="D16" s="447"/>
      <c r="E16" s="2597"/>
      <c r="F16" s="447"/>
      <c r="G16" s="2598"/>
      <c r="H16" s="449"/>
      <c r="I16" s="2598"/>
      <c r="J16" s="447"/>
      <c r="K16" s="2599"/>
      <c r="L16" s="1137"/>
      <c r="M16" s="1128"/>
      <c r="N16" s="1128"/>
      <c r="O16" s="1128"/>
      <c r="P16" s="3304"/>
      <c r="Q16" s="1805"/>
      <c r="R16" s="768"/>
      <c r="S16" s="769"/>
      <c r="T16" s="768"/>
      <c r="U16" s="769"/>
      <c r="V16" s="768"/>
      <c r="W16" s="769"/>
      <c r="X16" s="1808"/>
      <c r="Y16" s="3306"/>
      <c r="Z16" s="1809"/>
      <c r="AA16" s="1806">
        <v>1</v>
      </c>
      <c r="AB16" s="1806">
        <v>1</v>
      </c>
      <c r="AC16" s="1806">
        <v>1</v>
      </c>
    </row>
    <row r="17" spans="1:29" ht="85.5">
      <c r="A17" s="427"/>
      <c r="B17" s="450" t="s">
        <v>2094</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04"/>
      <c r="Q17" s="1805" t="str">
        <f>B17</f>
        <v>交通便捷度</v>
      </c>
      <c r="R17" s="768" t="s">
        <v>21</v>
      </c>
      <c r="S17" s="769">
        <f>F17</f>
        <v>100</v>
      </c>
      <c r="T17" s="768" t="s">
        <v>21</v>
      </c>
      <c r="U17" s="769">
        <f>H17</f>
        <v>100</v>
      </c>
      <c r="V17" s="768" t="s">
        <v>21</v>
      </c>
      <c r="W17" s="769">
        <f>J17</f>
        <v>100</v>
      </c>
      <c r="X17" s="1808"/>
      <c r="Y17" s="3306"/>
      <c r="Z17" s="1809" t="str">
        <f>Q17</f>
        <v>交通便捷度</v>
      </c>
      <c r="AA17" s="1806">
        <f t="shared" si="3"/>
        <v>1</v>
      </c>
      <c r="AB17" s="1806">
        <f t="shared" si="4"/>
        <v>1</v>
      </c>
      <c r="AC17" s="1806">
        <f t="shared" si="5"/>
        <v>1</v>
      </c>
    </row>
    <row r="18" spans="1:29" ht="15">
      <c r="A18" s="427"/>
      <c r="B18" s="455"/>
      <c r="C18" s="2601"/>
      <c r="D18" s="449"/>
      <c r="E18" s="2602"/>
      <c r="F18" s="449"/>
      <c r="G18" s="2603"/>
      <c r="H18" s="447"/>
      <c r="I18" s="2603"/>
      <c r="J18" s="447"/>
      <c r="K18" s="2599"/>
      <c r="L18" s="1137"/>
      <c r="M18" s="1128"/>
      <c r="N18" s="1128"/>
      <c r="O18" s="1128"/>
      <c r="P18" s="3304"/>
      <c r="Q18" s="1805"/>
      <c r="R18" s="768"/>
      <c r="S18" s="769"/>
      <c r="T18" s="768"/>
      <c r="U18" s="769"/>
      <c r="V18" s="768"/>
      <c r="W18" s="769"/>
      <c r="X18" s="1808"/>
      <c r="Y18" s="3306"/>
      <c r="Z18" s="1809"/>
      <c r="AA18" s="1806">
        <v>1</v>
      </c>
      <c r="AB18" s="1806">
        <v>1</v>
      </c>
      <c r="AC18" s="1806">
        <v>1</v>
      </c>
    </row>
    <row r="19" spans="1:29" ht="42.75">
      <c r="A19" s="427"/>
      <c r="B19" s="450" t="s">
        <v>2092</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04"/>
      <c r="Q19" s="1805" t="str">
        <f>B19</f>
        <v>公共配套设施</v>
      </c>
      <c r="R19" s="768" t="s">
        <v>21</v>
      </c>
      <c r="S19" s="769">
        <f>F19</f>
        <v>100</v>
      </c>
      <c r="T19" s="768" t="s">
        <v>21</v>
      </c>
      <c r="U19" s="769">
        <f>H19</f>
        <v>100</v>
      </c>
      <c r="V19" s="768" t="s">
        <v>21</v>
      </c>
      <c r="W19" s="769">
        <f>J19</f>
        <v>100</v>
      </c>
      <c r="X19" s="1808"/>
      <c r="Y19" s="3306"/>
      <c r="Z19" s="1809" t="str">
        <f>Q19</f>
        <v>公共配套设施</v>
      </c>
      <c r="AA19" s="1806">
        <f t="shared" si="3"/>
        <v>1</v>
      </c>
      <c r="AB19" s="1806">
        <f t="shared" si="4"/>
        <v>1</v>
      </c>
      <c r="AC19" s="1806">
        <f t="shared" si="5"/>
        <v>1</v>
      </c>
    </row>
    <row r="20" spans="1:29" ht="15">
      <c r="A20" s="427"/>
      <c r="B20" s="455"/>
      <c r="C20" s="446"/>
      <c r="D20" s="447"/>
      <c r="E20" s="2597"/>
      <c r="F20" s="447"/>
      <c r="G20" s="2598"/>
      <c r="H20" s="447"/>
      <c r="I20" s="2598"/>
      <c r="J20" s="447"/>
      <c r="K20" s="2599"/>
      <c r="L20" s="1137"/>
      <c r="M20" s="1128"/>
      <c r="N20" s="1128"/>
      <c r="O20" s="1128"/>
      <c r="P20" s="3304"/>
      <c r="Q20" s="1805"/>
      <c r="R20" s="768"/>
      <c r="S20" s="769"/>
      <c r="T20" s="768"/>
      <c r="U20" s="769"/>
      <c r="V20" s="768"/>
      <c r="W20" s="769"/>
      <c r="X20" s="1808"/>
      <c r="Y20" s="3306"/>
      <c r="Z20" s="1809"/>
      <c r="AA20" s="1806">
        <v>1</v>
      </c>
      <c r="AB20" s="1806">
        <v>1</v>
      </c>
      <c r="AC20" s="1806">
        <v>1</v>
      </c>
    </row>
    <row r="21" spans="1:29" ht="28.5">
      <c r="A21" s="427"/>
      <c r="B21" s="1379" t="s">
        <v>2095</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04"/>
      <c r="Q21" s="1805" t="str">
        <f>B21</f>
        <v>基础设施水平</v>
      </c>
      <c r="R21" s="768" t="s">
        <v>17</v>
      </c>
      <c r="S21" s="769">
        <f>F21</f>
        <v>100</v>
      </c>
      <c r="T21" s="768" t="s">
        <v>17</v>
      </c>
      <c r="U21" s="769">
        <f>H21</f>
        <v>100</v>
      </c>
      <c r="V21" s="768" t="s">
        <v>17</v>
      </c>
      <c r="W21" s="769">
        <f>J21</f>
        <v>100</v>
      </c>
      <c r="X21" s="1808"/>
      <c r="Y21" s="3306"/>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7"/>
      <c r="G22" s="2604"/>
      <c r="H22" s="447"/>
      <c r="I22" s="446"/>
      <c r="J22" s="447"/>
      <c r="K22" s="2605"/>
      <c r="L22" s="1137"/>
      <c r="M22" s="1128"/>
      <c r="N22" s="1128"/>
      <c r="O22" s="1128"/>
      <c r="P22" s="3304"/>
      <c r="Q22" s="1805"/>
      <c r="R22" s="768"/>
      <c r="S22" s="769"/>
      <c r="T22" s="768"/>
      <c r="U22" s="769"/>
      <c r="V22" s="768"/>
      <c r="W22" s="769"/>
      <c r="X22" s="1808"/>
      <c r="Y22" s="3306"/>
      <c r="Z22" s="1809"/>
      <c r="AA22" s="1806">
        <v>1</v>
      </c>
      <c r="AB22" s="1806">
        <v>1</v>
      </c>
      <c r="AC22" s="1806">
        <v>1</v>
      </c>
    </row>
    <row r="23" spans="1:29" ht="57">
      <c r="A23" s="427"/>
      <c r="B23" s="450" t="s">
        <v>2099</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04"/>
      <c r="Q23" s="1805" t="str">
        <f>B23</f>
        <v>自然及人文环境</v>
      </c>
      <c r="R23" s="768" t="s">
        <v>21</v>
      </c>
      <c r="S23" s="769">
        <f>F23</f>
        <v>100</v>
      </c>
      <c r="T23" s="768" t="s">
        <v>21</v>
      </c>
      <c r="U23" s="769">
        <f>H23</f>
        <v>100</v>
      </c>
      <c r="V23" s="768" t="s">
        <v>21</v>
      </c>
      <c r="W23" s="769">
        <f>J23</f>
        <v>100</v>
      </c>
      <c r="X23" s="1808"/>
      <c r="Y23" s="3306"/>
      <c r="Z23" s="1809" t="str">
        <f>Q23</f>
        <v>自然及人文环境</v>
      </c>
      <c r="AA23" s="1806">
        <f>D23/F23</f>
        <v>1</v>
      </c>
      <c r="AB23" s="1806">
        <f>D23/H23</f>
        <v>1</v>
      </c>
      <c r="AC23" s="1806">
        <f>D23/J23</f>
        <v>1</v>
      </c>
    </row>
    <row r="24" spans="1:29" ht="15">
      <c r="A24" s="427"/>
      <c r="B24" s="455"/>
      <c r="C24" s="446"/>
      <c r="D24" s="447"/>
      <c r="E24" s="2597"/>
      <c r="F24" s="447"/>
      <c r="G24" s="2598"/>
      <c r="H24" s="447"/>
      <c r="I24" s="2598"/>
      <c r="J24" s="447"/>
      <c r="K24" s="2599"/>
      <c r="L24" s="1137"/>
      <c r="M24" s="1128"/>
      <c r="N24" s="1128"/>
      <c r="O24" s="1128"/>
      <c r="P24" s="3304"/>
      <c r="Q24" s="1805"/>
      <c r="R24" s="768"/>
      <c r="S24" s="769"/>
      <c r="T24" s="768"/>
      <c r="U24" s="769"/>
      <c r="V24" s="768"/>
      <c r="W24" s="769"/>
      <c r="X24" s="1808"/>
      <c r="Y24" s="3306"/>
      <c r="Z24" s="1809"/>
      <c r="AA24" s="1806">
        <v>1</v>
      </c>
      <c r="AB24" s="1806">
        <v>1</v>
      </c>
      <c r="AC24" s="1806">
        <v>1</v>
      </c>
    </row>
    <row r="25" spans="1:29" ht="15">
      <c r="A25" s="427"/>
      <c r="B25" s="421" t="s">
        <v>2559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304"/>
      <c r="Q25" s="1805" t="str">
        <f t="shared" ref="Q25:Q46" si="11">B25</f>
        <v>楼层-1</v>
      </c>
      <c r="R25" s="768" t="s">
        <v>21</v>
      </c>
      <c r="S25" s="769">
        <f t="shared" ref="S25:S46" si="12">F25</f>
        <v>100</v>
      </c>
      <c r="T25" s="768" t="s">
        <v>21</v>
      </c>
      <c r="U25" s="769">
        <f t="shared" ref="U25:U46" si="13">H25</f>
        <v>100</v>
      </c>
      <c r="V25" s="768" t="s">
        <v>21</v>
      </c>
      <c r="W25" s="769">
        <f t="shared" ref="W25:W46" si="14">J25</f>
        <v>100</v>
      </c>
      <c r="X25" s="1808"/>
      <c r="Y25" s="3306"/>
      <c r="Z25" s="1809" t="str">
        <f>Q25</f>
        <v>楼层-1</v>
      </c>
      <c r="AA25" s="1806">
        <f t="shared" ref="AA25:AA46" si="15">D25/F25</f>
        <v>1</v>
      </c>
      <c r="AB25" s="1806">
        <f t="shared" ref="AB25:AB46" si="16">D25/H25</f>
        <v>1</v>
      </c>
      <c r="AC25" s="1806">
        <f t="shared" ref="AC25:AC46" si="17">D25/J25</f>
        <v>1</v>
      </c>
    </row>
    <row r="26" spans="1:29" ht="15">
      <c r="A26" s="427"/>
      <c r="B26" s="421" t="s">
        <v>2560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304"/>
      <c r="Q26" s="1805" t="str">
        <f t="shared" si="11"/>
        <v>朝向</v>
      </c>
      <c r="R26" s="768" t="s">
        <v>21</v>
      </c>
      <c r="S26" s="769">
        <f t="shared" si="12"/>
        <v>100</v>
      </c>
      <c r="T26" s="768" t="s">
        <v>21</v>
      </c>
      <c r="U26" s="769">
        <f t="shared" si="13"/>
        <v>100</v>
      </c>
      <c r="V26" s="768" t="s">
        <v>21</v>
      </c>
      <c r="W26" s="769">
        <f t="shared" si="14"/>
        <v>100</v>
      </c>
      <c r="X26" s="1808"/>
      <c r="Y26" s="3306"/>
      <c r="Z26" s="1809" t="str">
        <f>Q26</f>
        <v>朝向</v>
      </c>
      <c r="AA26" s="1806">
        <f t="shared" si="15"/>
        <v>1</v>
      </c>
      <c r="AB26" s="1806">
        <f t="shared" si="16"/>
        <v>1</v>
      </c>
      <c r="AC26" s="1806">
        <f t="shared" si="17"/>
        <v>1</v>
      </c>
    </row>
    <row r="27" spans="1:29" s="116" customFormat="1" ht="15">
      <c r="A27" s="430"/>
      <c r="B27" s="1381">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304"/>
      <c r="Q27" s="1790">
        <f t="shared" si="11"/>
        <v>111</v>
      </c>
      <c r="R27" s="764" t="s">
        <v>21</v>
      </c>
      <c r="S27" s="765">
        <f t="shared" si="12"/>
        <v>100</v>
      </c>
      <c r="T27" s="764" t="s">
        <v>21</v>
      </c>
      <c r="U27" s="765">
        <f t="shared" si="13"/>
        <v>100</v>
      </c>
      <c r="V27" s="764" t="s">
        <v>21</v>
      </c>
      <c r="W27" s="765">
        <f t="shared" si="14"/>
        <v>100</v>
      </c>
      <c r="X27" s="766"/>
      <c r="Y27" s="3306"/>
      <c r="Z27" s="54">
        <f>Q27</f>
        <v>111</v>
      </c>
      <c r="AA27" s="1806">
        <f t="shared" si="15"/>
        <v>1</v>
      </c>
      <c r="AB27" s="1806">
        <f t="shared" si="16"/>
        <v>1</v>
      </c>
      <c r="AC27" s="1806">
        <f t="shared" si="17"/>
        <v>1</v>
      </c>
    </row>
    <row r="28" spans="1:29" ht="15">
      <c r="A28" s="427"/>
      <c r="B28" s="1381">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304"/>
      <c r="Q28" s="1805">
        <f t="shared" si="11"/>
        <v>111</v>
      </c>
      <c r="R28" s="768" t="s">
        <v>21</v>
      </c>
      <c r="S28" s="769">
        <f t="shared" si="12"/>
        <v>100</v>
      </c>
      <c r="T28" s="768" t="s">
        <v>21</v>
      </c>
      <c r="U28" s="769">
        <f t="shared" si="13"/>
        <v>100</v>
      </c>
      <c r="V28" s="768" t="s">
        <v>21</v>
      </c>
      <c r="W28" s="769">
        <f t="shared" si="14"/>
        <v>100</v>
      </c>
      <c r="X28" s="1808"/>
      <c r="Y28" s="3306"/>
      <c r="Z28" s="1809">
        <f t="shared" ref="Z28:Z46" si="18">Q28</f>
        <v>111</v>
      </c>
      <c r="AA28" s="1806">
        <f t="shared" si="15"/>
        <v>1</v>
      </c>
      <c r="AB28" s="1806">
        <f t="shared" si="16"/>
        <v>1</v>
      </c>
      <c r="AC28" s="1806">
        <f t="shared" si="17"/>
        <v>1</v>
      </c>
    </row>
    <row r="29" spans="1:29" ht="15">
      <c r="A29" s="427"/>
      <c r="B29" s="1381">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304"/>
      <c r="Q29" s="1805">
        <f t="shared" si="11"/>
        <v>111</v>
      </c>
      <c r="R29" s="768" t="s">
        <v>21</v>
      </c>
      <c r="S29" s="769">
        <f t="shared" si="12"/>
        <v>100</v>
      </c>
      <c r="T29" s="768" t="s">
        <v>21</v>
      </c>
      <c r="U29" s="769">
        <f t="shared" si="13"/>
        <v>100</v>
      </c>
      <c r="V29" s="768" t="s">
        <v>21</v>
      </c>
      <c r="W29" s="769">
        <f t="shared" si="14"/>
        <v>100</v>
      </c>
      <c r="X29" s="1808"/>
      <c r="Y29" s="3306"/>
      <c r="Z29" s="1809">
        <f t="shared" si="18"/>
        <v>111</v>
      </c>
      <c r="AA29" s="1806">
        <f t="shared" si="15"/>
        <v>1</v>
      </c>
      <c r="AB29" s="1806">
        <f t="shared" si="16"/>
        <v>1</v>
      </c>
      <c r="AC29" s="1806">
        <f t="shared" si="17"/>
        <v>1</v>
      </c>
    </row>
    <row r="30" spans="1:29" ht="15">
      <c r="A30" s="427"/>
      <c r="B30" s="1381">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304"/>
      <c r="Q30" s="1805">
        <f t="shared" si="11"/>
        <v>111</v>
      </c>
      <c r="R30" s="768" t="s">
        <v>21</v>
      </c>
      <c r="S30" s="769">
        <f t="shared" si="12"/>
        <v>100</v>
      </c>
      <c r="T30" s="768" t="s">
        <v>21</v>
      </c>
      <c r="U30" s="769">
        <f t="shared" si="13"/>
        <v>100</v>
      </c>
      <c r="V30" s="768" t="s">
        <v>21</v>
      </c>
      <c r="W30" s="769">
        <f t="shared" si="14"/>
        <v>100</v>
      </c>
      <c r="X30" s="1808"/>
      <c r="Y30" s="3306"/>
      <c r="Z30" s="1809">
        <f t="shared" si="18"/>
        <v>111</v>
      </c>
      <c r="AA30" s="1806">
        <f t="shared" si="15"/>
        <v>1</v>
      </c>
      <c r="AB30" s="1806">
        <f t="shared" si="16"/>
        <v>1</v>
      </c>
      <c r="AC30" s="1806">
        <f t="shared" si="17"/>
        <v>1</v>
      </c>
    </row>
    <row r="31" spans="1:29" ht="15.75" thickBot="1">
      <c r="A31" s="435"/>
      <c r="B31" s="1381">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304"/>
      <c r="Q31" s="1805">
        <f t="shared" si="11"/>
        <v>111</v>
      </c>
      <c r="R31" s="768" t="s">
        <v>21</v>
      </c>
      <c r="S31" s="769">
        <f t="shared" si="12"/>
        <v>100</v>
      </c>
      <c r="T31" s="768" t="s">
        <v>21</v>
      </c>
      <c r="U31" s="769">
        <f t="shared" si="13"/>
        <v>100</v>
      </c>
      <c r="V31" s="768" t="s">
        <v>21</v>
      </c>
      <c r="W31" s="769">
        <f t="shared" si="14"/>
        <v>100</v>
      </c>
      <c r="X31" s="1808"/>
      <c r="Y31" s="3306"/>
      <c r="Z31" s="1809">
        <f t="shared" si="18"/>
        <v>111</v>
      </c>
      <c r="AA31" s="1806">
        <f t="shared" si="15"/>
        <v>1</v>
      </c>
      <c r="AB31" s="1806">
        <f t="shared" si="16"/>
        <v>1</v>
      </c>
      <c r="AC31" s="1806">
        <f t="shared" si="17"/>
        <v>1</v>
      </c>
    </row>
    <row r="32" spans="1:29" ht="15">
      <c r="A32" s="439" t="s">
        <v>2561</v>
      </c>
      <c r="B32" s="70" t="s">
        <v>2562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307" t="s">
        <v>2563</v>
      </c>
      <c r="Q32" s="1805" t="str">
        <f t="shared" si="11"/>
        <v>建筑类型</v>
      </c>
      <c r="R32" s="768" t="s">
        <v>21</v>
      </c>
      <c r="S32" s="769">
        <f t="shared" si="12"/>
        <v>100</v>
      </c>
      <c r="T32" s="768" t="s">
        <v>21</v>
      </c>
      <c r="U32" s="769">
        <f t="shared" si="13"/>
        <v>100</v>
      </c>
      <c r="V32" s="768" t="s">
        <v>21</v>
      </c>
      <c r="W32" s="769">
        <f t="shared" si="14"/>
        <v>100</v>
      </c>
      <c r="X32" s="1808"/>
      <c r="Y32" s="3310" t="s">
        <v>2563</v>
      </c>
      <c r="Z32" s="1809" t="str">
        <f t="shared" si="18"/>
        <v>建筑类型</v>
      </c>
      <c r="AA32" s="1806">
        <f t="shared" si="15"/>
        <v>1</v>
      </c>
      <c r="AB32" s="1806">
        <f t="shared" si="16"/>
        <v>1</v>
      </c>
      <c r="AC32" s="1806">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308"/>
      <c r="Q33" s="770" t="str">
        <f t="shared" si="11"/>
        <v>项目建筑规模</v>
      </c>
      <c r="R33" s="771" t="s">
        <v>21</v>
      </c>
      <c r="S33" s="772" t="e">
        <f t="shared" si="12"/>
        <v>#N/A</v>
      </c>
      <c r="T33" s="771" t="s">
        <v>21</v>
      </c>
      <c r="U33" s="772" t="e">
        <f t="shared" si="13"/>
        <v>#N/A</v>
      </c>
      <c r="V33" s="771" t="s">
        <v>21</v>
      </c>
      <c r="W33" s="772" t="e">
        <f t="shared" si="14"/>
        <v>#N/A</v>
      </c>
      <c r="X33" s="773"/>
      <c r="Y33" s="3310"/>
      <c r="Z33" s="774" t="str">
        <f t="shared" si="18"/>
        <v>项目建筑规模</v>
      </c>
      <c r="AA33" s="1806" t="e">
        <f t="shared" si="15"/>
        <v>#N/A</v>
      </c>
      <c r="AB33" s="1806" t="e">
        <f t="shared" si="16"/>
        <v>#N/A</v>
      </c>
      <c r="AC33" s="1806" t="e">
        <f t="shared" si="17"/>
        <v>#N/A</v>
      </c>
    </row>
    <row r="34" spans="1:29" ht="15">
      <c r="A34" s="471"/>
      <c r="B34" s="421" t="s">
        <v>2565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308"/>
      <c r="Q34" s="1805" t="str">
        <f t="shared" si="11"/>
        <v>建筑结构</v>
      </c>
      <c r="R34" s="768" t="s">
        <v>21</v>
      </c>
      <c r="S34" s="769">
        <f t="shared" si="12"/>
        <v>100</v>
      </c>
      <c r="T34" s="768" t="s">
        <v>21</v>
      </c>
      <c r="U34" s="769">
        <f t="shared" si="13"/>
        <v>100</v>
      </c>
      <c r="V34" s="768" t="s">
        <v>21</v>
      </c>
      <c r="W34" s="769">
        <f t="shared" si="14"/>
        <v>100</v>
      </c>
      <c r="X34" s="1808"/>
      <c r="Y34" s="3310"/>
      <c r="Z34" s="1809" t="str">
        <f t="shared" si="18"/>
        <v>建筑结构</v>
      </c>
      <c r="AA34" s="1806">
        <f t="shared" si="15"/>
        <v>1</v>
      </c>
      <c r="AB34" s="1806">
        <f t="shared" si="16"/>
        <v>1</v>
      </c>
      <c r="AC34" s="1806">
        <f t="shared" si="17"/>
        <v>1</v>
      </c>
    </row>
    <row r="35" spans="1:29" ht="15">
      <c r="A35" s="471"/>
      <c r="B35" s="421" t="s">
        <v>2566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308"/>
      <c r="Q35" s="1805" t="str">
        <f t="shared" si="11"/>
        <v>建筑品质</v>
      </c>
      <c r="R35" s="768" t="s">
        <v>21</v>
      </c>
      <c r="S35" s="769">
        <f t="shared" si="12"/>
        <v>100</v>
      </c>
      <c r="T35" s="768" t="s">
        <v>21</v>
      </c>
      <c r="U35" s="769">
        <f t="shared" si="13"/>
        <v>100</v>
      </c>
      <c r="V35" s="768" t="s">
        <v>21</v>
      </c>
      <c r="W35" s="769">
        <f t="shared" si="14"/>
        <v>100</v>
      </c>
      <c r="X35" s="1808"/>
      <c r="Y35" s="3310"/>
      <c r="Z35" s="1809" t="str">
        <f t="shared" si="18"/>
        <v>建筑品质</v>
      </c>
      <c r="AA35" s="1806">
        <f t="shared" si="15"/>
        <v>1</v>
      </c>
      <c r="AB35" s="1806">
        <f t="shared" si="16"/>
        <v>1</v>
      </c>
      <c r="AC35" s="1806">
        <f t="shared" si="17"/>
        <v>1</v>
      </c>
    </row>
    <row r="36" spans="1:29" ht="15">
      <c r="A36" s="471"/>
      <c r="B36" s="421" t="s">
        <v>2567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308"/>
      <c r="Q36" s="1805" t="str">
        <f t="shared" si="11"/>
        <v>公共部分装修</v>
      </c>
      <c r="R36" s="768" t="s">
        <v>21</v>
      </c>
      <c r="S36" s="769">
        <f t="shared" si="12"/>
        <v>100</v>
      </c>
      <c r="T36" s="768" t="s">
        <v>21</v>
      </c>
      <c r="U36" s="769">
        <f t="shared" si="13"/>
        <v>100</v>
      </c>
      <c r="V36" s="768" t="s">
        <v>21</v>
      </c>
      <c r="W36" s="769">
        <f t="shared" si="14"/>
        <v>100</v>
      </c>
      <c r="X36" s="1808"/>
      <c r="Y36" s="3310"/>
      <c r="Z36" s="1809" t="str">
        <f t="shared" si="18"/>
        <v>公共部分装修</v>
      </c>
      <c r="AA36" s="1806">
        <f t="shared" si="15"/>
        <v>1</v>
      </c>
      <c r="AB36" s="1806">
        <f t="shared" si="16"/>
        <v>1</v>
      </c>
      <c r="AC36" s="1806">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08"/>
      <c r="Q37" s="1790" t="str">
        <f t="shared" si="11"/>
        <v>成新度</v>
      </c>
      <c r="R37" s="764" t="s">
        <v>21</v>
      </c>
      <c r="S37" s="765" t="e">
        <f t="shared" si="12"/>
        <v>#N/A</v>
      </c>
      <c r="T37" s="764" t="s">
        <v>21</v>
      </c>
      <c r="U37" s="765" t="e">
        <f t="shared" si="13"/>
        <v>#N/A</v>
      </c>
      <c r="V37" s="764" t="s">
        <v>21</v>
      </c>
      <c r="W37" s="765" t="e">
        <f t="shared" si="14"/>
        <v>#N/A</v>
      </c>
      <c r="X37" s="766"/>
      <c r="Y37" s="3310"/>
      <c r="Z37" s="54" t="str">
        <f t="shared" si="18"/>
        <v>成新度</v>
      </c>
      <c r="AA37" s="767" t="e">
        <f t="shared" si="15"/>
        <v>#N/A</v>
      </c>
      <c r="AB37" s="767" t="e">
        <f t="shared" si="16"/>
        <v>#N/A</v>
      </c>
      <c r="AC37" s="767" t="e">
        <f t="shared" si="17"/>
        <v>#N/A</v>
      </c>
    </row>
    <row r="38" spans="1:29" ht="15">
      <c r="A38" s="471"/>
      <c r="B38" s="421" t="s">
        <v>2569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308" t="s">
        <v>2563</v>
      </c>
      <c r="Q38" s="1805" t="str">
        <f t="shared" si="11"/>
        <v>物业管理</v>
      </c>
      <c r="R38" s="768" t="s">
        <v>21</v>
      </c>
      <c r="S38" s="769">
        <f t="shared" si="12"/>
        <v>100</v>
      </c>
      <c r="T38" s="768" t="s">
        <v>21</v>
      </c>
      <c r="U38" s="769">
        <f t="shared" si="13"/>
        <v>100</v>
      </c>
      <c r="V38" s="768" t="s">
        <v>21</v>
      </c>
      <c r="W38" s="769">
        <f t="shared" si="14"/>
        <v>100</v>
      </c>
      <c r="X38" s="1808"/>
      <c r="Y38" s="3310" t="s">
        <v>2563</v>
      </c>
      <c r="Z38" s="1809" t="str">
        <f t="shared" si="18"/>
        <v>物业管理</v>
      </c>
      <c r="AA38" s="1806">
        <f t="shared" si="15"/>
        <v>1</v>
      </c>
      <c r="AB38" s="1806">
        <f t="shared" si="16"/>
        <v>1</v>
      </c>
      <c r="AC38" s="1806">
        <f t="shared" si="17"/>
        <v>1</v>
      </c>
    </row>
    <row r="39" spans="1:29" ht="15">
      <c r="A39" s="471"/>
      <c r="B39" s="421" t="s">
        <v>2570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308"/>
      <c r="Q39" s="1805" t="str">
        <f t="shared" si="11"/>
        <v>市政基础设施</v>
      </c>
      <c r="R39" s="768" t="s">
        <v>21</v>
      </c>
      <c r="S39" s="769">
        <f t="shared" si="12"/>
        <v>100</v>
      </c>
      <c r="T39" s="768" t="s">
        <v>21</v>
      </c>
      <c r="U39" s="769">
        <f t="shared" si="13"/>
        <v>100</v>
      </c>
      <c r="V39" s="768" t="s">
        <v>21</v>
      </c>
      <c r="W39" s="769">
        <f t="shared" si="14"/>
        <v>100</v>
      </c>
      <c r="X39" s="1808"/>
      <c r="Y39" s="3310"/>
      <c r="Z39" s="1809" t="str">
        <f t="shared" si="18"/>
        <v>市政基础设施</v>
      </c>
      <c r="AA39" s="1806">
        <f t="shared" si="15"/>
        <v>1</v>
      </c>
      <c r="AB39" s="1806">
        <f t="shared" si="16"/>
        <v>1</v>
      </c>
      <c r="AC39" s="1806">
        <f t="shared" si="17"/>
        <v>1</v>
      </c>
    </row>
    <row r="40" spans="1:29" ht="15">
      <c r="A40" s="471"/>
      <c r="B40" s="421" t="s">
        <v>2571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308"/>
      <c r="Q40" s="1805" t="str">
        <f t="shared" si="11"/>
        <v>房型</v>
      </c>
      <c r="R40" s="768" t="s">
        <v>21</v>
      </c>
      <c r="S40" s="769">
        <f t="shared" si="12"/>
        <v>100</v>
      </c>
      <c r="T40" s="768" t="s">
        <v>21</v>
      </c>
      <c r="U40" s="769">
        <f t="shared" si="13"/>
        <v>100</v>
      </c>
      <c r="V40" s="768" t="s">
        <v>21</v>
      </c>
      <c r="W40" s="769">
        <f t="shared" si="14"/>
        <v>100</v>
      </c>
      <c r="X40" s="1808"/>
      <c r="Y40" s="3310"/>
      <c r="Z40" s="1809" t="str">
        <f t="shared" si="18"/>
        <v>房型</v>
      </c>
      <c r="AA40" s="1806">
        <f t="shared" si="15"/>
        <v>1</v>
      </c>
      <c r="AB40" s="1806">
        <f t="shared" si="16"/>
        <v>1</v>
      </c>
      <c r="AC40" s="1806">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308"/>
      <c r="Q41" s="770" t="str">
        <f t="shared" si="11"/>
        <v>单套/主力户型建筑面积</v>
      </c>
      <c r="R41" s="771" t="s">
        <v>21</v>
      </c>
      <c r="S41" s="772">
        <f t="shared" si="12"/>
        <v>100</v>
      </c>
      <c r="T41" s="771" t="s">
        <v>21</v>
      </c>
      <c r="U41" s="772">
        <f t="shared" si="13"/>
        <v>100</v>
      </c>
      <c r="V41" s="771" t="s">
        <v>21</v>
      </c>
      <c r="W41" s="772">
        <f t="shared" si="14"/>
        <v>100</v>
      </c>
      <c r="X41" s="773"/>
      <c r="Y41" s="3310"/>
      <c r="Z41" s="774" t="str">
        <f t="shared" si="18"/>
        <v>单套/主力户型建筑面积</v>
      </c>
      <c r="AA41" s="1806">
        <f t="shared" si="15"/>
        <v>1</v>
      </c>
      <c r="AB41" s="1806">
        <f t="shared" si="16"/>
        <v>1</v>
      </c>
      <c r="AC41" s="1806">
        <f t="shared" si="17"/>
        <v>1</v>
      </c>
    </row>
    <row r="42" spans="1:29" ht="15">
      <c r="A42" s="471"/>
      <c r="B42" s="421" t="s">
        <v>2573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308"/>
      <c r="Q42" s="1805" t="str">
        <f t="shared" si="11"/>
        <v>内部装修</v>
      </c>
      <c r="R42" s="768" t="s">
        <v>21</v>
      </c>
      <c r="S42" s="769">
        <f t="shared" si="12"/>
        <v>100</v>
      </c>
      <c r="T42" s="768" t="s">
        <v>21</v>
      </c>
      <c r="U42" s="769">
        <f t="shared" si="13"/>
        <v>100</v>
      </c>
      <c r="V42" s="768" t="s">
        <v>21</v>
      </c>
      <c r="W42" s="769">
        <f t="shared" si="14"/>
        <v>100</v>
      </c>
      <c r="X42" s="1808"/>
      <c r="Y42" s="3310"/>
      <c r="Z42" s="1809" t="str">
        <f t="shared" si="18"/>
        <v>内部装修</v>
      </c>
      <c r="AA42" s="1806">
        <f t="shared" si="15"/>
        <v>1</v>
      </c>
      <c r="AB42" s="1806">
        <f t="shared" si="16"/>
        <v>1</v>
      </c>
      <c r="AC42" s="1806">
        <f t="shared" si="17"/>
        <v>1</v>
      </c>
    </row>
    <row r="43" spans="1:29" ht="15">
      <c r="A43" s="471"/>
      <c r="B43" s="421" t="s">
        <v>2574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308"/>
      <c r="Q43" s="1805" t="str">
        <f t="shared" si="11"/>
        <v>内部装修维护情况</v>
      </c>
      <c r="R43" s="768" t="s">
        <v>21</v>
      </c>
      <c r="S43" s="769">
        <f t="shared" si="12"/>
        <v>100</v>
      </c>
      <c r="T43" s="768" t="s">
        <v>21</v>
      </c>
      <c r="U43" s="769">
        <f t="shared" si="13"/>
        <v>100</v>
      </c>
      <c r="V43" s="768" t="s">
        <v>21</v>
      </c>
      <c r="W43" s="769">
        <f t="shared" si="14"/>
        <v>100</v>
      </c>
      <c r="X43" s="1808"/>
      <c r="Y43" s="3310"/>
      <c r="Z43" s="1809" t="str">
        <f t="shared" si="18"/>
        <v>内部装修维护情况</v>
      </c>
      <c r="AA43" s="1806">
        <f t="shared" si="15"/>
        <v>1</v>
      </c>
      <c r="AB43" s="1806">
        <f t="shared" si="16"/>
        <v>1</v>
      </c>
      <c r="AC43" s="1806">
        <f t="shared" si="17"/>
        <v>1</v>
      </c>
    </row>
    <row r="44" spans="1:29" s="116" customFormat="1" ht="15">
      <c r="A44" s="472"/>
      <c r="B44" s="1381">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308"/>
      <c r="Q44" s="1790">
        <f t="shared" si="11"/>
        <v>111</v>
      </c>
      <c r="R44" s="764" t="s">
        <v>21</v>
      </c>
      <c r="S44" s="765">
        <f t="shared" si="12"/>
        <v>100</v>
      </c>
      <c r="T44" s="764" t="s">
        <v>21</v>
      </c>
      <c r="U44" s="765">
        <f t="shared" si="13"/>
        <v>100</v>
      </c>
      <c r="V44" s="764" t="s">
        <v>21</v>
      </c>
      <c r="W44" s="765">
        <f t="shared" si="14"/>
        <v>100</v>
      </c>
      <c r="X44" s="766"/>
      <c r="Y44" s="3310"/>
      <c r="Z44" s="54">
        <f t="shared" si="18"/>
        <v>111</v>
      </c>
      <c r="AA44" s="767">
        <f t="shared" si="15"/>
        <v>1</v>
      </c>
      <c r="AB44" s="767">
        <f t="shared" si="16"/>
        <v>1</v>
      </c>
      <c r="AC44" s="767">
        <f t="shared" si="17"/>
        <v>1</v>
      </c>
    </row>
    <row r="45" spans="1:29" ht="15">
      <c r="A45" s="471"/>
      <c r="B45" s="1381">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308"/>
      <c r="Q45" s="1805">
        <f t="shared" si="11"/>
        <v>111</v>
      </c>
      <c r="R45" s="768" t="s">
        <v>21</v>
      </c>
      <c r="S45" s="769">
        <f t="shared" si="12"/>
        <v>100</v>
      </c>
      <c r="T45" s="768" t="s">
        <v>21</v>
      </c>
      <c r="U45" s="769">
        <f t="shared" si="13"/>
        <v>100</v>
      </c>
      <c r="V45" s="768" t="s">
        <v>21</v>
      </c>
      <c r="W45" s="769">
        <f t="shared" si="14"/>
        <v>100</v>
      </c>
      <c r="X45" s="1808"/>
      <c r="Y45" s="3310"/>
      <c r="Z45" s="1809">
        <f t="shared" si="18"/>
        <v>111</v>
      </c>
      <c r="AA45" s="1806">
        <f t="shared" si="15"/>
        <v>1</v>
      </c>
      <c r="AB45" s="1806">
        <f t="shared" si="16"/>
        <v>1</v>
      </c>
      <c r="AC45" s="1806">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309"/>
      <c r="Q46" s="1805">
        <f t="shared" si="11"/>
        <v>111</v>
      </c>
      <c r="R46" s="768" t="s">
        <v>20</v>
      </c>
      <c r="S46" s="769">
        <f t="shared" si="12"/>
        <v>100</v>
      </c>
      <c r="T46" s="768" t="s">
        <v>20</v>
      </c>
      <c r="U46" s="769">
        <f t="shared" si="13"/>
        <v>100</v>
      </c>
      <c r="V46" s="768" t="s">
        <v>20</v>
      </c>
      <c r="W46" s="769">
        <f t="shared" si="14"/>
        <v>100</v>
      </c>
      <c r="X46" s="1808"/>
      <c r="Y46" s="3311"/>
      <c r="Z46" s="1809">
        <f t="shared" si="18"/>
        <v>111</v>
      </c>
      <c r="AA46" s="1806">
        <f t="shared" si="15"/>
        <v>1</v>
      </c>
      <c r="AB46" s="1806">
        <f t="shared" si="16"/>
        <v>1</v>
      </c>
      <c r="AC46" s="1806">
        <f t="shared" si="17"/>
        <v>1</v>
      </c>
    </row>
    <row r="47" spans="1:29" ht="15">
      <c r="A47" s="478" t="s">
        <v>2575</v>
      </c>
      <c r="B47" s="479"/>
      <c r="C47" s="1402" t="s">
        <v>19</v>
      </c>
      <c r="D47" s="1403"/>
      <c r="E47" s="1404"/>
      <c r="F47" s="1405"/>
      <c r="G47" s="1406"/>
      <c r="H47" s="1407"/>
      <c r="I47" s="1404"/>
      <c r="J47" s="1407"/>
      <c r="K47" s="2614"/>
      <c r="L47" s="1140"/>
      <c r="M47" s="1141"/>
      <c r="N47" s="1128"/>
      <c r="O47" s="1141"/>
      <c r="P47" s="3312" t="str">
        <f>A47</f>
        <v>成交单价（元/平方米）</v>
      </c>
      <c r="Q47" s="3312"/>
      <c r="R47" s="3313">
        <f>E47</f>
        <v>0</v>
      </c>
      <c r="S47" s="3313"/>
      <c r="T47" s="3313">
        <f>G47</f>
        <v>0</v>
      </c>
      <c r="U47" s="3313"/>
      <c r="V47" s="3313">
        <f>I47</f>
        <v>0</v>
      </c>
      <c r="W47" s="3313"/>
      <c r="X47" s="753"/>
      <c r="Y47" s="775"/>
      <c r="Z47" s="753"/>
      <c r="AA47" s="753"/>
      <c r="AB47" s="753"/>
      <c r="AC47" s="753"/>
    </row>
    <row r="48" spans="1:29" ht="15.75" thickBot="1">
      <c r="A48" s="485" t="s">
        <v>2576</v>
      </c>
      <c r="B48" s="486"/>
      <c r="C48" s="1408" t="e">
        <f>R49</f>
        <v>#DIV/0!</v>
      </c>
      <c r="D48" s="1409"/>
      <c r="E48" s="1410" t="e">
        <f>R48</f>
        <v>#DIV/0!</v>
      </c>
      <c r="F48" s="1410"/>
      <c r="G48" s="1408" t="e">
        <f>T48</f>
        <v>#DIV/0!</v>
      </c>
      <c r="H48" s="1409"/>
      <c r="I48" s="1410" t="e">
        <f>V48</f>
        <v>#DIV/0!</v>
      </c>
      <c r="J48" s="1409"/>
      <c r="K48" s="2615"/>
      <c r="L48" s="1140"/>
      <c r="M48" s="1141"/>
      <c r="N48" s="1141"/>
      <c r="O48" s="1141"/>
      <c r="P48" s="3312" t="str">
        <f>A48</f>
        <v>比较价值（元/平方米）</v>
      </c>
      <c r="Q48" s="3312"/>
      <c r="R48" s="3313" t="e">
        <f>IF(F1="售价",ROUND(PRODUCT(R47,AA7:AA46),0),ROUND(PRODUCT(R47,AA7:AA46),1))</f>
        <v>#DIV/0!</v>
      </c>
      <c r="S48" s="3313"/>
      <c r="T48" s="3313" t="e">
        <f>IF(F1="售价",ROUND(PRODUCT(T47,AB7:AB46),0),ROUND(PRODUCT(T47,AB7:AB46),1))</f>
        <v>#DIV/0!</v>
      </c>
      <c r="U48" s="3313"/>
      <c r="V48" s="3313" t="e">
        <f>IF(F1="售价",ROUND(PRODUCT(V47,AC7:AC46),0),ROUND(PRODUCT(V47,AC7:AC46),1))</f>
        <v>#DIV/0!</v>
      </c>
      <c r="W48" s="3313"/>
      <c r="X48" s="753"/>
      <c r="Y48" s="753"/>
      <c r="Z48" s="753"/>
      <c r="AA48" s="753"/>
      <c r="AB48" s="753"/>
      <c r="AC48" s="753"/>
    </row>
    <row r="49" spans="1:29" ht="15.75" thickBot="1">
      <c r="A49" s="491" t="s">
        <v>2577</v>
      </c>
      <c r="B49" s="492"/>
      <c r="C49" s="1411" t="e">
        <f>R49</f>
        <v>#DIV/0!</v>
      </c>
      <c r="D49" s="1412"/>
      <c r="E49" s="1412"/>
      <c r="F49" s="1412"/>
      <c r="G49" s="1412"/>
      <c r="H49" s="1412"/>
      <c r="I49" s="1412"/>
      <c r="J49" s="1412"/>
      <c r="K49" s="2616"/>
      <c r="L49" s="1140"/>
      <c r="M49" s="1141"/>
      <c r="N49" s="1141"/>
      <c r="O49" s="1141"/>
      <c r="P49" s="3314" t="str">
        <f>A49</f>
        <v>估价对象XX用房的比较价值（楼面单价，元/平方米）</v>
      </c>
      <c r="Q49" s="3315"/>
      <c r="R49" s="3316" t="e">
        <f>IF(F1="售价",ROUND(AVERAGE(R48:V48),0),ROUND(AVERAGE(R48:V48),1))</f>
        <v>#DIV/0!</v>
      </c>
      <c r="S49" s="3316"/>
      <c r="T49" s="3316"/>
      <c r="U49" s="3316"/>
      <c r="V49" s="3316"/>
      <c r="W49" s="3316"/>
      <c r="X49" s="753"/>
      <c r="Y49" s="753"/>
      <c r="Z49" s="753"/>
      <c r="AA49" s="753"/>
      <c r="AB49" s="753"/>
      <c r="AC49" s="753"/>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57" t="s">
        <v>2581</v>
      </c>
      <c r="B57" s="753"/>
      <c r="C57" s="758"/>
      <c r="D57" s="758"/>
      <c r="E57" s="758"/>
      <c r="F57" s="759"/>
      <c r="G57" s="759"/>
      <c r="H57" s="758"/>
      <c r="I57" s="758"/>
      <c r="J57" s="758"/>
      <c r="K57" s="1157"/>
      <c r="L57" s="1158"/>
      <c r="M57" s="1156"/>
      <c r="N57" s="1156"/>
      <c r="O57" s="1156"/>
      <c r="P57" s="2619"/>
      <c r="Q57" s="503"/>
    </row>
    <row r="58" spans="1:29" s="507" customFormat="1" ht="15">
      <c r="A58" s="504" t="s">
        <v>2582</v>
      </c>
      <c r="B58" s="505"/>
      <c r="C58" s="1571" t="str">
        <f>YEAR(C7)&amp;"-"&amp;MONTH(C7)</f>
        <v>2018-4</v>
      </c>
      <c r="D58" s="1570">
        <f>EDATE(C58,-1)</f>
        <v>43160</v>
      </c>
      <c r="E58" s="1570">
        <f>EDATE(D58,-1)</f>
        <v>43132</v>
      </c>
      <c r="F58" s="1570">
        <f t="shared" ref="F58:O58" si="19">EDATE(E58,-1)</f>
        <v>43101</v>
      </c>
      <c r="G58" s="1570">
        <f t="shared" si="19"/>
        <v>43070</v>
      </c>
      <c r="H58" s="1570">
        <f t="shared" si="19"/>
        <v>43040</v>
      </c>
      <c r="I58" s="1570">
        <f t="shared" si="19"/>
        <v>43009</v>
      </c>
      <c r="J58" s="1570">
        <f t="shared" si="19"/>
        <v>42979</v>
      </c>
      <c r="K58" s="1570">
        <f t="shared" si="19"/>
        <v>42948</v>
      </c>
      <c r="L58" s="1570">
        <f t="shared" si="19"/>
        <v>42917</v>
      </c>
      <c r="M58" s="1570">
        <f t="shared" si="19"/>
        <v>42887</v>
      </c>
      <c r="N58" s="1570">
        <f t="shared" si="19"/>
        <v>42856</v>
      </c>
      <c r="O58" s="1570">
        <f t="shared" si="19"/>
        <v>42826</v>
      </c>
      <c r="P58" s="1565"/>
    </row>
    <row r="59" spans="1:29" s="116" customFormat="1" ht="15">
      <c r="A59" s="508"/>
      <c r="B59" s="2620"/>
      <c r="C59" s="1568">
        <v>100</v>
      </c>
      <c r="D59" s="510"/>
      <c r="E59" s="511"/>
      <c r="F59" s="511"/>
      <c r="G59" s="511"/>
      <c r="H59" s="511"/>
      <c r="I59" s="511"/>
      <c r="J59" s="511"/>
      <c r="K59" s="511"/>
      <c r="L59" s="511"/>
      <c r="M59" s="512"/>
      <c r="N59" s="511"/>
      <c r="O59" s="512"/>
      <c r="P59" s="2621"/>
    </row>
    <row r="60" spans="1:29" s="116" customFormat="1" ht="15.75" thickBot="1">
      <c r="A60" s="514" t="s">
        <v>2583</v>
      </c>
      <c r="B60" s="515"/>
      <c r="C60" s="516"/>
      <c r="D60" s="517"/>
      <c r="E60" s="517"/>
      <c r="F60" s="517"/>
      <c r="G60" s="517"/>
      <c r="H60" s="517"/>
      <c r="I60" s="517"/>
      <c r="J60" s="517"/>
      <c r="K60" s="517"/>
      <c r="L60" s="517"/>
      <c r="M60" s="518"/>
      <c r="N60" s="517"/>
      <c r="O60" s="518"/>
      <c r="P60" s="2621"/>
      <c r="Q60" s="503"/>
    </row>
    <row r="61" spans="1:29" s="116" customFormat="1" ht="15">
      <c r="A61" s="520" t="s">
        <v>2584</v>
      </c>
      <c r="B61" s="509"/>
      <c r="C61" s="521" t="s">
        <v>2585</v>
      </c>
      <c r="D61" s="522"/>
      <c r="E61" s="522"/>
      <c r="F61" s="522"/>
      <c r="G61" s="522"/>
      <c r="H61" s="522"/>
      <c r="I61" s="522"/>
      <c r="J61" s="522"/>
      <c r="K61" s="522"/>
      <c r="L61" s="523"/>
      <c r="M61" s="524"/>
      <c r="N61" s="1148"/>
      <c r="O61" s="1148"/>
      <c r="P61" s="2622"/>
      <c r="Q61" s="503"/>
    </row>
    <row r="62" spans="1:29" s="116"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2586</v>
      </c>
      <c r="B63" s="527" t="s">
        <v>2552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2095</v>
      </c>
      <c r="C82" s="538" t="s">
        <v>2602</v>
      </c>
      <c r="D82" s="538" t="s">
        <v>2603</v>
      </c>
      <c r="E82" s="538" t="s">
        <v>2604</v>
      </c>
      <c r="F82" s="538" t="s">
        <v>2605</v>
      </c>
      <c r="G82" s="538" t="s">
        <v>2606</v>
      </c>
      <c r="H82" s="538"/>
      <c r="I82" s="538"/>
      <c r="J82" s="538"/>
      <c r="K82" s="538"/>
      <c r="L82" s="538"/>
      <c r="M82" s="1377"/>
      <c r="N82" s="1150"/>
      <c r="O82" s="1150"/>
      <c r="P82" s="2623"/>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0"/>
      <c r="O83" s="1150"/>
      <c r="P83" s="2623"/>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6" customFormat="1" ht="15.75" thickTop="1">
      <c r="A86" s="578"/>
      <c r="B86" s="537" t="s">
        <v>2608</v>
      </c>
      <c r="C86" s="553"/>
      <c r="D86" s="553"/>
      <c r="E86" s="553"/>
      <c r="F86" s="553"/>
      <c r="G86" s="553"/>
      <c r="H86" s="553"/>
      <c r="I86" s="553"/>
      <c r="J86" s="553"/>
      <c r="K86" s="553"/>
      <c r="L86" s="579"/>
      <c r="M86" s="580"/>
      <c r="N86" s="1148"/>
      <c r="O86" s="1148"/>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6" customFormat="1" ht="15.75" thickTop="1">
      <c r="A88" s="578"/>
      <c r="B88" s="537" t="s">
        <v>2609</v>
      </c>
      <c r="C88" s="553"/>
      <c r="D88" s="553"/>
      <c r="E88" s="553"/>
      <c r="F88" s="2628"/>
      <c r="G88" s="553"/>
      <c r="H88" s="553"/>
      <c r="I88" s="553"/>
      <c r="J88" s="553"/>
      <c r="K88" s="553"/>
      <c r="L88" s="553"/>
      <c r="M88" s="580"/>
      <c r="N88" s="1148"/>
      <c r="O88" s="1148"/>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2561</v>
      </c>
      <c r="B100" s="527" t="s">
        <v>2610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2612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2613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2614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1994</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2615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2616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2617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2572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2618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5" t="s">
        <v>2623</v>
      </c>
      <c r="D138" s="145" t="s">
        <v>2624</v>
      </c>
      <c r="E138" s="2638" t="s">
        <v>2625</v>
      </c>
      <c r="F138" s="2639" t="s">
        <v>2626</v>
      </c>
      <c r="G138" s="145" t="s">
        <v>2624</v>
      </c>
      <c r="H138" s="146" t="s">
        <v>2625</v>
      </c>
      <c r="I138" s="2640"/>
      <c r="J138" s="145" t="s">
        <v>2627</v>
      </c>
      <c r="K138" s="146" t="s">
        <v>2628</v>
      </c>
    </row>
    <row r="139" spans="1:17" ht="15">
      <c r="B139" s="1081">
        <v>6</v>
      </c>
      <c r="C139" s="1082">
        <v>96</v>
      </c>
      <c r="D139" s="2641" t="s">
        <v>2629</v>
      </c>
      <c r="E139" s="1083">
        <v>100</v>
      </c>
      <c r="F139" s="1084">
        <v>102.5</v>
      </c>
      <c r="G139" s="2641" t="s">
        <v>2629</v>
      </c>
      <c r="H139" s="1085">
        <v>105</v>
      </c>
      <c r="I139" s="2642" t="s">
        <v>2630</v>
      </c>
      <c r="J139" s="1082">
        <v>20</v>
      </c>
      <c r="K139" s="1086">
        <f>C145/(J139-2)</f>
        <v>4.0555555555555553E-3</v>
      </c>
    </row>
    <row r="140" spans="1:17" ht="15">
      <c r="B140" s="1087">
        <v>5</v>
      </c>
      <c r="C140" s="1088">
        <v>100</v>
      </c>
      <c r="D140" s="1088"/>
      <c r="E140" s="1089"/>
      <c r="F140" s="1090">
        <v>102</v>
      </c>
      <c r="G140" s="1088"/>
      <c r="H140" s="1091"/>
      <c r="I140" s="2643" t="s">
        <v>2631</v>
      </c>
      <c r="J140" s="314">
        <f>ROUNDUP((J139-1)/2,0)</f>
        <v>10</v>
      </c>
      <c r="K140" s="1092">
        <v>100</v>
      </c>
    </row>
    <row r="141" spans="1:17" ht="15">
      <c r="B141" s="1087">
        <v>4</v>
      </c>
      <c r="C141" s="1088">
        <v>102</v>
      </c>
      <c r="D141" s="1088"/>
      <c r="E141" s="1089"/>
      <c r="F141" s="1090">
        <v>101.5</v>
      </c>
      <c r="G141" s="1088"/>
      <c r="H141" s="1091"/>
      <c r="I141" s="2643" t="s">
        <v>2632</v>
      </c>
      <c r="J141" s="314">
        <v>1</v>
      </c>
      <c r="K141" s="1093">
        <f>ROUND(100+(J141-J140)*K139*100,1)</f>
        <v>96.4</v>
      </c>
    </row>
    <row r="142" spans="1:17" ht="15">
      <c r="B142" s="1087">
        <v>3</v>
      </c>
      <c r="C142" s="1088">
        <v>103</v>
      </c>
      <c r="D142" s="1088"/>
      <c r="E142" s="1089"/>
      <c r="F142" s="1090">
        <v>101</v>
      </c>
      <c r="G142" s="1088"/>
      <c r="H142" s="1091"/>
      <c r="I142" s="2643" t="s">
        <v>2633</v>
      </c>
      <c r="J142" s="314">
        <f>J139</f>
        <v>20</v>
      </c>
      <c r="K142" s="1094">
        <v>95</v>
      </c>
    </row>
    <row r="143" spans="1:17" ht="15">
      <c r="B143" s="1087">
        <v>2</v>
      </c>
      <c r="C143" s="1088">
        <v>100</v>
      </c>
      <c r="D143" s="1088"/>
      <c r="E143" s="1089"/>
      <c r="F143" s="1090">
        <v>100.5</v>
      </c>
      <c r="G143" s="1088"/>
      <c r="H143" s="1091"/>
      <c r="I143" s="2643" t="s">
        <v>2634</v>
      </c>
      <c r="J143" s="1088">
        <v>15</v>
      </c>
      <c r="K143" s="1093">
        <f>ROUND(100+(J143-J140)*K139*100,1)</f>
        <v>102</v>
      </c>
    </row>
    <row r="144" spans="1:17" ht="15">
      <c r="B144" s="1087">
        <v>1</v>
      </c>
      <c r="C144" s="1088">
        <v>98</v>
      </c>
      <c r="D144" s="2644" t="s">
        <v>2635</v>
      </c>
      <c r="E144" s="1089">
        <v>102</v>
      </c>
      <c r="F144" s="1095">
        <v>100</v>
      </c>
      <c r="G144" s="2644" t="s">
        <v>2635</v>
      </c>
      <c r="H144" s="1091">
        <v>105</v>
      </c>
      <c r="I144" s="2643" t="s">
        <v>2634</v>
      </c>
      <c r="J144" s="1088">
        <v>18</v>
      </c>
      <c r="K144" s="1093">
        <f>ROUND(100+(J144-J140)*K139*100,1)</f>
        <v>103.2</v>
      </c>
    </row>
    <row r="145" spans="2:11" ht="15.75" thickBot="1">
      <c r="B145" s="2645" t="s">
        <v>2636</v>
      </c>
      <c r="C145" s="1096">
        <f>ROUND(MAX(C139:C144)/MIN(C139:C144)-1,3)</f>
        <v>7.2999999999999995E-2</v>
      </c>
      <c r="D145" s="1097"/>
      <c r="E145" s="1097"/>
      <c r="F145" s="2646" t="s">
        <v>2637</v>
      </c>
      <c r="G145" s="2647"/>
      <c r="H145" s="2648"/>
      <c r="I145" s="2649" t="s">
        <v>2634</v>
      </c>
      <c r="J145" s="1098">
        <v>8</v>
      </c>
      <c r="K145" s="1099">
        <f>ROUND(100+(J145-J140)*K139*100,1)</f>
        <v>99.2</v>
      </c>
    </row>
    <row r="147" spans="2:11">
      <c r="B147" s="2630" t="s">
        <v>2638</v>
      </c>
    </row>
    <row r="148" spans="2:11">
      <c r="B148" s="263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2526</v>
      </c>
      <c r="B1" s="2662" t="s">
        <v>2684</v>
      </c>
      <c r="C1" s="1615" t="s">
        <v>2528</v>
      </c>
      <c r="D1" s="1616"/>
      <c r="E1" s="1625"/>
      <c r="F1" s="2577"/>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IF(C2="——",ROUND(C50*D3/10000,0),ROUND(C50*D3/10000,0)-D2)</f>
        <v>#DIV/0!</v>
      </c>
      <c r="C2" s="2579"/>
      <c r="D2" s="1360" t="e">
        <f ca="1">SUMIF(INDIRECT("'"&amp;F2&amp;"'"&amp;"!A:A"),"承租人权益价值",INDIRECT("'"&amp;F2&amp;"'"&amp;"!c:c"))</f>
        <v>#REF!</v>
      </c>
      <c r="E2" s="2580" t="s">
        <v>2326</v>
      </c>
      <c r="F2" s="2581"/>
      <c r="G2" s="1122"/>
      <c r="H2" s="1122"/>
      <c r="I2" s="1122"/>
      <c r="J2" s="1122"/>
      <c r="K2" s="1122"/>
      <c r="L2" s="1125"/>
      <c r="M2" s="1126"/>
      <c r="N2" s="1126"/>
      <c r="O2" s="1126"/>
      <c r="P2" s="762"/>
      <c r="Q2" s="762"/>
      <c r="R2" s="762"/>
      <c r="S2" s="762"/>
      <c r="T2" s="762"/>
      <c r="U2" s="762"/>
      <c r="V2" s="762"/>
      <c r="W2" s="762"/>
      <c r="X2" s="762"/>
      <c r="Y2" s="762"/>
      <c r="Z2" s="762"/>
      <c r="AA2" s="762"/>
      <c r="AB2" s="762"/>
      <c r="AC2" s="763"/>
    </row>
    <row r="3" spans="1:29" s="397" customFormat="1" ht="28.5" customHeight="1" thickBot="1">
      <c r="A3" s="246" t="s">
        <v>2327</v>
      </c>
      <c r="B3" s="608" t="e">
        <f ca="1">IF(C2="——",C50,ROUND(B2*10000/D3,0))</f>
        <v>#DIV/0!</v>
      </c>
      <c r="C3" s="399" t="s">
        <v>2642</v>
      </c>
      <c r="D3" s="398">
        <f>IF(D1="",'数据-汇总表'!E3,SUMIF('数据-汇总表'!$C19:$C33,D1,'数据-汇总表'!$E19:$E33))</f>
        <v>14099.390000000001</v>
      </c>
      <c r="E3" s="2656"/>
      <c r="F3" s="1123"/>
      <c r="G3" s="1122"/>
      <c r="H3" s="1122"/>
      <c r="I3" s="1122"/>
      <c r="J3" s="1122"/>
      <c r="K3" s="1124"/>
      <c r="L3" s="1125"/>
      <c r="M3" s="1126"/>
      <c r="N3" s="1126"/>
      <c r="O3" s="1126"/>
      <c r="P3" s="762"/>
      <c r="Q3" s="762"/>
      <c r="R3" s="762"/>
      <c r="S3" s="762"/>
      <c r="T3" s="762"/>
      <c r="U3" s="762"/>
      <c r="V3" s="762"/>
      <c r="W3" s="762"/>
      <c r="X3" s="762"/>
      <c r="Y3" s="762"/>
      <c r="Z3" s="762"/>
      <c r="AA3" s="762"/>
      <c r="AB3" s="762"/>
      <c r="AC3" s="763"/>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357" t="s">
        <v>2649</v>
      </c>
      <c r="Q4" s="3358"/>
      <c r="R4" s="3352" t="s">
        <v>2645</v>
      </c>
      <c r="S4" s="3353"/>
      <c r="T4" s="3352" t="s">
        <v>2646</v>
      </c>
      <c r="U4" s="3353"/>
      <c r="V4" s="3361" t="s">
        <v>2647</v>
      </c>
      <c r="W4" s="3361"/>
      <c r="X4" s="2663"/>
      <c r="Y4" s="3352" t="s">
        <v>2649</v>
      </c>
      <c r="Z4" s="3353"/>
      <c r="AA4" s="3351" t="s">
        <v>2645</v>
      </c>
      <c r="AB4" s="3351" t="s">
        <v>2646</v>
      </c>
      <c r="AC4" s="3354" t="s">
        <v>2647</v>
      </c>
    </row>
    <row r="5" spans="1:29" ht="15">
      <c r="A5" s="403"/>
      <c r="B5" s="404"/>
      <c r="C5" s="3348" t="s">
        <v>2540</v>
      </c>
      <c r="D5" s="3284"/>
      <c r="E5" s="3347" t="s">
        <v>2541</v>
      </c>
      <c r="F5" s="3282"/>
      <c r="G5" s="3348" t="s">
        <v>2542</v>
      </c>
      <c r="H5" s="3284"/>
      <c r="I5" s="3348" t="s">
        <v>2543</v>
      </c>
      <c r="J5" s="3284"/>
      <c r="K5" s="609"/>
      <c r="L5" s="1127"/>
      <c r="M5" s="1128"/>
      <c r="N5" s="1128"/>
      <c r="O5" s="1128"/>
      <c r="P5" s="3359"/>
      <c r="Q5" s="3297"/>
      <c r="R5" s="3279"/>
      <c r="S5" s="3280"/>
      <c r="T5" s="3279"/>
      <c r="U5" s="3280"/>
      <c r="V5" s="3274"/>
      <c r="W5" s="3274"/>
      <c r="X5" s="1808"/>
      <c r="Y5" s="3279"/>
      <c r="Z5" s="3280"/>
      <c r="AA5" s="3272"/>
      <c r="AB5" s="3272"/>
      <c r="AC5" s="3355"/>
    </row>
    <row r="6" spans="1:29" ht="15.75" thickBot="1">
      <c r="A6" s="405"/>
      <c r="B6" s="406"/>
      <c r="C6" s="3349" t="s">
        <v>2544</v>
      </c>
      <c r="D6" s="3286"/>
      <c r="E6" s="3350" t="s">
        <v>2544</v>
      </c>
      <c r="F6" s="3288"/>
      <c r="G6" s="3349" t="s">
        <v>2544</v>
      </c>
      <c r="H6" s="3286"/>
      <c r="I6" s="3349" t="s">
        <v>2544</v>
      </c>
      <c r="J6" s="3286"/>
      <c r="K6" s="609" t="s">
        <v>2545</v>
      </c>
      <c r="L6" s="1127"/>
      <c r="M6" s="1128"/>
      <c r="N6" s="1128"/>
      <c r="O6" s="1128"/>
      <c r="P6" s="3360"/>
      <c r="Q6" s="3299"/>
      <c r="R6" s="3279"/>
      <c r="S6" s="3280"/>
      <c r="T6" s="3300"/>
      <c r="U6" s="3301"/>
      <c r="V6" s="3274"/>
      <c r="W6" s="3274"/>
      <c r="X6" s="1808"/>
      <c r="Y6" s="3300"/>
      <c r="Z6" s="3301"/>
      <c r="AA6" s="3273"/>
      <c r="AB6" s="3273"/>
      <c r="AC6" s="3356"/>
    </row>
    <row r="7" spans="1:29" s="116" customFormat="1" ht="15.75" thickBot="1">
      <c r="A7" s="407" t="s">
        <v>2546</v>
      </c>
      <c r="B7" s="408"/>
      <c r="C7" s="409">
        <f>'数据-取费表'!B2</f>
        <v>43209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62" t="s">
        <v>2547</v>
      </c>
      <c r="Q7" s="3302"/>
      <c r="R7" s="764" t="s">
        <v>17</v>
      </c>
      <c r="S7" s="765">
        <f t="shared" ref="S7:S15" si="0">F7</f>
        <v>0</v>
      </c>
      <c r="T7" s="764" t="s">
        <v>17</v>
      </c>
      <c r="U7" s="765">
        <f t="shared" ref="U7:U15" si="1">H7</f>
        <v>0</v>
      </c>
      <c r="V7" s="764" t="s">
        <v>17</v>
      </c>
      <c r="W7" s="765">
        <f t="shared" ref="W7:W15" si="2">J7</f>
        <v>0</v>
      </c>
      <c r="X7" s="766"/>
      <c r="Y7" s="3275" t="s">
        <v>2547</v>
      </c>
      <c r="Z7" s="3276"/>
      <c r="AA7" s="767" t="e">
        <f>D7/F7</f>
        <v>#DIV/0!</v>
      </c>
      <c r="AB7" s="767" t="e">
        <f>D7/H7</f>
        <v>#DIV/0!</v>
      </c>
      <c r="AC7" s="2664"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62" t="s">
        <v>2550</v>
      </c>
      <c r="Q8" s="3276"/>
      <c r="R8" s="764" t="s">
        <v>17</v>
      </c>
      <c r="S8" s="765">
        <f t="shared" si="0"/>
        <v>0</v>
      </c>
      <c r="T8" s="764" t="s">
        <v>17</v>
      </c>
      <c r="U8" s="765">
        <f t="shared" si="1"/>
        <v>0</v>
      </c>
      <c r="V8" s="764" t="s">
        <v>17</v>
      </c>
      <c r="W8" s="765">
        <f t="shared" si="2"/>
        <v>0</v>
      </c>
      <c r="X8" s="766"/>
      <c r="Y8" s="3275" t="s">
        <v>2550</v>
      </c>
      <c r="Z8" s="3276"/>
      <c r="AA8" s="767" t="e">
        <f t="shared" ref="AA8:AA47" si="3">D8/F8</f>
        <v>#DIV/0!</v>
      </c>
      <c r="AB8" s="767" t="e">
        <f t="shared" ref="AB8:AB47" si="4">D8/H8</f>
        <v>#DIV/0!</v>
      </c>
      <c r="AC8" s="2664" t="e">
        <f t="shared" ref="AC8:AC47" si="5">D8/J8</f>
        <v>#DIV/0!</v>
      </c>
    </row>
    <row r="9" spans="1:29" s="116" customFormat="1">
      <c r="A9" s="414" t="s">
        <v>2551</v>
      </c>
      <c r="B9" s="70" t="s">
        <v>2552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89"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2664">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89"/>
      <c r="Q10" s="1790" t="str">
        <f t="shared" si="6"/>
        <v>土地使用年限（年）</v>
      </c>
      <c r="R10" s="764" t="s">
        <v>17</v>
      </c>
      <c r="S10" s="765">
        <f t="shared" si="0"/>
        <v>100</v>
      </c>
      <c r="T10" s="764" t="s">
        <v>17</v>
      </c>
      <c r="U10" s="765">
        <f t="shared" si="1"/>
        <v>100</v>
      </c>
      <c r="V10" s="764" t="s">
        <v>17</v>
      </c>
      <c r="W10" s="765">
        <f t="shared" si="2"/>
        <v>100</v>
      </c>
      <c r="X10" s="766"/>
      <c r="Y10" s="3151"/>
      <c r="Z10" s="54" t="str">
        <f t="shared" si="7"/>
        <v>土地使用年限（年）</v>
      </c>
      <c r="AA10" s="767">
        <f t="shared" si="3"/>
        <v>1</v>
      </c>
      <c r="AB10" s="767">
        <f t="shared" si="4"/>
        <v>1</v>
      </c>
      <c r="AC10" s="2664">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89"/>
      <c r="Q11" s="1790" t="str">
        <f t="shared" si="6"/>
        <v>容积率</v>
      </c>
      <c r="R11" s="764" t="s">
        <v>17</v>
      </c>
      <c r="S11" s="765" t="e">
        <f t="shared" si="0"/>
        <v>#N/A</v>
      </c>
      <c r="T11" s="764" t="s">
        <v>17</v>
      </c>
      <c r="U11" s="765" t="e">
        <f t="shared" si="1"/>
        <v>#N/A</v>
      </c>
      <c r="V11" s="764" t="s">
        <v>17</v>
      </c>
      <c r="W11" s="765" t="e">
        <f t="shared" si="2"/>
        <v>#N/A</v>
      </c>
      <c r="X11" s="766"/>
      <c r="Y11" s="3151"/>
      <c r="Z11" s="54" t="str">
        <f t="shared" si="7"/>
        <v>容积率</v>
      </c>
      <c r="AA11" s="767" t="e">
        <f t="shared" si="3"/>
        <v>#N/A</v>
      </c>
      <c r="AB11" s="767"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89"/>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89"/>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2664">
        <f t="shared" si="5"/>
        <v>1</v>
      </c>
    </row>
    <row r="14" spans="1:29" ht="15.75" thickBot="1">
      <c r="A14" s="435"/>
      <c r="B14" s="2595">
        <v>111</v>
      </c>
      <c r="C14" s="436"/>
      <c r="D14" s="437">
        <v>100</v>
      </c>
      <c r="E14" s="626"/>
      <c r="F14" s="437">
        <f>SUMIF(75:75,E14,76:76)-SUMIF(75:75,C14,76:76)+100</f>
        <v>100</v>
      </c>
      <c r="G14" s="2665"/>
      <c r="H14" s="437">
        <f>SUMIF(75:75,G14,76:76)-SUMIF(75:75,C14,76:76)+100</f>
        <v>100</v>
      </c>
      <c r="I14" s="431"/>
      <c r="J14" s="437">
        <f>SUMIF(75:75,I14,76:76)-SUMIF(75:75,C14,76:76)+100</f>
        <v>100</v>
      </c>
      <c r="K14" s="612"/>
      <c r="L14" s="1137"/>
      <c r="M14" s="1128"/>
      <c r="N14" s="1128"/>
      <c r="O14" s="1128"/>
      <c r="P14" s="3289"/>
      <c r="Q14" s="1790">
        <f t="shared" si="6"/>
        <v>111</v>
      </c>
      <c r="R14" s="764" t="s">
        <v>17</v>
      </c>
      <c r="S14" s="765">
        <f t="shared" si="0"/>
        <v>100</v>
      </c>
      <c r="T14" s="764" t="s">
        <v>17</v>
      </c>
      <c r="U14" s="765">
        <f t="shared" si="1"/>
        <v>100</v>
      </c>
      <c r="V14" s="764" t="s">
        <v>17</v>
      </c>
      <c r="W14" s="765">
        <f t="shared" si="2"/>
        <v>100</v>
      </c>
      <c r="X14" s="766"/>
      <c r="Y14" s="3151"/>
      <c r="Z14" s="54">
        <f t="shared" si="7"/>
        <v>111</v>
      </c>
      <c r="AA14" s="767">
        <f t="shared" si="3"/>
        <v>1</v>
      </c>
      <c r="AB14" s="767">
        <f t="shared" si="4"/>
        <v>1</v>
      </c>
      <c r="AC14" s="2664">
        <f t="shared" si="5"/>
        <v>1</v>
      </c>
    </row>
    <row r="15" spans="1:29" ht="71.25">
      <c r="A15" s="439" t="s">
        <v>2557</v>
      </c>
      <c r="B15" s="627" t="s">
        <v>2685</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03" t="s">
        <v>2558</v>
      </c>
      <c r="Q15" s="1805" t="str">
        <f t="shared" si="6"/>
        <v>办公集聚程度</v>
      </c>
      <c r="R15" s="768" t="s">
        <v>17</v>
      </c>
      <c r="S15" s="769">
        <f t="shared" si="0"/>
        <v>100</v>
      </c>
      <c r="T15" s="768" t="s">
        <v>17</v>
      </c>
      <c r="U15" s="769">
        <f t="shared" si="1"/>
        <v>100</v>
      </c>
      <c r="V15" s="768" t="s">
        <v>17</v>
      </c>
      <c r="W15" s="769">
        <f t="shared" si="2"/>
        <v>100</v>
      </c>
      <c r="X15" s="1808"/>
      <c r="Y15" s="3305" t="s">
        <v>2558</v>
      </c>
      <c r="Z15" s="1809" t="str">
        <f t="shared" si="7"/>
        <v>办公集聚程度</v>
      </c>
      <c r="AA15" s="1806">
        <f t="shared" si="3"/>
        <v>1</v>
      </c>
      <c r="AB15" s="1806">
        <f t="shared" si="4"/>
        <v>1</v>
      </c>
      <c r="AC15" s="2667">
        <f t="shared" si="5"/>
        <v>1</v>
      </c>
    </row>
    <row r="16" spans="1:29" ht="15">
      <c r="A16" s="427"/>
      <c r="B16" s="628"/>
      <c r="C16" s="2604"/>
      <c r="D16" s="447"/>
      <c r="E16" s="446"/>
      <c r="F16" s="447"/>
      <c r="G16" s="2604"/>
      <c r="H16" s="449"/>
      <c r="I16" s="446"/>
      <c r="J16" s="447"/>
      <c r="K16" s="614"/>
      <c r="L16" s="1137"/>
      <c r="M16" s="1128"/>
      <c r="N16" s="1128"/>
      <c r="O16" s="1128"/>
      <c r="P16" s="3304"/>
      <c r="Q16" s="1805"/>
      <c r="R16" s="768"/>
      <c r="S16" s="769"/>
      <c r="T16" s="768"/>
      <c r="U16" s="769"/>
      <c r="V16" s="768"/>
      <c r="W16" s="769"/>
      <c r="X16" s="1808"/>
      <c r="Y16" s="3306"/>
      <c r="Z16" s="1809"/>
      <c r="AA16" s="1806">
        <v>1</v>
      </c>
      <c r="AB16" s="1806">
        <v>1</v>
      </c>
      <c r="AC16" s="2667">
        <v>1</v>
      </c>
    </row>
    <row r="17" spans="1:29" ht="71.25">
      <c r="A17" s="427"/>
      <c r="B17" s="629" t="s">
        <v>2094</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04"/>
      <c r="Q17" s="1805" t="str">
        <f>B17</f>
        <v>交通便捷度</v>
      </c>
      <c r="R17" s="768" t="s">
        <v>17</v>
      </c>
      <c r="S17" s="769">
        <f>F17</f>
        <v>100</v>
      </c>
      <c r="T17" s="768" t="s">
        <v>17</v>
      </c>
      <c r="U17" s="769">
        <f>H17</f>
        <v>100</v>
      </c>
      <c r="V17" s="768" t="s">
        <v>17</v>
      </c>
      <c r="W17" s="769">
        <f>J17</f>
        <v>100</v>
      </c>
      <c r="X17" s="1808"/>
      <c r="Y17" s="3306"/>
      <c r="Z17" s="1809" t="str">
        <f>Q17</f>
        <v>交通便捷度</v>
      </c>
      <c r="AA17" s="1806">
        <f t="shared" si="3"/>
        <v>1</v>
      </c>
      <c r="AB17" s="1806">
        <f t="shared" si="4"/>
        <v>1</v>
      </c>
      <c r="AC17" s="2667">
        <f t="shared" si="5"/>
        <v>1</v>
      </c>
    </row>
    <row r="18" spans="1:29" ht="15">
      <c r="A18" s="427"/>
      <c r="B18" s="630"/>
      <c r="C18" s="2669"/>
      <c r="D18" s="449"/>
      <c r="E18" s="2602"/>
      <c r="F18" s="449"/>
      <c r="G18" s="2603"/>
      <c r="H18" s="447"/>
      <c r="I18" s="2603"/>
      <c r="J18" s="447"/>
      <c r="K18" s="614"/>
      <c r="L18" s="1137"/>
      <c r="M18" s="1128"/>
      <c r="N18" s="1128"/>
      <c r="O18" s="1128"/>
      <c r="P18" s="3304"/>
      <c r="Q18" s="1805"/>
      <c r="R18" s="768"/>
      <c r="S18" s="769"/>
      <c r="T18" s="768"/>
      <c r="U18" s="769"/>
      <c r="V18" s="768"/>
      <c r="W18" s="769"/>
      <c r="X18" s="1808"/>
      <c r="Y18" s="3306"/>
      <c r="Z18" s="1809"/>
      <c r="AA18" s="1806">
        <v>1</v>
      </c>
      <c r="AB18" s="1806">
        <v>1</v>
      </c>
      <c r="AC18" s="2667">
        <v>1</v>
      </c>
    </row>
    <row r="19" spans="1:29" ht="42.75">
      <c r="A19" s="427"/>
      <c r="B19" s="629" t="s">
        <v>2686</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04"/>
      <c r="Q19" s="1805" t="str">
        <f>B19</f>
        <v>公共配套设施</v>
      </c>
      <c r="R19" s="768" t="s">
        <v>17</v>
      </c>
      <c r="S19" s="769">
        <f>F19</f>
        <v>100</v>
      </c>
      <c r="T19" s="768" t="s">
        <v>17</v>
      </c>
      <c r="U19" s="769">
        <f>H19</f>
        <v>100</v>
      </c>
      <c r="V19" s="768" t="s">
        <v>17</v>
      </c>
      <c r="W19" s="769">
        <f>J19</f>
        <v>100</v>
      </c>
      <c r="X19" s="1808"/>
      <c r="Y19" s="3306"/>
      <c r="Z19" s="1809" t="str">
        <f>Q19</f>
        <v>公共配套设施</v>
      </c>
      <c r="AA19" s="1806">
        <f t="shared" si="3"/>
        <v>1</v>
      </c>
      <c r="AB19" s="1806">
        <f t="shared" si="4"/>
        <v>1</v>
      </c>
      <c r="AC19" s="2667">
        <f t="shared" si="5"/>
        <v>1</v>
      </c>
    </row>
    <row r="20" spans="1:29" ht="15">
      <c r="A20" s="427"/>
      <c r="B20" s="630"/>
      <c r="C20" s="2604"/>
      <c r="D20" s="447"/>
      <c r="E20" s="2597"/>
      <c r="F20" s="447"/>
      <c r="G20" s="2598"/>
      <c r="H20" s="447"/>
      <c r="I20" s="2598"/>
      <c r="J20" s="447"/>
      <c r="K20" s="614"/>
      <c r="L20" s="1137"/>
      <c r="M20" s="1128"/>
      <c r="N20" s="1128"/>
      <c r="O20" s="1128"/>
      <c r="P20" s="3304"/>
      <c r="Q20" s="1805"/>
      <c r="R20" s="768"/>
      <c r="S20" s="769"/>
      <c r="T20" s="768"/>
      <c r="U20" s="769"/>
      <c r="V20" s="768"/>
      <c r="W20" s="769"/>
      <c r="X20" s="1808"/>
      <c r="Y20" s="3306"/>
      <c r="Z20" s="1809"/>
      <c r="AA20" s="1806">
        <v>1</v>
      </c>
      <c r="AB20" s="1806">
        <v>1</v>
      </c>
      <c r="AC20" s="2667">
        <v>1</v>
      </c>
    </row>
    <row r="21" spans="1:29" ht="28.5">
      <c r="A21" s="427"/>
      <c r="B21" s="631" t="s">
        <v>2687</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04"/>
      <c r="Q21" s="1805" t="str">
        <f>B21</f>
        <v>基础设施水平</v>
      </c>
      <c r="R21" s="768" t="s">
        <v>17</v>
      </c>
      <c r="S21" s="769">
        <f>F21</f>
        <v>100</v>
      </c>
      <c r="T21" s="768" t="s">
        <v>17</v>
      </c>
      <c r="U21" s="769">
        <f>H21</f>
        <v>100</v>
      </c>
      <c r="V21" s="768" t="s">
        <v>17</v>
      </c>
      <c r="W21" s="769">
        <f>J21</f>
        <v>100</v>
      </c>
      <c r="X21" s="1808"/>
      <c r="Y21" s="3306"/>
      <c r="Z21" s="1809" t="str">
        <f>Q21</f>
        <v>基础设施水平</v>
      </c>
      <c r="AA21" s="1806">
        <f t="shared" ref="AA21" si="8">D21/F21</f>
        <v>1</v>
      </c>
      <c r="AB21" s="1806">
        <f t="shared" ref="AB21" si="9">D21/H21</f>
        <v>1</v>
      </c>
      <c r="AC21" s="2667">
        <f t="shared" ref="AC21" si="10">D21/J21</f>
        <v>1</v>
      </c>
    </row>
    <row r="22" spans="1:29" ht="15">
      <c r="A22" s="427"/>
      <c r="B22" s="631"/>
      <c r="C22" s="2669"/>
      <c r="D22" s="447"/>
      <c r="E22" s="446"/>
      <c r="F22" s="447"/>
      <c r="G22" s="2604"/>
      <c r="H22" s="447"/>
      <c r="I22" s="2604"/>
      <c r="J22" s="447"/>
      <c r="K22" s="1378"/>
      <c r="L22" s="1137"/>
      <c r="M22" s="1128"/>
      <c r="N22" s="1128"/>
      <c r="O22" s="1128"/>
      <c r="P22" s="3304"/>
      <c r="Q22" s="1805"/>
      <c r="R22" s="768"/>
      <c r="S22" s="769"/>
      <c r="T22" s="768"/>
      <c r="U22" s="769"/>
      <c r="V22" s="768"/>
      <c r="W22" s="769"/>
      <c r="X22" s="1808"/>
      <c r="Y22" s="3306"/>
      <c r="Z22" s="1809"/>
      <c r="AA22" s="1806">
        <v>1</v>
      </c>
      <c r="AB22" s="1806">
        <v>1</v>
      </c>
      <c r="AC22" s="2667">
        <v>1</v>
      </c>
    </row>
    <row r="23" spans="1:29" ht="42.75">
      <c r="A23" s="427"/>
      <c r="B23" s="629" t="s">
        <v>2688</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04"/>
      <c r="Q23" s="1805" t="str">
        <f>B23</f>
        <v>环境质量</v>
      </c>
      <c r="R23" s="768" t="s">
        <v>17</v>
      </c>
      <c r="S23" s="769">
        <f>F23</f>
        <v>100</v>
      </c>
      <c r="T23" s="768" t="s">
        <v>17</v>
      </c>
      <c r="U23" s="769">
        <f>H23</f>
        <v>100</v>
      </c>
      <c r="V23" s="768" t="s">
        <v>17</v>
      </c>
      <c r="W23" s="769">
        <f>J23</f>
        <v>100</v>
      </c>
      <c r="X23" s="1808"/>
      <c r="Y23" s="3306"/>
      <c r="Z23" s="1809" t="str">
        <f>Q23</f>
        <v>环境质量</v>
      </c>
      <c r="AA23" s="1806">
        <f t="shared" si="3"/>
        <v>1</v>
      </c>
      <c r="AB23" s="1806">
        <f t="shared" si="4"/>
        <v>1</v>
      </c>
      <c r="AC23" s="2667">
        <f t="shared" si="5"/>
        <v>1</v>
      </c>
    </row>
    <row r="24" spans="1:29" ht="15">
      <c r="A24" s="427"/>
      <c r="B24" s="631"/>
      <c r="C24" s="2604"/>
      <c r="D24" s="447"/>
      <c r="E24" s="2597"/>
      <c r="F24" s="447"/>
      <c r="G24" s="2598"/>
      <c r="H24" s="447"/>
      <c r="I24" s="2598"/>
      <c r="J24" s="447"/>
      <c r="K24" s="614"/>
      <c r="L24" s="1137"/>
      <c r="M24" s="1128"/>
      <c r="N24" s="1128"/>
      <c r="O24" s="1128"/>
      <c r="P24" s="3304"/>
      <c r="Q24" s="1805"/>
      <c r="R24" s="768"/>
      <c r="S24" s="769"/>
      <c r="T24" s="768"/>
      <c r="U24" s="769"/>
      <c r="V24" s="768"/>
      <c r="W24" s="769"/>
      <c r="X24" s="1808"/>
      <c r="Y24" s="3306"/>
      <c r="Z24" s="1809"/>
      <c r="AA24" s="1806">
        <v>1</v>
      </c>
      <c r="AB24" s="1806">
        <v>1</v>
      </c>
      <c r="AC24" s="2667">
        <v>1</v>
      </c>
    </row>
    <row r="25" spans="1:29" ht="27">
      <c r="A25" s="403"/>
      <c r="B25" s="629" t="s">
        <v>2689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304"/>
      <c r="Q25" s="1805" t="str">
        <f>B25</f>
        <v>毗邻道路的类型与等级</v>
      </c>
      <c r="R25" s="768" t="s">
        <v>17</v>
      </c>
      <c r="S25" s="769">
        <f>F25</f>
        <v>100</v>
      </c>
      <c r="T25" s="768" t="s">
        <v>17</v>
      </c>
      <c r="U25" s="769">
        <f>H25</f>
        <v>100</v>
      </c>
      <c r="V25" s="768" t="s">
        <v>17</v>
      </c>
      <c r="W25" s="769">
        <f>J25</f>
        <v>100</v>
      </c>
      <c r="X25" s="1808"/>
      <c r="Y25" s="3306"/>
      <c r="Z25" s="1809" t="str">
        <f>Q25</f>
        <v>毗邻道路的类型与等级</v>
      </c>
      <c r="AA25" s="1806">
        <f t="shared" si="3"/>
        <v>1</v>
      </c>
      <c r="AB25" s="1806">
        <f t="shared" si="4"/>
        <v>1</v>
      </c>
      <c r="AC25" s="2667">
        <f t="shared" si="5"/>
        <v>1</v>
      </c>
    </row>
    <row r="26" spans="1:29" ht="15">
      <c r="A26" s="403"/>
      <c r="B26" s="630"/>
      <c r="C26" s="632"/>
      <c r="D26" s="434"/>
      <c r="E26" s="615"/>
      <c r="F26" s="434"/>
      <c r="G26" s="632"/>
      <c r="H26" s="434"/>
      <c r="I26" s="615"/>
      <c r="J26" s="434"/>
      <c r="K26" s="614"/>
      <c r="L26" s="1137"/>
      <c r="M26" s="1128"/>
      <c r="N26" s="1128"/>
      <c r="O26" s="1128"/>
      <c r="P26" s="3304"/>
      <c r="Q26" s="1805"/>
      <c r="R26" s="768"/>
      <c r="S26" s="769"/>
      <c r="T26" s="768"/>
      <c r="U26" s="769"/>
      <c r="V26" s="768"/>
      <c r="W26" s="769"/>
      <c r="X26" s="1808"/>
      <c r="Y26" s="3306"/>
      <c r="Z26" s="1809"/>
      <c r="AA26" s="1806">
        <v>1</v>
      </c>
      <c r="AB26" s="1806">
        <v>1</v>
      </c>
      <c r="AC26" s="2667">
        <v>1</v>
      </c>
    </row>
    <row r="27" spans="1:29" ht="15">
      <c r="A27" s="427"/>
      <c r="B27" s="630" t="s">
        <v>2657</v>
      </c>
      <c r="C27" s="632"/>
      <c r="D27" s="434">
        <v>100</v>
      </c>
      <c r="E27" s="615"/>
      <c r="F27" s="434">
        <f>SUMIF(89:89,E27,90:90)-SUMIF(89:89,C27,90:90)+100</f>
        <v>100</v>
      </c>
      <c r="G27" s="632"/>
      <c r="H27" s="434">
        <f>SUMIF(89:89,G27,90:90)-SUMIF(89:89,C27,90:90)+100</f>
        <v>100</v>
      </c>
      <c r="I27" s="615"/>
      <c r="J27" s="434">
        <f>SUMIF(89:89,I27,90:90)-SUMIF(89:89,C27,90:90)+100</f>
        <v>100</v>
      </c>
      <c r="K27" s="611"/>
      <c r="L27" s="1137"/>
      <c r="M27" s="1128"/>
      <c r="N27" s="1128"/>
      <c r="O27" s="1128"/>
      <c r="P27" s="3304"/>
      <c r="Q27" s="1805" t="str">
        <f t="shared" ref="Q27:Q47" si="11">B27</f>
        <v>楼层</v>
      </c>
      <c r="R27" s="768" t="s">
        <v>17</v>
      </c>
      <c r="S27" s="769">
        <f>F27</f>
        <v>100</v>
      </c>
      <c r="T27" s="768" t="s">
        <v>17</v>
      </c>
      <c r="U27" s="769">
        <f>H27</f>
        <v>100</v>
      </c>
      <c r="V27" s="768" t="s">
        <v>17</v>
      </c>
      <c r="W27" s="769">
        <f>J27</f>
        <v>100</v>
      </c>
      <c r="X27" s="1808"/>
      <c r="Y27" s="3306"/>
      <c r="Z27" s="1809" t="str">
        <f>Q27</f>
        <v>楼层</v>
      </c>
      <c r="AA27" s="1806">
        <f t="shared" si="3"/>
        <v>1</v>
      </c>
      <c r="AB27" s="1806">
        <f t="shared" si="4"/>
        <v>1</v>
      </c>
      <c r="AC27" s="2667">
        <f t="shared" si="5"/>
        <v>1</v>
      </c>
    </row>
    <row r="28" spans="1:29" s="116" customFormat="1" ht="15">
      <c r="A28" s="430"/>
      <c r="B28" s="629" t="s">
        <v>2690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304"/>
      <c r="Q28" s="1790" t="str">
        <f t="shared" si="11"/>
        <v>朝向</v>
      </c>
      <c r="R28" s="764" t="s">
        <v>17</v>
      </c>
      <c r="S28" s="765">
        <f>F28</f>
        <v>100</v>
      </c>
      <c r="T28" s="764" t="s">
        <v>17</v>
      </c>
      <c r="U28" s="765">
        <f>H28</f>
        <v>100</v>
      </c>
      <c r="V28" s="764" t="s">
        <v>17</v>
      </c>
      <c r="W28" s="765">
        <f>J28</f>
        <v>100</v>
      </c>
      <c r="X28" s="766"/>
      <c r="Y28" s="3306"/>
      <c r="Z28" s="54" t="str">
        <f>Q28</f>
        <v>朝向</v>
      </c>
      <c r="AA28" s="1806">
        <f>D28/F28</f>
        <v>1</v>
      </c>
      <c r="AB28" s="1806">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304"/>
      <c r="Q29" s="1805">
        <f t="shared" si="11"/>
        <v>111</v>
      </c>
      <c r="R29" s="768" t="s">
        <v>17</v>
      </c>
      <c r="S29" s="769">
        <f t="shared" ref="S29:S47" si="12">F29</f>
        <v>100</v>
      </c>
      <c r="T29" s="768" t="s">
        <v>17</v>
      </c>
      <c r="U29" s="769">
        <f t="shared" ref="U29:U47" si="13">H29</f>
        <v>100</v>
      </c>
      <c r="V29" s="768" t="s">
        <v>17</v>
      </c>
      <c r="W29" s="769">
        <f t="shared" ref="W29:W47" si="14">J29</f>
        <v>100</v>
      </c>
      <c r="X29" s="1808"/>
      <c r="Y29" s="3306"/>
      <c r="Z29" s="1809">
        <f t="shared" ref="Z29:Z47" si="15">Q29</f>
        <v>111</v>
      </c>
      <c r="AA29" s="1806">
        <f t="shared" si="3"/>
        <v>1</v>
      </c>
      <c r="AB29" s="1806">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304"/>
      <c r="Q30" s="1805">
        <f t="shared" si="11"/>
        <v>111</v>
      </c>
      <c r="R30" s="768" t="s">
        <v>17</v>
      </c>
      <c r="S30" s="769">
        <f t="shared" si="12"/>
        <v>100</v>
      </c>
      <c r="T30" s="768" t="s">
        <v>17</v>
      </c>
      <c r="U30" s="769">
        <f t="shared" si="13"/>
        <v>100</v>
      </c>
      <c r="V30" s="768" t="s">
        <v>17</v>
      </c>
      <c r="W30" s="769">
        <f t="shared" si="14"/>
        <v>100</v>
      </c>
      <c r="X30" s="1808"/>
      <c r="Y30" s="3306"/>
      <c r="Z30" s="1809">
        <f t="shared" si="15"/>
        <v>111</v>
      </c>
      <c r="AA30" s="1806">
        <f t="shared" si="3"/>
        <v>1</v>
      </c>
      <c r="AB30" s="1806">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304"/>
      <c r="Q31" s="1805">
        <f t="shared" si="11"/>
        <v>111</v>
      </c>
      <c r="R31" s="768" t="s">
        <v>17</v>
      </c>
      <c r="S31" s="769">
        <f t="shared" si="12"/>
        <v>100</v>
      </c>
      <c r="T31" s="768" t="s">
        <v>17</v>
      </c>
      <c r="U31" s="769">
        <f t="shared" si="13"/>
        <v>100</v>
      </c>
      <c r="V31" s="768" t="s">
        <v>17</v>
      </c>
      <c r="W31" s="769">
        <f t="shared" si="14"/>
        <v>100</v>
      </c>
      <c r="X31" s="1808"/>
      <c r="Y31" s="3306"/>
      <c r="Z31" s="1809">
        <f t="shared" si="15"/>
        <v>111</v>
      </c>
      <c r="AA31" s="1806">
        <f t="shared" si="3"/>
        <v>1</v>
      </c>
      <c r="AB31" s="1806">
        <f t="shared" si="4"/>
        <v>1</v>
      </c>
      <c r="AC31" s="2667">
        <f t="shared" si="5"/>
        <v>1</v>
      </c>
    </row>
    <row r="32" spans="1:29" ht="15.75" thickBot="1">
      <c r="A32" s="435"/>
      <c r="B32" s="633">
        <v>111</v>
      </c>
      <c r="C32" s="2609"/>
      <c r="D32" s="437">
        <v>100</v>
      </c>
      <c r="E32" s="626"/>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304"/>
      <c r="Q32" s="1805">
        <f t="shared" si="11"/>
        <v>111</v>
      </c>
      <c r="R32" s="768" t="s">
        <v>17</v>
      </c>
      <c r="S32" s="769">
        <f t="shared" si="12"/>
        <v>100</v>
      </c>
      <c r="T32" s="768" t="s">
        <v>17</v>
      </c>
      <c r="U32" s="769">
        <f t="shared" si="13"/>
        <v>100</v>
      </c>
      <c r="V32" s="768" t="s">
        <v>17</v>
      </c>
      <c r="W32" s="769">
        <f t="shared" si="14"/>
        <v>100</v>
      </c>
      <c r="X32" s="1808"/>
      <c r="Y32" s="3306"/>
      <c r="Z32" s="1809">
        <f t="shared" si="15"/>
        <v>111</v>
      </c>
      <c r="AA32" s="1806">
        <f t="shared" si="3"/>
        <v>1</v>
      </c>
      <c r="AB32" s="1806">
        <f t="shared" si="4"/>
        <v>1</v>
      </c>
      <c r="AC32" s="2667">
        <f t="shared" si="5"/>
        <v>1</v>
      </c>
    </row>
    <row r="33" spans="1:29" ht="15">
      <c r="A33" s="439" t="s">
        <v>2561</v>
      </c>
      <c r="B33" s="70" t="s">
        <v>2691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307" t="s">
        <v>2563</v>
      </c>
      <c r="Q33" s="1805" t="str">
        <f t="shared" si="11"/>
        <v>建筑类型</v>
      </c>
      <c r="R33" s="768" t="s">
        <v>17</v>
      </c>
      <c r="S33" s="769">
        <f t="shared" si="12"/>
        <v>100</v>
      </c>
      <c r="T33" s="768" t="s">
        <v>17</v>
      </c>
      <c r="U33" s="769">
        <f t="shared" si="13"/>
        <v>100</v>
      </c>
      <c r="V33" s="768" t="s">
        <v>17</v>
      </c>
      <c r="W33" s="769">
        <f t="shared" si="14"/>
        <v>100</v>
      </c>
      <c r="X33" s="1808"/>
      <c r="Y33" s="3310" t="s">
        <v>2563</v>
      </c>
      <c r="Z33" s="1809" t="str">
        <f t="shared" si="15"/>
        <v>建筑类型</v>
      </c>
      <c r="AA33" s="1806">
        <f t="shared" si="3"/>
        <v>1</v>
      </c>
      <c r="AB33" s="1806">
        <f t="shared" si="4"/>
        <v>1</v>
      </c>
      <c r="AC33" s="2667">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08"/>
      <c r="Q34" s="770" t="str">
        <f t="shared" si="11"/>
        <v>项目建筑规模</v>
      </c>
      <c r="R34" s="771" t="s">
        <v>17</v>
      </c>
      <c r="S34" s="772" t="e">
        <f t="shared" si="12"/>
        <v>#N/A</v>
      </c>
      <c r="T34" s="771" t="s">
        <v>17</v>
      </c>
      <c r="U34" s="772" t="e">
        <f t="shared" si="13"/>
        <v>#N/A</v>
      </c>
      <c r="V34" s="771" t="s">
        <v>17</v>
      </c>
      <c r="W34" s="772" t="e">
        <f t="shared" si="14"/>
        <v>#N/A</v>
      </c>
      <c r="X34" s="773"/>
      <c r="Y34" s="3310"/>
      <c r="Z34" s="774" t="str">
        <f t="shared" si="15"/>
        <v>项目建筑规模</v>
      </c>
      <c r="AA34" s="1806" t="e">
        <f t="shared" si="3"/>
        <v>#N/A</v>
      </c>
      <c r="AB34" s="1806" t="e">
        <f t="shared" si="4"/>
        <v>#N/A</v>
      </c>
      <c r="AC34" s="2667"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08"/>
      <c r="Q35" s="1805" t="str">
        <f t="shared" si="11"/>
        <v>建筑结构</v>
      </c>
      <c r="R35" s="768" t="s">
        <v>17</v>
      </c>
      <c r="S35" s="769">
        <f t="shared" si="12"/>
        <v>100</v>
      </c>
      <c r="T35" s="768" t="s">
        <v>17</v>
      </c>
      <c r="U35" s="769">
        <f t="shared" si="13"/>
        <v>100</v>
      </c>
      <c r="V35" s="768" t="s">
        <v>17</v>
      </c>
      <c r="W35" s="769">
        <f t="shared" si="14"/>
        <v>100</v>
      </c>
      <c r="X35" s="1808"/>
      <c r="Y35" s="3310"/>
      <c r="Z35" s="1809" t="str">
        <f t="shared" si="15"/>
        <v>建筑结构</v>
      </c>
      <c r="AA35" s="1806">
        <f t="shared" si="3"/>
        <v>1</v>
      </c>
      <c r="AB35" s="1806">
        <f t="shared" si="4"/>
        <v>1</v>
      </c>
      <c r="AC35" s="2667">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08"/>
      <c r="Q36" s="1805" t="str">
        <f t="shared" si="11"/>
        <v>公共部分装修</v>
      </c>
      <c r="R36" s="768" t="s">
        <v>17</v>
      </c>
      <c r="S36" s="769">
        <f t="shared" si="12"/>
        <v>100</v>
      </c>
      <c r="T36" s="768" t="s">
        <v>17</v>
      </c>
      <c r="U36" s="769">
        <f t="shared" si="13"/>
        <v>100</v>
      </c>
      <c r="V36" s="768" t="s">
        <v>17</v>
      </c>
      <c r="W36" s="769">
        <f t="shared" si="14"/>
        <v>100</v>
      </c>
      <c r="X36" s="1808"/>
      <c r="Y36" s="3310"/>
      <c r="Z36" s="1809" t="str">
        <f t="shared" si="15"/>
        <v>公共部分装修</v>
      </c>
      <c r="AA36" s="1806">
        <f t="shared" si="3"/>
        <v>1</v>
      </c>
      <c r="AB36" s="1806">
        <f t="shared" si="4"/>
        <v>1</v>
      </c>
      <c r="AC36" s="2667">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08"/>
      <c r="Q37" s="1805" t="str">
        <f t="shared" si="11"/>
        <v>成新度</v>
      </c>
      <c r="R37" s="768" t="s">
        <v>17</v>
      </c>
      <c r="S37" s="769" t="e">
        <f t="shared" si="12"/>
        <v>#N/A</v>
      </c>
      <c r="T37" s="768" t="s">
        <v>17</v>
      </c>
      <c r="U37" s="769" t="e">
        <f t="shared" si="13"/>
        <v>#N/A</v>
      </c>
      <c r="V37" s="768" t="s">
        <v>17</v>
      </c>
      <c r="W37" s="769" t="e">
        <f t="shared" si="14"/>
        <v>#N/A</v>
      </c>
      <c r="X37" s="1808"/>
      <c r="Y37" s="3310"/>
      <c r="Z37" s="1809" t="str">
        <f t="shared" si="15"/>
        <v>成新度</v>
      </c>
      <c r="AA37" s="1806" t="e">
        <f t="shared" si="3"/>
        <v>#N/A</v>
      </c>
      <c r="AB37" s="1806" t="e">
        <f t="shared" si="4"/>
        <v>#N/A</v>
      </c>
      <c r="AC37" s="2667"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08"/>
      <c r="Q38" s="1790" t="str">
        <f t="shared" si="11"/>
        <v>写字楼等级</v>
      </c>
      <c r="R38" s="764" t="s">
        <v>17</v>
      </c>
      <c r="S38" s="765">
        <f t="shared" si="12"/>
        <v>100</v>
      </c>
      <c r="T38" s="764" t="s">
        <v>17</v>
      </c>
      <c r="U38" s="765">
        <f t="shared" si="13"/>
        <v>100</v>
      </c>
      <c r="V38" s="764" t="s">
        <v>17</v>
      </c>
      <c r="W38" s="765">
        <f t="shared" si="14"/>
        <v>100</v>
      </c>
      <c r="X38" s="766"/>
      <c r="Y38" s="3310"/>
      <c r="Z38" s="54" t="str">
        <f t="shared" si="15"/>
        <v>写字楼等级</v>
      </c>
      <c r="AA38" s="767">
        <f t="shared" si="3"/>
        <v>1</v>
      </c>
      <c r="AB38" s="767">
        <f t="shared" si="4"/>
        <v>1</v>
      </c>
      <c r="AC38" s="2664">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08" t="s">
        <v>2563</v>
      </c>
      <c r="Q39" s="1805" t="str">
        <f t="shared" si="11"/>
        <v>物业管理</v>
      </c>
      <c r="R39" s="768" t="s">
        <v>17</v>
      </c>
      <c r="S39" s="769">
        <f t="shared" si="12"/>
        <v>100</v>
      </c>
      <c r="T39" s="768" t="s">
        <v>17</v>
      </c>
      <c r="U39" s="769">
        <f t="shared" si="13"/>
        <v>100</v>
      </c>
      <c r="V39" s="768" t="s">
        <v>17</v>
      </c>
      <c r="W39" s="769">
        <f t="shared" si="14"/>
        <v>100</v>
      </c>
      <c r="X39" s="1808"/>
      <c r="Y39" s="3310" t="s">
        <v>2563</v>
      </c>
      <c r="Z39" s="1809" t="str">
        <f t="shared" si="15"/>
        <v>物业管理</v>
      </c>
      <c r="AA39" s="1806">
        <f t="shared" si="3"/>
        <v>1</v>
      </c>
      <c r="AB39" s="1806">
        <f t="shared" si="4"/>
        <v>1</v>
      </c>
      <c r="AC39" s="2667">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08"/>
      <c r="Q40" s="1805" t="str">
        <f t="shared" si="11"/>
        <v>市政基础设施</v>
      </c>
      <c r="R40" s="768" t="s">
        <v>17</v>
      </c>
      <c r="S40" s="769">
        <f t="shared" si="12"/>
        <v>100</v>
      </c>
      <c r="T40" s="768" t="s">
        <v>17</v>
      </c>
      <c r="U40" s="769">
        <f t="shared" si="13"/>
        <v>100</v>
      </c>
      <c r="V40" s="768" t="s">
        <v>17</v>
      </c>
      <c r="W40" s="769">
        <f t="shared" si="14"/>
        <v>100</v>
      </c>
      <c r="X40" s="1808"/>
      <c r="Y40" s="3310"/>
      <c r="Z40" s="1809" t="str">
        <f t="shared" si="15"/>
        <v>市政基础设施</v>
      </c>
      <c r="AA40" s="1806">
        <f t="shared" si="3"/>
        <v>1</v>
      </c>
      <c r="AB40" s="1806">
        <f t="shared" si="4"/>
        <v>1</v>
      </c>
      <c r="AC40" s="2667">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08"/>
      <c r="Q41" s="1805" t="str">
        <f t="shared" si="11"/>
        <v>层高</v>
      </c>
      <c r="R41" s="768" t="s">
        <v>17</v>
      </c>
      <c r="S41" s="769">
        <f t="shared" si="12"/>
        <v>100</v>
      </c>
      <c r="T41" s="768" t="s">
        <v>17</v>
      </c>
      <c r="U41" s="769">
        <f t="shared" si="13"/>
        <v>100</v>
      </c>
      <c r="V41" s="768" t="s">
        <v>17</v>
      </c>
      <c r="W41" s="769">
        <f t="shared" si="14"/>
        <v>100</v>
      </c>
      <c r="X41" s="1808"/>
      <c r="Y41" s="3310"/>
      <c r="Z41" s="1809" t="str">
        <f t="shared" si="15"/>
        <v>层高</v>
      </c>
      <c r="AA41" s="1806">
        <f t="shared" si="3"/>
        <v>1</v>
      </c>
      <c r="AB41" s="1806">
        <f t="shared" si="4"/>
        <v>1</v>
      </c>
      <c r="AC41" s="2667">
        <f t="shared" si="5"/>
        <v>1</v>
      </c>
    </row>
    <row r="42" spans="1:29" s="470" customFormat="1" ht="15">
      <c r="A42" s="467"/>
      <c r="B42" s="1807"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08"/>
      <c r="Q42" s="770" t="str">
        <f t="shared" si="11"/>
        <v>单套建筑面积</v>
      </c>
      <c r="R42" s="771" t="s">
        <v>17</v>
      </c>
      <c r="S42" s="772">
        <f t="shared" si="12"/>
        <v>100</v>
      </c>
      <c r="T42" s="771" t="s">
        <v>17</v>
      </c>
      <c r="U42" s="772">
        <f t="shared" si="13"/>
        <v>100</v>
      </c>
      <c r="V42" s="771" t="s">
        <v>17</v>
      </c>
      <c r="W42" s="772">
        <f t="shared" si="14"/>
        <v>100</v>
      </c>
      <c r="X42" s="773"/>
      <c r="Y42" s="3310"/>
      <c r="Z42" s="774" t="str">
        <f t="shared" si="15"/>
        <v>单套建筑面积</v>
      </c>
      <c r="AA42" s="1806">
        <f t="shared" si="3"/>
        <v>1</v>
      </c>
      <c r="AB42" s="1806">
        <f t="shared" si="4"/>
        <v>1</v>
      </c>
      <c r="AC42" s="2667">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08"/>
      <c r="Q43" s="1805" t="str">
        <f t="shared" si="11"/>
        <v>内部装修</v>
      </c>
      <c r="R43" s="768" t="s">
        <v>17</v>
      </c>
      <c r="S43" s="769">
        <f t="shared" si="12"/>
        <v>100</v>
      </c>
      <c r="T43" s="768" t="s">
        <v>17</v>
      </c>
      <c r="U43" s="769">
        <f t="shared" si="13"/>
        <v>100</v>
      </c>
      <c r="V43" s="768" t="s">
        <v>17</v>
      </c>
      <c r="W43" s="769">
        <f t="shared" si="14"/>
        <v>100</v>
      </c>
      <c r="X43" s="1808"/>
      <c r="Y43" s="3310"/>
      <c r="Z43" s="1809" t="str">
        <f t="shared" si="15"/>
        <v>内部装修</v>
      </c>
      <c r="AA43" s="1806">
        <f t="shared" si="3"/>
        <v>1</v>
      </c>
      <c r="AB43" s="1806">
        <f t="shared" si="4"/>
        <v>1</v>
      </c>
      <c r="AC43" s="2667">
        <f t="shared" si="5"/>
        <v>1</v>
      </c>
    </row>
    <row r="44" spans="1:29" ht="15">
      <c r="A44" s="471"/>
      <c r="B44" s="421" t="s">
        <v>2574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308"/>
      <c r="Q44" s="1805" t="str">
        <f t="shared" si="11"/>
        <v>内部装修维护情况</v>
      </c>
      <c r="R44" s="768" t="s">
        <v>17</v>
      </c>
      <c r="S44" s="769">
        <f t="shared" si="12"/>
        <v>100</v>
      </c>
      <c r="T44" s="768" t="s">
        <v>17</v>
      </c>
      <c r="U44" s="769">
        <f t="shared" si="13"/>
        <v>100</v>
      </c>
      <c r="V44" s="768" t="s">
        <v>17</v>
      </c>
      <c r="W44" s="769">
        <f t="shared" si="14"/>
        <v>100</v>
      </c>
      <c r="X44" s="1808"/>
      <c r="Y44" s="3310"/>
      <c r="Z44" s="1809" t="str">
        <f t="shared" si="15"/>
        <v>内部装修维护情况</v>
      </c>
      <c r="AA44" s="1806">
        <f t="shared" si="3"/>
        <v>1</v>
      </c>
      <c r="AB44" s="1806">
        <f t="shared" si="4"/>
        <v>1</v>
      </c>
      <c r="AC44" s="2667">
        <f t="shared" si="5"/>
        <v>1</v>
      </c>
    </row>
    <row r="45" spans="1:29" s="116" customFormat="1" ht="15">
      <c r="A45" s="472"/>
      <c r="B45" s="1381">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08"/>
      <c r="Q45" s="1790">
        <f t="shared" si="11"/>
        <v>111</v>
      </c>
      <c r="R45" s="764" t="s">
        <v>17</v>
      </c>
      <c r="S45" s="765">
        <f t="shared" si="12"/>
        <v>100</v>
      </c>
      <c r="T45" s="764" t="s">
        <v>17</v>
      </c>
      <c r="U45" s="765">
        <f t="shared" si="13"/>
        <v>100</v>
      </c>
      <c r="V45" s="764" t="s">
        <v>17</v>
      </c>
      <c r="W45" s="765">
        <f t="shared" si="14"/>
        <v>100</v>
      </c>
      <c r="X45" s="766"/>
      <c r="Y45" s="3310"/>
      <c r="Z45" s="54">
        <f t="shared" si="15"/>
        <v>111</v>
      </c>
      <c r="AA45" s="767">
        <f t="shared" si="3"/>
        <v>1</v>
      </c>
      <c r="AB45" s="767">
        <f t="shared" si="4"/>
        <v>1</v>
      </c>
      <c r="AC45" s="2664">
        <f t="shared" si="5"/>
        <v>1</v>
      </c>
    </row>
    <row r="46" spans="1:29" ht="15">
      <c r="A46" s="471"/>
      <c r="B46" s="1381">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08"/>
      <c r="Q46" s="1805">
        <f t="shared" si="11"/>
        <v>111</v>
      </c>
      <c r="R46" s="768" t="s">
        <v>17</v>
      </c>
      <c r="S46" s="769">
        <f t="shared" si="12"/>
        <v>100</v>
      </c>
      <c r="T46" s="768" t="s">
        <v>17</v>
      </c>
      <c r="U46" s="769">
        <f t="shared" si="13"/>
        <v>100</v>
      </c>
      <c r="V46" s="768" t="s">
        <v>17</v>
      </c>
      <c r="W46" s="769">
        <f t="shared" si="14"/>
        <v>100</v>
      </c>
      <c r="X46" s="1808"/>
      <c r="Y46" s="3310"/>
      <c r="Z46" s="1809">
        <f t="shared" si="15"/>
        <v>111</v>
      </c>
      <c r="AA46" s="1806">
        <f t="shared" si="3"/>
        <v>1</v>
      </c>
      <c r="AB46" s="1806">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09"/>
      <c r="Q47" s="1805">
        <f t="shared" si="11"/>
        <v>111</v>
      </c>
      <c r="R47" s="768" t="s">
        <v>17</v>
      </c>
      <c r="S47" s="769">
        <f t="shared" si="12"/>
        <v>100</v>
      </c>
      <c r="T47" s="768" t="s">
        <v>17</v>
      </c>
      <c r="U47" s="769">
        <f t="shared" si="13"/>
        <v>100</v>
      </c>
      <c r="V47" s="768" t="s">
        <v>17</v>
      </c>
      <c r="W47" s="769">
        <f t="shared" si="14"/>
        <v>100</v>
      </c>
      <c r="X47" s="1808"/>
      <c r="Y47" s="3311"/>
      <c r="Z47" s="1809">
        <f t="shared" si="15"/>
        <v>111</v>
      </c>
      <c r="AA47" s="1806">
        <f t="shared" si="3"/>
        <v>1</v>
      </c>
      <c r="AB47" s="1806">
        <f t="shared" si="4"/>
        <v>1</v>
      </c>
      <c r="AC47" s="2667">
        <f t="shared" si="5"/>
        <v>1</v>
      </c>
    </row>
    <row r="48" spans="1:29" ht="15">
      <c r="A48" s="478" t="s">
        <v>2575</v>
      </c>
      <c r="B48" s="479"/>
      <c r="C48" s="1402" t="s">
        <v>1</v>
      </c>
      <c r="D48" s="1403"/>
      <c r="E48" s="1404"/>
      <c r="F48" s="1405"/>
      <c r="G48" s="1406"/>
      <c r="H48" s="1407"/>
      <c r="I48" s="1404"/>
      <c r="J48" s="484"/>
      <c r="K48" s="777"/>
      <c r="L48" s="1140"/>
      <c r="M48" s="1128"/>
      <c r="N48" s="1128"/>
      <c r="O48" s="1128"/>
      <c r="P48" s="3289" t="str">
        <f>A48</f>
        <v>成交单价（元/平方米）</v>
      </c>
      <c r="Q48" s="3312"/>
      <c r="R48" s="3313">
        <f>E48</f>
        <v>0</v>
      </c>
      <c r="S48" s="3313"/>
      <c r="T48" s="3313">
        <f>G48</f>
        <v>0</v>
      </c>
      <c r="U48" s="3313"/>
      <c r="V48" s="3313">
        <f>I48</f>
        <v>0</v>
      </c>
      <c r="W48" s="3313"/>
      <c r="X48" s="445"/>
      <c r="Y48" s="775"/>
      <c r="Z48" s="445"/>
      <c r="AA48" s="445"/>
      <c r="AB48" s="445"/>
      <c r="AC48" s="628"/>
    </row>
    <row r="49" spans="1:29" ht="15.75" thickBot="1">
      <c r="A49" s="485" t="s">
        <v>2667</v>
      </c>
      <c r="B49" s="486"/>
      <c r="C49" s="1408" t="e">
        <f>R50</f>
        <v>#DIV/0!</v>
      </c>
      <c r="D49" s="1409"/>
      <c r="E49" s="1410" t="e">
        <f>R49</f>
        <v>#DIV/0!</v>
      </c>
      <c r="F49" s="1410"/>
      <c r="G49" s="1408" t="e">
        <f>T49</f>
        <v>#DIV/0!</v>
      </c>
      <c r="H49" s="1409"/>
      <c r="I49" s="1410" t="e">
        <f>V49</f>
        <v>#DIV/0!</v>
      </c>
      <c r="J49" s="488"/>
      <c r="K49" s="778"/>
      <c r="L49" s="1140"/>
      <c r="M49" s="1128"/>
      <c r="N49" s="1128"/>
      <c r="O49" s="1128"/>
      <c r="P49" s="3289" t="str">
        <f>A49</f>
        <v>比较价值（元/平方米）</v>
      </c>
      <c r="Q49" s="3312"/>
      <c r="R49" s="3313" t="e">
        <f>IF(F1="售价",ROUND(PRODUCT(R48,AA7:AA47),0),ROUND(PRODUCT(R48,AA7:AA47),1))</f>
        <v>#DIV/0!</v>
      </c>
      <c r="S49" s="3313"/>
      <c r="T49" s="3313" t="e">
        <f>IF(F1="售价",ROUND(PRODUCT(T48,AB7:AB47),0),ROUND(PRODUCT(T48,AB7:AB47),1))</f>
        <v>#DIV/0!</v>
      </c>
      <c r="U49" s="3313"/>
      <c r="V49" s="3313" t="e">
        <f>IF(F1="售价",ROUND(PRODUCT(V48,AC7:AC47),0),ROUND(PRODUCT(V48,AC7:AC47),1))</f>
        <v>#DIV/0!</v>
      </c>
      <c r="W49" s="3313"/>
      <c r="X49" s="445"/>
      <c r="Y49" s="445"/>
      <c r="Z49" s="445"/>
      <c r="AA49" s="445"/>
      <c r="AB49" s="445"/>
      <c r="AC49" s="628"/>
    </row>
    <row r="50" spans="1:29" ht="15.75" thickBot="1">
      <c r="A50" s="491" t="s">
        <v>2668</v>
      </c>
      <c r="B50" s="492"/>
      <c r="C50" s="1412" t="e">
        <f>R50</f>
        <v>#DIV/0!</v>
      </c>
      <c r="D50" s="1412"/>
      <c r="E50" s="1412"/>
      <c r="F50" s="1412"/>
      <c r="G50" s="1412"/>
      <c r="H50" s="1412"/>
      <c r="I50" s="1412"/>
      <c r="J50" s="493"/>
      <c r="K50" s="779"/>
      <c r="L50" s="1140"/>
      <c r="M50" s="1128"/>
      <c r="N50" s="1128"/>
      <c r="O50" s="1128"/>
      <c r="P50" s="3363" t="str">
        <f>A50</f>
        <v>估价对象XX用房的比较价值（楼面单价，元/平方米）</v>
      </c>
      <c r="Q50" s="3364"/>
      <c r="R50" s="3365" t="e">
        <f>IF(F1="售价",ROUND(AVERAGE(R49:V49),0),ROUND(AVERAGE(R49:V49),1))</f>
        <v>#DIV/0!</v>
      </c>
      <c r="S50" s="3365"/>
      <c r="T50" s="3365"/>
      <c r="U50" s="3365"/>
      <c r="V50" s="3365"/>
      <c r="W50" s="3365"/>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57" t="s">
        <v>2672</v>
      </c>
      <c r="B58" s="753"/>
      <c r="C58" s="758"/>
      <c r="D58" s="758"/>
      <c r="E58" s="758"/>
      <c r="F58" s="759"/>
      <c r="G58" s="759"/>
      <c r="H58" s="758"/>
      <c r="I58" s="758"/>
      <c r="J58" s="758"/>
      <c r="K58" s="760"/>
      <c r="L58" s="1158"/>
      <c r="M58" s="1156"/>
      <c r="N58" s="1156"/>
      <c r="O58" s="1156"/>
      <c r="P58" s="2674"/>
      <c r="Q58" s="503"/>
    </row>
    <row r="59" spans="1:29" s="507" customFormat="1" ht="15">
      <c r="A59" s="504" t="s">
        <v>2546</v>
      </c>
      <c r="B59" s="505"/>
      <c r="C59" s="1569" t="str">
        <f>YEAR(C7)&amp;"-"&amp;MONTH(C7)</f>
        <v>2018-4</v>
      </c>
      <c r="D59" s="1570">
        <f>EDATE(C59,-1)</f>
        <v>43160</v>
      </c>
      <c r="E59" s="1570">
        <f>EDATE(D59,-1)</f>
        <v>43132</v>
      </c>
      <c r="F59" s="1570">
        <f t="shared" ref="F59:O59" si="16">EDATE(E59,-1)</f>
        <v>43101</v>
      </c>
      <c r="G59" s="1570">
        <f t="shared" si="16"/>
        <v>43070</v>
      </c>
      <c r="H59" s="1570">
        <f t="shared" si="16"/>
        <v>43040</v>
      </c>
      <c r="I59" s="1570">
        <f t="shared" si="16"/>
        <v>43009</v>
      </c>
      <c r="J59" s="1570">
        <f t="shared" si="16"/>
        <v>42979</v>
      </c>
      <c r="K59" s="1570">
        <f t="shared" si="16"/>
        <v>42948</v>
      </c>
      <c r="L59" s="1570">
        <f t="shared" si="16"/>
        <v>42917</v>
      </c>
      <c r="M59" s="1570">
        <f t="shared" si="16"/>
        <v>42887</v>
      </c>
      <c r="N59" s="1570">
        <f t="shared" si="16"/>
        <v>42856</v>
      </c>
      <c r="O59" s="1570">
        <f t="shared" si="16"/>
        <v>42826</v>
      </c>
      <c r="P59" s="1566"/>
    </row>
    <row r="60" spans="1:29" s="116" customFormat="1" ht="15">
      <c r="A60" s="508"/>
      <c r="B60" s="509"/>
      <c r="C60" s="1568">
        <v>100</v>
      </c>
      <c r="D60" s="511"/>
      <c r="E60" s="511"/>
      <c r="F60" s="511"/>
      <c r="G60" s="511"/>
      <c r="H60" s="511"/>
      <c r="I60" s="511"/>
      <c r="J60" s="511"/>
      <c r="K60" s="511"/>
      <c r="L60" s="511"/>
      <c r="M60" s="512"/>
      <c r="N60" s="511"/>
      <c r="O60" s="512"/>
      <c r="P60" s="2675"/>
    </row>
    <row r="61" spans="1:29" s="116" customFormat="1" ht="15.75" thickBot="1">
      <c r="A61" s="514" t="s">
        <v>2583</v>
      </c>
      <c r="B61" s="515"/>
      <c r="C61" s="516"/>
      <c r="D61" s="517"/>
      <c r="E61" s="517"/>
      <c r="F61" s="517"/>
      <c r="G61" s="517"/>
      <c r="H61" s="517"/>
      <c r="I61" s="517"/>
      <c r="J61" s="517"/>
      <c r="K61" s="517"/>
      <c r="L61" s="517"/>
      <c r="M61" s="518"/>
      <c r="N61" s="517"/>
      <c r="O61" s="518"/>
      <c r="P61" s="2675"/>
      <c r="Q61" s="503"/>
    </row>
    <row r="62" spans="1:29" s="116" customFormat="1" ht="15">
      <c r="A62" s="520" t="s">
        <v>2548</v>
      </c>
      <c r="B62" s="509"/>
      <c r="C62" s="521" t="s">
        <v>2650</v>
      </c>
      <c r="D62" s="522"/>
      <c r="E62" s="522"/>
      <c r="F62" s="522"/>
      <c r="G62" s="522"/>
      <c r="H62" s="522"/>
      <c r="I62" s="522"/>
      <c r="J62" s="522"/>
      <c r="K62" s="522"/>
      <c r="L62" s="523"/>
      <c r="M62" s="524"/>
      <c r="N62" s="1148"/>
      <c r="O62" s="1148"/>
      <c r="P62" s="2676"/>
      <c r="Q62" s="503"/>
    </row>
    <row r="63" spans="1:29" s="116"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2586</v>
      </c>
      <c r="B64" s="527" t="s">
        <v>2552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2687</v>
      </c>
      <c r="C83" s="658" t="s">
        <v>2673</v>
      </c>
      <c r="D83" s="658" t="s">
        <v>2674</v>
      </c>
      <c r="E83" s="658" t="s">
        <v>2675</v>
      </c>
      <c r="F83" s="658" t="s">
        <v>2676</v>
      </c>
      <c r="G83" s="658" t="s">
        <v>2677</v>
      </c>
      <c r="H83" s="538"/>
      <c r="I83" s="538"/>
      <c r="J83" s="538"/>
      <c r="K83" s="538"/>
      <c r="L83" s="538"/>
      <c r="M83" s="1377"/>
      <c r="N83" s="1150"/>
      <c r="O83" s="1150"/>
      <c r="P83" s="2677"/>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0"/>
      <c r="O84" s="1150"/>
      <c r="P84" s="2677"/>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6" customFormat="1" ht="27.75" thickTop="1">
      <c r="A87" s="578"/>
      <c r="B87" s="537" t="s">
        <v>2697</v>
      </c>
      <c r="C87" s="553"/>
      <c r="D87" s="553"/>
      <c r="E87" s="553"/>
      <c r="F87" s="553"/>
      <c r="G87" s="553"/>
      <c r="H87" s="553"/>
      <c r="I87" s="553"/>
      <c r="J87" s="553"/>
      <c r="K87" s="553"/>
      <c r="L87" s="579"/>
      <c r="M87" s="580"/>
      <c r="N87" s="1148"/>
      <c r="O87" s="1148"/>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6"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2561</v>
      </c>
      <c r="B101" s="527" t="s">
        <v>2610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2612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2614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1994</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1"/>
      <c r="J111" s="621"/>
      <c r="K111" s="622"/>
      <c r="L111" s="623"/>
      <c r="M111" s="624"/>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2698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2615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2616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4" t="s">
        <v>2699</v>
      </c>
      <c r="C119" s="582"/>
      <c r="D119" s="582"/>
      <c r="E119" s="582"/>
      <c r="F119" s="582"/>
      <c r="G119" s="582"/>
      <c r="H119" s="582"/>
      <c r="I119" s="582"/>
      <c r="J119" s="582"/>
      <c r="K119" s="582"/>
      <c r="L119" s="2682"/>
      <c r="M119" s="2683"/>
      <c r="N119" s="1150"/>
      <c r="O119" s="1150"/>
      <c r="P119" s="2684"/>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2682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2618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2526</v>
      </c>
      <c r="B1" s="2662" t="s">
        <v>2700</v>
      </c>
      <c r="C1" s="1615" t="s">
        <v>2528</v>
      </c>
      <c r="D1" s="1616"/>
      <c r="E1" s="1625"/>
      <c r="F1" s="2577"/>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IF(C2="——",ROUND(C43*D3/10000,0),ROUND(C43*D3/10000,0)-D2)</f>
        <v>#DIV/0!</v>
      </c>
      <c r="C2" s="2579"/>
      <c r="D2" s="1121" t="e">
        <f ca="1">SUMIF(INDIRECT("'"&amp;F2&amp;"'"&amp;"!A:A"),"承租人权益价值",INDIRECT("'"&amp;F2&amp;"'"&amp;"!c:c"))</f>
        <v>#REF!</v>
      </c>
      <c r="E2" s="2580" t="s">
        <v>2326</v>
      </c>
      <c r="F2" s="2581"/>
      <c r="G2" s="1122"/>
      <c r="H2" s="1122"/>
      <c r="I2" s="1122"/>
      <c r="J2" s="1122"/>
      <c r="K2" s="1122"/>
      <c r="L2" s="1125"/>
      <c r="M2" s="1126"/>
      <c r="N2" s="1126"/>
      <c r="O2" s="1126"/>
      <c r="P2" s="762"/>
      <c r="Q2" s="762"/>
      <c r="R2" s="762"/>
      <c r="S2" s="762"/>
      <c r="T2" s="762"/>
      <c r="U2" s="762"/>
      <c r="V2" s="762"/>
      <c r="W2" s="762"/>
      <c r="X2" s="762"/>
      <c r="Y2" s="762"/>
      <c r="Z2" s="762"/>
      <c r="AA2" s="762"/>
      <c r="AB2" s="762"/>
      <c r="AC2" s="776"/>
    </row>
    <row r="3" spans="1:29" s="397" customFormat="1" ht="28.5" customHeight="1" thickBot="1">
      <c r="A3" s="246" t="s">
        <v>2327</v>
      </c>
      <c r="B3" s="608" t="e">
        <f ca="1">IF(C2="——",C43,ROUND(B2*10000/D3,0))</f>
        <v>#DIV/0!</v>
      </c>
      <c r="C3" s="399" t="s">
        <v>2642</v>
      </c>
      <c r="D3" s="398">
        <f>IF(D1="",'数据-汇总表'!E3,SUMIF('数据-汇总表'!$C19:$C33,D1,'数据-汇总表'!$E19:$E33))</f>
        <v>14099.390000000001</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2" t="s">
        <v>2646</v>
      </c>
      <c r="AC4" s="3271" t="s">
        <v>2647</v>
      </c>
    </row>
    <row r="5" spans="1:29" ht="15">
      <c r="A5" s="403"/>
      <c r="B5" s="404"/>
      <c r="C5" s="3348" t="s">
        <v>2540</v>
      </c>
      <c r="D5" s="3284"/>
      <c r="E5" s="3347" t="s">
        <v>2541</v>
      </c>
      <c r="F5" s="3282"/>
      <c r="G5" s="3348" t="s">
        <v>2542</v>
      </c>
      <c r="H5" s="3284"/>
      <c r="I5" s="3348" t="s">
        <v>2543</v>
      </c>
      <c r="J5" s="3284"/>
      <c r="K5" s="609"/>
      <c r="L5" s="1127"/>
      <c r="M5" s="1128"/>
      <c r="N5" s="1128"/>
      <c r="O5" s="1128"/>
      <c r="P5" s="3296"/>
      <c r="Q5" s="3297"/>
      <c r="R5" s="3279"/>
      <c r="S5" s="3280"/>
      <c r="T5" s="3279"/>
      <c r="U5" s="3280"/>
      <c r="V5" s="3274"/>
      <c r="W5" s="3274"/>
      <c r="X5" s="1808"/>
      <c r="Y5" s="3279"/>
      <c r="Z5" s="3280"/>
      <c r="AA5" s="3272"/>
      <c r="AB5" s="3272"/>
      <c r="AC5" s="3272"/>
    </row>
    <row r="6" spans="1:29" ht="15.75" thickBot="1">
      <c r="A6" s="405"/>
      <c r="B6" s="406"/>
      <c r="C6" s="3349" t="s">
        <v>2544</v>
      </c>
      <c r="D6" s="3286"/>
      <c r="E6" s="3350" t="s">
        <v>2544</v>
      </c>
      <c r="F6" s="3288"/>
      <c r="G6" s="3349" t="s">
        <v>2544</v>
      </c>
      <c r="H6" s="3286"/>
      <c r="I6" s="3349" t="s">
        <v>2544</v>
      </c>
      <c r="J6" s="3286"/>
      <c r="K6" s="609" t="s">
        <v>2545</v>
      </c>
      <c r="L6" s="1127"/>
      <c r="M6" s="1128"/>
      <c r="N6" s="1128"/>
      <c r="O6" s="1128"/>
      <c r="P6" s="3298"/>
      <c r="Q6" s="3299"/>
      <c r="R6" s="3279"/>
      <c r="S6" s="3280"/>
      <c r="T6" s="3300"/>
      <c r="U6" s="3301"/>
      <c r="V6" s="3274"/>
      <c r="W6" s="3274"/>
      <c r="X6" s="1808"/>
      <c r="Y6" s="3300"/>
      <c r="Z6" s="3301"/>
      <c r="AA6" s="3273"/>
      <c r="AB6" s="3273"/>
      <c r="AC6" s="3273"/>
    </row>
    <row r="7" spans="1:29" s="116" customFormat="1" ht="15.75" thickBot="1">
      <c r="A7" s="407" t="s">
        <v>2546</v>
      </c>
      <c r="B7" s="408"/>
      <c r="C7" s="409">
        <f>'数据-取费表'!B2</f>
        <v>43209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75" t="s">
        <v>2547</v>
      </c>
      <c r="Q7" s="3302"/>
      <c r="R7" s="764" t="s">
        <v>17</v>
      </c>
      <c r="S7" s="765">
        <f t="shared" ref="S7:S15" si="0">F7</f>
        <v>0</v>
      </c>
      <c r="T7" s="764" t="s">
        <v>17</v>
      </c>
      <c r="U7" s="765">
        <f t="shared" ref="U7:U15" si="1">H7</f>
        <v>0</v>
      </c>
      <c r="V7" s="764" t="s">
        <v>17</v>
      </c>
      <c r="W7" s="765">
        <f t="shared" ref="W7:W15" si="2">J7</f>
        <v>0</v>
      </c>
      <c r="X7" s="766"/>
      <c r="Y7" s="3275" t="s">
        <v>2547</v>
      </c>
      <c r="Z7" s="3276"/>
      <c r="AA7" s="767" t="e">
        <f>D7/F7</f>
        <v>#DIV/0!</v>
      </c>
      <c r="AB7" s="767" t="e">
        <f>D7/H7</f>
        <v>#DIV/0!</v>
      </c>
      <c r="AC7" s="767"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75" t="s">
        <v>2550</v>
      </c>
      <c r="Q8" s="3276"/>
      <c r="R8" s="764" t="s">
        <v>17</v>
      </c>
      <c r="S8" s="765">
        <f t="shared" si="0"/>
        <v>0</v>
      </c>
      <c r="T8" s="764" t="s">
        <v>17</v>
      </c>
      <c r="U8" s="765">
        <f t="shared" si="1"/>
        <v>0</v>
      </c>
      <c r="V8" s="764" t="s">
        <v>17</v>
      </c>
      <c r="W8" s="765">
        <f t="shared" si="2"/>
        <v>0</v>
      </c>
      <c r="X8" s="766"/>
      <c r="Y8" s="3275" t="s">
        <v>2550</v>
      </c>
      <c r="Z8" s="3276"/>
      <c r="AA8" s="767" t="e">
        <f t="shared" ref="AA8:AA40" si="3">D8/F8</f>
        <v>#DIV/0!</v>
      </c>
      <c r="AB8" s="767" t="e">
        <f t="shared" ref="AB8:AB40" si="4">D8/H8</f>
        <v>#DIV/0!</v>
      </c>
      <c r="AC8" s="767" t="e">
        <f t="shared" ref="AC8:AC40" si="5">D8/J8</f>
        <v>#DIV/0!</v>
      </c>
    </row>
    <row r="9" spans="1:29" s="116" customFormat="1">
      <c r="A9" s="414" t="s">
        <v>2551</v>
      </c>
      <c r="B9" s="70" t="s">
        <v>2552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312"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767">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312"/>
      <c r="Q10" s="1790" t="str">
        <f t="shared" si="6"/>
        <v>土地使用年限（年）</v>
      </c>
      <c r="R10" s="764" t="s">
        <v>17</v>
      </c>
      <c r="S10" s="765">
        <f t="shared" si="0"/>
        <v>100</v>
      </c>
      <c r="T10" s="764" t="s">
        <v>17</v>
      </c>
      <c r="U10" s="765">
        <f t="shared" si="1"/>
        <v>100</v>
      </c>
      <c r="V10" s="764" t="s">
        <v>17</v>
      </c>
      <c r="W10" s="765">
        <f t="shared" si="2"/>
        <v>100</v>
      </c>
      <c r="X10" s="766"/>
      <c r="Y10" s="3151"/>
      <c r="Z10" s="54" t="str">
        <f t="shared" si="7"/>
        <v>土地使用年限（年）</v>
      </c>
      <c r="AA10" s="767">
        <f t="shared" si="3"/>
        <v>1</v>
      </c>
      <c r="AB10" s="767">
        <f t="shared" si="4"/>
        <v>1</v>
      </c>
      <c r="AC10" s="767">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312"/>
      <c r="Q11" s="1790" t="str">
        <f t="shared" si="6"/>
        <v>容积率</v>
      </c>
      <c r="R11" s="764" t="s">
        <v>17</v>
      </c>
      <c r="S11" s="765" t="e">
        <f t="shared" si="0"/>
        <v>#N/A</v>
      </c>
      <c r="T11" s="764" t="s">
        <v>17</v>
      </c>
      <c r="U11" s="765" t="e">
        <f t="shared" si="1"/>
        <v>#N/A</v>
      </c>
      <c r="V11" s="764" t="s">
        <v>17</v>
      </c>
      <c r="W11" s="765" t="e">
        <f t="shared" si="2"/>
        <v>#N/A</v>
      </c>
      <c r="X11" s="766"/>
      <c r="Y11" s="3151"/>
      <c r="Z11" s="54" t="str">
        <f t="shared" si="7"/>
        <v>容积率</v>
      </c>
      <c r="AA11" s="767" t="e">
        <f t="shared" si="3"/>
        <v>#N/A</v>
      </c>
      <c r="AB11" s="767" t="e">
        <f t="shared" si="4"/>
        <v>#N/A</v>
      </c>
      <c r="AC11" s="767"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312"/>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767">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312"/>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767">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312"/>
      <c r="Q14" s="1790">
        <f t="shared" si="6"/>
        <v>111</v>
      </c>
      <c r="R14" s="764" t="s">
        <v>17</v>
      </c>
      <c r="S14" s="765">
        <f t="shared" si="0"/>
        <v>100</v>
      </c>
      <c r="T14" s="764" t="s">
        <v>17</v>
      </c>
      <c r="U14" s="765">
        <f t="shared" si="1"/>
        <v>100</v>
      </c>
      <c r="V14" s="764" t="s">
        <v>17</v>
      </c>
      <c r="W14" s="765">
        <f t="shared" si="2"/>
        <v>100</v>
      </c>
      <c r="X14" s="766"/>
      <c r="Y14" s="3151"/>
      <c r="Z14" s="54">
        <f t="shared" si="7"/>
        <v>111</v>
      </c>
      <c r="AA14" s="767">
        <f t="shared" si="3"/>
        <v>1</v>
      </c>
      <c r="AB14" s="767">
        <f t="shared" si="4"/>
        <v>1</v>
      </c>
      <c r="AC14" s="767">
        <f t="shared" si="5"/>
        <v>1</v>
      </c>
    </row>
    <row r="15" spans="1:29" ht="57">
      <c r="A15" s="439" t="s">
        <v>2557</v>
      </c>
      <c r="B15" s="68" t="s">
        <v>2701</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305" t="s">
        <v>2558</v>
      </c>
      <c r="Q15" s="1805" t="str">
        <f t="shared" si="6"/>
        <v>产业集聚程度</v>
      </c>
      <c r="R15" s="768" t="s">
        <v>17</v>
      </c>
      <c r="S15" s="769">
        <f t="shared" si="0"/>
        <v>100</v>
      </c>
      <c r="T15" s="768" t="s">
        <v>17</v>
      </c>
      <c r="U15" s="769">
        <f t="shared" si="1"/>
        <v>100</v>
      </c>
      <c r="V15" s="768" t="s">
        <v>17</v>
      </c>
      <c r="W15" s="769">
        <f t="shared" si="2"/>
        <v>100</v>
      </c>
      <c r="X15" s="1808"/>
      <c r="Y15" s="3305" t="s">
        <v>2558</v>
      </c>
      <c r="Z15" s="1809" t="str">
        <f t="shared" si="7"/>
        <v>产业集聚程度</v>
      </c>
      <c r="AA15" s="1806">
        <f t="shared" si="3"/>
        <v>1</v>
      </c>
      <c r="AB15" s="1806">
        <f t="shared" si="4"/>
        <v>1</v>
      </c>
      <c r="AC15" s="1806">
        <f t="shared" si="5"/>
        <v>1</v>
      </c>
    </row>
    <row r="16" spans="1:29" ht="15">
      <c r="A16" s="427"/>
      <c r="B16" s="445"/>
      <c r="C16" s="446"/>
      <c r="D16" s="447"/>
      <c r="E16" s="446"/>
      <c r="F16" s="448"/>
      <c r="G16" s="446"/>
      <c r="H16" s="449"/>
      <c r="I16" s="446"/>
      <c r="J16" s="447"/>
      <c r="K16" s="614"/>
      <c r="L16" s="1137"/>
      <c r="M16" s="1128"/>
      <c r="N16" s="1128"/>
      <c r="O16" s="1136"/>
      <c r="P16" s="3306"/>
      <c r="Q16" s="1805"/>
      <c r="R16" s="768"/>
      <c r="S16" s="769"/>
      <c r="T16" s="768"/>
      <c r="U16" s="769"/>
      <c r="V16" s="768"/>
      <c r="W16" s="769"/>
      <c r="X16" s="1808"/>
      <c r="Y16" s="3306"/>
      <c r="Z16" s="1809"/>
      <c r="AA16" s="1806">
        <v>1</v>
      </c>
      <c r="AB16" s="1806">
        <v>1</v>
      </c>
      <c r="AC16" s="1806">
        <v>1</v>
      </c>
    </row>
    <row r="17" spans="1:29" ht="85.5">
      <c r="A17" s="427"/>
      <c r="B17" s="450" t="s">
        <v>2094</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306"/>
      <c r="Q17" s="1805" t="str">
        <f>B17</f>
        <v>交通便捷度</v>
      </c>
      <c r="R17" s="768" t="s">
        <v>17</v>
      </c>
      <c r="S17" s="769">
        <f>F17</f>
        <v>100</v>
      </c>
      <c r="T17" s="768" t="s">
        <v>17</v>
      </c>
      <c r="U17" s="769">
        <f>H17</f>
        <v>100</v>
      </c>
      <c r="V17" s="768" t="s">
        <v>17</v>
      </c>
      <c r="W17" s="769">
        <f>J17</f>
        <v>100</v>
      </c>
      <c r="X17" s="1808"/>
      <c r="Y17" s="3306"/>
      <c r="Z17" s="1809" t="str">
        <f>Q17</f>
        <v>交通便捷度</v>
      </c>
      <c r="AA17" s="1806">
        <f t="shared" si="3"/>
        <v>1</v>
      </c>
      <c r="AB17" s="1806">
        <f t="shared" si="4"/>
        <v>1</v>
      </c>
      <c r="AC17" s="1806">
        <f t="shared" si="5"/>
        <v>1</v>
      </c>
    </row>
    <row r="18" spans="1:29" ht="15">
      <c r="A18" s="427"/>
      <c r="B18" s="455"/>
      <c r="C18" s="2601"/>
      <c r="D18" s="449"/>
      <c r="E18" s="2603"/>
      <c r="F18" s="452"/>
      <c r="G18" s="2602"/>
      <c r="H18" s="447"/>
      <c r="I18" s="2603"/>
      <c r="J18" s="447"/>
      <c r="K18" s="614"/>
      <c r="L18" s="1137"/>
      <c r="M18" s="1128"/>
      <c r="N18" s="1128"/>
      <c r="O18" s="1136"/>
      <c r="P18" s="3306"/>
      <c r="Q18" s="1805"/>
      <c r="R18" s="768"/>
      <c r="S18" s="769"/>
      <c r="T18" s="768"/>
      <c r="U18" s="769"/>
      <c r="V18" s="768"/>
      <c r="W18" s="769"/>
      <c r="X18" s="1808"/>
      <c r="Y18" s="3306"/>
      <c r="Z18" s="1809"/>
      <c r="AA18" s="1806">
        <v>1</v>
      </c>
      <c r="AB18" s="1806">
        <v>1</v>
      </c>
      <c r="AC18" s="1806">
        <v>1</v>
      </c>
    </row>
    <row r="19" spans="1:29" ht="42.75">
      <c r="A19" s="427"/>
      <c r="B19" s="450" t="s">
        <v>2686</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306"/>
      <c r="Q19" s="1805" t="str">
        <f>B19</f>
        <v>公共配套设施</v>
      </c>
      <c r="R19" s="768" t="s">
        <v>17</v>
      </c>
      <c r="S19" s="769">
        <f>F19</f>
        <v>100</v>
      </c>
      <c r="T19" s="768" t="s">
        <v>17</v>
      </c>
      <c r="U19" s="769">
        <f>H19</f>
        <v>100</v>
      </c>
      <c r="V19" s="768" t="s">
        <v>17</v>
      </c>
      <c r="W19" s="769">
        <f>J19</f>
        <v>100</v>
      </c>
      <c r="X19" s="1808"/>
      <c r="Y19" s="3306"/>
      <c r="Z19" s="1809" t="str">
        <f>Q19</f>
        <v>公共配套设施</v>
      </c>
      <c r="AA19" s="1806">
        <f t="shared" si="3"/>
        <v>1</v>
      </c>
      <c r="AB19" s="1806">
        <f t="shared" si="4"/>
        <v>1</v>
      </c>
      <c r="AC19" s="1806">
        <f t="shared" si="5"/>
        <v>1</v>
      </c>
    </row>
    <row r="20" spans="1:29" ht="15">
      <c r="A20" s="427"/>
      <c r="B20" s="455"/>
      <c r="C20" s="446"/>
      <c r="D20" s="447"/>
      <c r="E20" s="2598"/>
      <c r="F20" s="448"/>
      <c r="G20" s="2597"/>
      <c r="H20" s="447"/>
      <c r="I20" s="2598"/>
      <c r="J20" s="447"/>
      <c r="K20" s="614"/>
      <c r="L20" s="1137"/>
      <c r="M20" s="1128"/>
      <c r="N20" s="1128"/>
      <c r="O20" s="1136"/>
      <c r="P20" s="3306"/>
      <c r="Q20" s="1805"/>
      <c r="R20" s="768"/>
      <c r="S20" s="769"/>
      <c r="T20" s="768"/>
      <c r="U20" s="769"/>
      <c r="V20" s="768"/>
      <c r="W20" s="769"/>
      <c r="X20" s="1808"/>
      <c r="Y20" s="3306"/>
      <c r="Z20" s="1809"/>
      <c r="AA20" s="1806">
        <v>1</v>
      </c>
      <c r="AB20" s="1806">
        <v>1</v>
      </c>
      <c r="AC20" s="1806">
        <v>1</v>
      </c>
    </row>
    <row r="21" spans="1:29" ht="28.5">
      <c r="A21" s="427"/>
      <c r="B21" s="1379" t="s">
        <v>2687</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306"/>
      <c r="Q21" s="1805" t="str">
        <f>B21</f>
        <v>基础设施水平</v>
      </c>
      <c r="R21" s="768" t="s">
        <v>17</v>
      </c>
      <c r="S21" s="769">
        <f>F21</f>
        <v>100</v>
      </c>
      <c r="T21" s="768" t="s">
        <v>17</v>
      </c>
      <c r="U21" s="769">
        <f>H21</f>
        <v>100</v>
      </c>
      <c r="V21" s="768" t="s">
        <v>17</v>
      </c>
      <c r="W21" s="769">
        <f>J21</f>
        <v>100</v>
      </c>
      <c r="X21" s="1808"/>
      <c r="Y21" s="3306"/>
      <c r="Z21" s="1809" t="str">
        <f>Q21</f>
        <v>基础设施水平</v>
      </c>
      <c r="AA21" s="1806">
        <f t="shared" ref="AA21" si="8">D21/F21</f>
        <v>1</v>
      </c>
      <c r="AB21" s="1806">
        <f t="shared" ref="AB21" si="9">D21/H21</f>
        <v>1</v>
      </c>
      <c r="AC21" s="1806">
        <f t="shared" ref="AC21" si="10">D21/J21</f>
        <v>1</v>
      </c>
    </row>
    <row r="22" spans="1:29" ht="15">
      <c r="A22" s="427"/>
      <c r="B22" s="1379"/>
      <c r="C22" s="2601"/>
      <c r="D22" s="447"/>
      <c r="E22" s="446"/>
      <c r="F22" s="448"/>
      <c r="G22" s="446"/>
      <c r="H22" s="447"/>
      <c r="I22" s="446"/>
      <c r="J22" s="447"/>
      <c r="K22" s="1378"/>
      <c r="L22" s="1137"/>
      <c r="M22" s="1128"/>
      <c r="N22" s="1128"/>
      <c r="O22" s="1136"/>
      <c r="P22" s="3306"/>
      <c r="Q22" s="1805"/>
      <c r="R22" s="768"/>
      <c r="S22" s="769"/>
      <c r="T22" s="768"/>
      <c r="U22" s="769"/>
      <c r="V22" s="768"/>
      <c r="W22" s="769"/>
      <c r="X22" s="1808"/>
      <c r="Y22" s="3306"/>
      <c r="Z22" s="1809"/>
      <c r="AA22" s="1806">
        <v>1</v>
      </c>
      <c r="AB22" s="1806">
        <v>1</v>
      </c>
      <c r="AC22" s="1806">
        <v>1</v>
      </c>
    </row>
    <row r="23" spans="1:29" ht="71.25">
      <c r="A23" s="427"/>
      <c r="B23" s="450" t="s">
        <v>2688</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306"/>
      <c r="Q23" s="1805" t="str">
        <f>B23</f>
        <v>环境质量</v>
      </c>
      <c r="R23" s="768" t="s">
        <v>17</v>
      </c>
      <c r="S23" s="769">
        <f>F23</f>
        <v>100</v>
      </c>
      <c r="T23" s="768" t="s">
        <v>17</v>
      </c>
      <c r="U23" s="769">
        <f>H23</f>
        <v>100</v>
      </c>
      <c r="V23" s="768" t="s">
        <v>17</v>
      </c>
      <c r="W23" s="769">
        <f>J23</f>
        <v>100</v>
      </c>
      <c r="X23" s="1808"/>
      <c r="Y23" s="3306"/>
      <c r="Z23" s="1809" t="str">
        <f>Q23</f>
        <v>环境质量</v>
      </c>
      <c r="AA23" s="1806">
        <f t="shared" si="3"/>
        <v>1</v>
      </c>
      <c r="AB23" s="1806">
        <f t="shared" si="4"/>
        <v>1</v>
      </c>
      <c r="AC23" s="1806">
        <f t="shared" si="5"/>
        <v>1</v>
      </c>
    </row>
    <row r="24" spans="1:29" ht="15">
      <c r="A24" s="427"/>
      <c r="B24" s="1379"/>
      <c r="C24" s="446"/>
      <c r="D24" s="447"/>
      <c r="E24" s="2598"/>
      <c r="F24" s="448"/>
      <c r="G24" s="2597"/>
      <c r="H24" s="447"/>
      <c r="I24" s="2598"/>
      <c r="J24" s="447"/>
      <c r="K24" s="614"/>
      <c r="L24" s="1137"/>
      <c r="M24" s="1128"/>
      <c r="N24" s="1128"/>
      <c r="O24" s="1136"/>
      <c r="P24" s="3306"/>
      <c r="Q24" s="1805"/>
      <c r="R24" s="768"/>
      <c r="S24" s="769"/>
      <c r="T24" s="768"/>
      <c r="U24" s="769"/>
      <c r="V24" s="768"/>
      <c r="W24" s="769"/>
      <c r="X24" s="1808"/>
      <c r="Y24" s="3306"/>
      <c r="Z24" s="1809"/>
      <c r="AA24" s="1806">
        <v>1</v>
      </c>
      <c r="AB24" s="1806">
        <v>1</v>
      </c>
      <c r="AC24" s="1806">
        <v>1</v>
      </c>
    </row>
    <row r="25" spans="1:29" ht="15">
      <c r="A25" s="403"/>
      <c r="B25" s="1381">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306"/>
      <c r="Q25" s="1805">
        <f>B25</f>
        <v>111</v>
      </c>
      <c r="R25" s="768" t="s">
        <v>17</v>
      </c>
      <c r="S25" s="769">
        <f>F25</f>
        <v>100</v>
      </c>
      <c r="T25" s="768" t="s">
        <v>17</v>
      </c>
      <c r="U25" s="769">
        <f>H25</f>
        <v>100</v>
      </c>
      <c r="V25" s="768" t="s">
        <v>17</v>
      </c>
      <c r="W25" s="769">
        <f>J25</f>
        <v>100</v>
      </c>
      <c r="X25" s="1808"/>
      <c r="Y25" s="3306"/>
      <c r="Z25" s="1809">
        <f>Q25</f>
        <v>111</v>
      </c>
      <c r="AA25" s="1806">
        <f t="shared" si="3"/>
        <v>1</v>
      </c>
      <c r="AB25" s="1806">
        <f t="shared" si="4"/>
        <v>1</v>
      </c>
      <c r="AC25" s="1806">
        <f t="shared" si="5"/>
        <v>1</v>
      </c>
    </row>
    <row r="26" spans="1:29" ht="15">
      <c r="A26" s="427"/>
      <c r="B26" s="1381">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306"/>
      <c r="Q26" s="1805">
        <f t="shared" ref="Q26:Q40" si="11">B26</f>
        <v>111</v>
      </c>
      <c r="R26" s="768" t="s">
        <v>17</v>
      </c>
      <c r="S26" s="769">
        <f>F26</f>
        <v>100</v>
      </c>
      <c r="T26" s="768" t="s">
        <v>17</v>
      </c>
      <c r="U26" s="769">
        <f>H26</f>
        <v>100</v>
      </c>
      <c r="V26" s="768" t="s">
        <v>17</v>
      </c>
      <c r="W26" s="769">
        <f>J26</f>
        <v>100</v>
      </c>
      <c r="X26" s="1808"/>
      <c r="Y26" s="3306"/>
      <c r="Z26" s="1809">
        <f>Q26</f>
        <v>111</v>
      </c>
      <c r="AA26" s="1806">
        <f t="shared" si="3"/>
        <v>1</v>
      </c>
      <c r="AB26" s="1806">
        <f t="shared" si="4"/>
        <v>1</v>
      </c>
      <c r="AC26" s="1806">
        <f t="shared" si="5"/>
        <v>1</v>
      </c>
    </row>
    <row r="27" spans="1:29" s="116" customFormat="1" ht="15">
      <c r="A27" s="430"/>
      <c r="B27" s="1381">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306"/>
      <c r="Q27" s="1790">
        <f t="shared" si="11"/>
        <v>111</v>
      </c>
      <c r="R27" s="764" t="s">
        <v>17</v>
      </c>
      <c r="S27" s="765">
        <f>F27</f>
        <v>100</v>
      </c>
      <c r="T27" s="764" t="s">
        <v>17</v>
      </c>
      <c r="U27" s="765">
        <f>H27</f>
        <v>100</v>
      </c>
      <c r="V27" s="764" t="s">
        <v>17</v>
      </c>
      <c r="W27" s="765">
        <f>J27</f>
        <v>100</v>
      </c>
      <c r="X27" s="766"/>
      <c r="Y27" s="3306"/>
      <c r="Z27" s="54">
        <f>Q27</f>
        <v>111</v>
      </c>
      <c r="AA27" s="1806">
        <f>D27/F27</f>
        <v>1</v>
      </c>
      <c r="AB27" s="1806">
        <f>D27/H27</f>
        <v>1</v>
      </c>
      <c r="AC27" s="1806">
        <f>D27/J27</f>
        <v>1</v>
      </c>
    </row>
    <row r="28" spans="1:29" ht="15.75" thickBot="1">
      <c r="A28" s="435"/>
      <c r="B28" s="1381">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306"/>
      <c r="Q28" s="1805">
        <f t="shared" si="11"/>
        <v>111</v>
      </c>
      <c r="R28" s="768" t="s">
        <v>17</v>
      </c>
      <c r="S28" s="769">
        <f t="shared" ref="S28:S40" si="12">F28</f>
        <v>100</v>
      </c>
      <c r="T28" s="768" t="s">
        <v>17</v>
      </c>
      <c r="U28" s="769">
        <f t="shared" ref="U28:U40" si="13">H28</f>
        <v>100</v>
      </c>
      <c r="V28" s="768" t="s">
        <v>17</v>
      </c>
      <c r="W28" s="769">
        <f t="shared" ref="W28:W40" si="14">J28</f>
        <v>100</v>
      </c>
      <c r="X28" s="1808"/>
      <c r="Y28" s="3306"/>
      <c r="Z28" s="1809">
        <f t="shared" ref="Z28:Z40" si="15">Q28</f>
        <v>111</v>
      </c>
      <c r="AA28" s="1806">
        <f t="shared" si="3"/>
        <v>1</v>
      </c>
      <c r="AB28" s="1806">
        <f t="shared" si="4"/>
        <v>1</v>
      </c>
      <c r="AC28" s="1806">
        <f t="shared" si="5"/>
        <v>1</v>
      </c>
    </row>
    <row r="29" spans="1:29" ht="15">
      <c r="A29" s="465" t="s">
        <v>2561</v>
      </c>
      <c r="B29" s="70" t="s">
        <v>2691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366" t="s">
        <v>2563</v>
      </c>
      <c r="Q29" s="1805" t="str">
        <f t="shared" si="11"/>
        <v>建筑类型</v>
      </c>
      <c r="R29" s="768" t="s">
        <v>17</v>
      </c>
      <c r="S29" s="769">
        <f t="shared" si="12"/>
        <v>100</v>
      </c>
      <c r="T29" s="768" t="s">
        <v>17</v>
      </c>
      <c r="U29" s="769">
        <f t="shared" si="13"/>
        <v>100</v>
      </c>
      <c r="V29" s="768" t="s">
        <v>17</v>
      </c>
      <c r="W29" s="769">
        <f t="shared" si="14"/>
        <v>100</v>
      </c>
      <c r="X29" s="1808"/>
      <c r="Y29" s="3310" t="s">
        <v>2563</v>
      </c>
      <c r="Z29" s="1809" t="str">
        <f t="shared" si="15"/>
        <v>建筑类型</v>
      </c>
      <c r="AA29" s="1806">
        <f t="shared" si="3"/>
        <v>1</v>
      </c>
      <c r="AB29" s="1806">
        <f t="shared" si="4"/>
        <v>1</v>
      </c>
      <c r="AC29" s="1806">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310"/>
      <c r="Q30" s="770" t="str">
        <f t="shared" si="11"/>
        <v>项目建筑规模</v>
      </c>
      <c r="R30" s="771" t="s">
        <v>17</v>
      </c>
      <c r="S30" s="772" t="e">
        <f t="shared" si="12"/>
        <v>#N/A</v>
      </c>
      <c r="T30" s="771" t="s">
        <v>17</v>
      </c>
      <c r="U30" s="772" t="e">
        <f t="shared" si="13"/>
        <v>#N/A</v>
      </c>
      <c r="V30" s="771" t="s">
        <v>17</v>
      </c>
      <c r="W30" s="772" t="e">
        <f t="shared" si="14"/>
        <v>#N/A</v>
      </c>
      <c r="X30" s="773"/>
      <c r="Y30" s="3310"/>
      <c r="Z30" s="774" t="str">
        <f t="shared" si="15"/>
        <v>项目建筑规模</v>
      </c>
      <c r="AA30" s="1806" t="e">
        <f t="shared" si="3"/>
        <v>#N/A</v>
      </c>
      <c r="AB30" s="1806" t="e">
        <f t="shared" si="4"/>
        <v>#N/A</v>
      </c>
      <c r="AC30" s="1806"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310"/>
      <c r="Q31" s="1805" t="str">
        <f t="shared" si="11"/>
        <v>建筑结构</v>
      </c>
      <c r="R31" s="768" t="s">
        <v>17</v>
      </c>
      <c r="S31" s="769">
        <f t="shared" si="12"/>
        <v>100</v>
      </c>
      <c r="T31" s="768" t="s">
        <v>17</v>
      </c>
      <c r="U31" s="769">
        <f t="shared" si="13"/>
        <v>100</v>
      </c>
      <c r="V31" s="768" t="s">
        <v>17</v>
      </c>
      <c r="W31" s="769">
        <f t="shared" si="14"/>
        <v>100</v>
      </c>
      <c r="X31" s="1808"/>
      <c r="Y31" s="3310"/>
      <c r="Z31" s="1809" t="str">
        <f t="shared" si="15"/>
        <v>建筑结构</v>
      </c>
      <c r="AA31" s="1806">
        <f t="shared" si="3"/>
        <v>1</v>
      </c>
      <c r="AB31" s="1806">
        <f t="shared" si="4"/>
        <v>1</v>
      </c>
      <c r="AC31" s="1806">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310"/>
      <c r="Q32" s="1805" t="str">
        <f t="shared" si="11"/>
        <v>公共部分装修</v>
      </c>
      <c r="R32" s="768" t="s">
        <v>17</v>
      </c>
      <c r="S32" s="769">
        <f t="shared" si="12"/>
        <v>100</v>
      </c>
      <c r="T32" s="768" t="s">
        <v>17</v>
      </c>
      <c r="U32" s="769">
        <f t="shared" si="13"/>
        <v>100</v>
      </c>
      <c r="V32" s="768" t="s">
        <v>17</v>
      </c>
      <c r="W32" s="769">
        <f t="shared" si="14"/>
        <v>100</v>
      </c>
      <c r="X32" s="1808"/>
      <c r="Y32" s="3310"/>
      <c r="Z32" s="1809" t="str">
        <f t="shared" si="15"/>
        <v>公共部分装修</v>
      </c>
      <c r="AA32" s="1806">
        <f t="shared" si="3"/>
        <v>1</v>
      </c>
      <c r="AB32" s="1806">
        <f t="shared" si="4"/>
        <v>1</v>
      </c>
      <c r="AC32" s="1806">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310"/>
      <c r="Q33" s="1805" t="str">
        <f t="shared" si="11"/>
        <v>成新度</v>
      </c>
      <c r="R33" s="768" t="s">
        <v>17</v>
      </c>
      <c r="S33" s="769" t="e">
        <f t="shared" si="12"/>
        <v>#N/A</v>
      </c>
      <c r="T33" s="768" t="s">
        <v>17</v>
      </c>
      <c r="U33" s="769" t="e">
        <f t="shared" si="13"/>
        <v>#N/A</v>
      </c>
      <c r="V33" s="768" t="s">
        <v>17</v>
      </c>
      <c r="W33" s="769" t="e">
        <f t="shared" si="14"/>
        <v>#N/A</v>
      </c>
      <c r="X33" s="1808"/>
      <c r="Y33" s="3310"/>
      <c r="Z33" s="1809" t="str">
        <f t="shared" si="15"/>
        <v>成新度</v>
      </c>
      <c r="AA33" s="1806" t="e">
        <f t="shared" si="3"/>
        <v>#N/A</v>
      </c>
      <c r="AB33" s="1806" t="e">
        <f t="shared" si="4"/>
        <v>#N/A</v>
      </c>
      <c r="AC33" s="1806"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310"/>
      <c r="Q34" s="1790" t="str">
        <f t="shared" si="11"/>
        <v>物业管理</v>
      </c>
      <c r="R34" s="764" t="s">
        <v>17</v>
      </c>
      <c r="S34" s="765">
        <f t="shared" si="12"/>
        <v>100</v>
      </c>
      <c r="T34" s="764" t="s">
        <v>17</v>
      </c>
      <c r="U34" s="765">
        <f t="shared" si="13"/>
        <v>100</v>
      </c>
      <c r="V34" s="764" t="s">
        <v>17</v>
      </c>
      <c r="W34" s="765">
        <f t="shared" si="14"/>
        <v>100</v>
      </c>
      <c r="X34" s="766"/>
      <c r="Y34" s="3310"/>
      <c r="Z34" s="54" t="str">
        <f t="shared" si="15"/>
        <v>物业管理</v>
      </c>
      <c r="AA34" s="767">
        <f t="shared" si="3"/>
        <v>1</v>
      </c>
      <c r="AB34" s="767">
        <f t="shared" si="4"/>
        <v>1</v>
      </c>
      <c r="AC34" s="767">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310" t="s">
        <v>2563</v>
      </c>
      <c r="Q35" s="1805" t="str">
        <f t="shared" si="11"/>
        <v>市政基础设施</v>
      </c>
      <c r="R35" s="768" t="s">
        <v>17</v>
      </c>
      <c r="S35" s="769">
        <f t="shared" si="12"/>
        <v>100</v>
      </c>
      <c r="T35" s="768" t="s">
        <v>17</v>
      </c>
      <c r="U35" s="769">
        <f t="shared" si="13"/>
        <v>100</v>
      </c>
      <c r="V35" s="768" t="s">
        <v>17</v>
      </c>
      <c r="W35" s="769">
        <f t="shared" si="14"/>
        <v>100</v>
      </c>
      <c r="X35" s="1808"/>
      <c r="Y35" s="3310" t="s">
        <v>2563</v>
      </c>
      <c r="Z35" s="1809" t="str">
        <f t="shared" si="15"/>
        <v>市政基础设施</v>
      </c>
      <c r="AA35" s="1806">
        <f t="shared" si="3"/>
        <v>1</v>
      </c>
      <c r="AB35" s="1806">
        <f t="shared" si="4"/>
        <v>1</v>
      </c>
      <c r="AC35" s="1806">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310"/>
      <c r="Q36" s="1805" t="str">
        <f t="shared" si="11"/>
        <v>内部装修</v>
      </c>
      <c r="R36" s="768" t="s">
        <v>17</v>
      </c>
      <c r="S36" s="769">
        <f t="shared" si="12"/>
        <v>100</v>
      </c>
      <c r="T36" s="768" t="s">
        <v>17</v>
      </c>
      <c r="U36" s="769">
        <f t="shared" si="13"/>
        <v>100</v>
      </c>
      <c r="V36" s="768" t="s">
        <v>17</v>
      </c>
      <c r="W36" s="769">
        <f t="shared" si="14"/>
        <v>100</v>
      </c>
      <c r="X36" s="1808"/>
      <c r="Y36" s="3310"/>
      <c r="Z36" s="1809" t="str">
        <f t="shared" si="15"/>
        <v>内部装修</v>
      </c>
      <c r="AA36" s="1806">
        <f t="shared" si="3"/>
        <v>1</v>
      </c>
      <c r="AB36" s="1806">
        <f t="shared" si="4"/>
        <v>1</v>
      </c>
      <c r="AC36" s="1806">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310"/>
      <c r="Q37" s="1805" t="str">
        <f t="shared" si="11"/>
        <v>内部装修状况</v>
      </c>
      <c r="R37" s="768" t="s">
        <v>17</v>
      </c>
      <c r="S37" s="769">
        <f t="shared" si="12"/>
        <v>100</v>
      </c>
      <c r="T37" s="768" t="s">
        <v>17</v>
      </c>
      <c r="U37" s="769">
        <f t="shared" si="13"/>
        <v>100</v>
      </c>
      <c r="V37" s="768" t="s">
        <v>17</v>
      </c>
      <c r="W37" s="769">
        <f t="shared" si="14"/>
        <v>100</v>
      </c>
      <c r="X37" s="1808"/>
      <c r="Y37" s="3310"/>
      <c r="Z37" s="1809" t="str">
        <f t="shared" si="15"/>
        <v>内部装修状况</v>
      </c>
      <c r="AA37" s="1806">
        <f t="shared" si="3"/>
        <v>1</v>
      </c>
      <c r="AB37" s="1806">
        <f t="shared" si="4"/>
        <v>1</v>
      </c>
      <c r="AC37" s="1806">
        <f t="shared" si="5"/>
        <v>1</v>
      </c>
    </row>
    <row r="38" spans="1:29" s="470" customFormat="1" ht="15">
      <c r="A38" s="467"/>
      <c r="B38" s="1381">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310"/>
      <c r="Q38" s="770">
        <f t="shared" si="11"/>
        <v>111</v>
      </c>
      <c r="R38" s="771" t="s">
        <v>17</v>
      </c>
      <c r="S38" s="772">
        <f t="shared" si="12"/>
        <v>100</v>
      </c>
      <c r="T38" s="771" t="s">
        <v>17</v>
      </c>
      <c r="U38" s="772">
        <f t="shared" si="13"/>
        <v>100</v>
      </c>
      <c r="V38" s="771" t="s">
        <v>17</v>
      </c>
      <c r="W38" s="772">
        <f t="shared" si="14"/>
        <v>100</v>
      </c>
      <c r="X38" s="773"/>
      <c r="Y38" s="3310"/>
      <c r="Z38" s="774">
        <f t="shared" si="15"/>
        <v>111</v>
      </c>
      <c r="AA38" s="1806">
        <f t="shared" si="3"/>
        <v>1</v>
      </c>
      <c r="AB38" s="1806">
        <f t="shared" si="4"/>
        <v>1</v>
      </c>
      <c r="AC38" s="1806">
        <f t="shared" si="5"/>
        <v>1</v>
      </c>
    </row>
    <row r="39" spans="1:29" ht="15">
      <c r="A39" s="471"/>
      <c r="B39" s="1381">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310"/>
      <c r="Q39" s="1805">
        <f t="shared" si="11"/>
        <v>111</v>
      </c>
      <c r="R39" s="768" t="s">
        <v>17</v>
      </c>
      <c r="S39" s="769">
        <f t="shared" si="12"/>
        <v>100</v>
      </c>
      <c r="T39" s="768" t="s">
        <v>17</v>
      </c>
      <c r="U39" s="769">
        <f t="shared" si="13"/>
        <v>100</v>
      </c>
      <c r="V39" s="768" t="s">
        <v>17</v>
      </c>
      <c r="W39" s="769">
        <f t="shared" si="14"/>
        <v>100</v>
      </c>
      <c r="X39" s="1808"/>
      <c r="Y39" s="3310"/>
      <c r="Z39" s="1809">
        <f t="shared" si="15"/>
        <v>111</v>
      </c>
      <c r="AA39" s="1806">
        <f t="shared" si="3"/>
        <v>1</v>
      </c>
      <c r="AB39" s="1806">
        <f t="shared" si="4"/>
        <v>1</v>
      </c>
      <c r="AC39" s="1806">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11"/>
      <c r="Q40" s="1805">
        <f t="shared" si="11"/>
        <v>111</v>
      </c>
      <c r="R40" s="768" t="s">
        <v>17</v>
      </c>
      <c r="S40" s="769">
        <f t="shared" si="12"/>
        <v>100</v>
      </c>
      <c r="T40" s="768" t="s">
        <v>17</v>
      </c>
      <c r="U40" s="769">
        <f t="shared" si="13"/>
        <v>100</v>
      </c>
      <c r="V40" s="768" t="s">
        <v>17</v>
      </c>
      <c r="W40" s="769">
        <f t="shared" si="14"/>
        <v>100</v>
      </c>
      <c r="X40" s="1808"/>
      <c r="Y40" s="3311"/>
      <c r="Z40" s="1809">
        <f t="shared" si="15"/>
        <v>111</v>
      </c>
      <c r="AA40" s="1806">
        <f t="shared" si="3"/>
        <v>1</v>
      </c>
      <c r="AB40" s="1806">
        <f t="shared" si="4"/>
        <v>1</v>
      </c>
      <c r="AC40" s="1806">
        <f t="shared" si="5"/>
        <v>1</v>
      </c>
    </row>
    <row r="41" spans="1:29" ht="15">
      <c r="A41" s="478" t="s">
        <v>2575</v>
      </c>
      <c r="B41" s="479"/>
      <c r="C41" s="1402" t="s">
        <v>1</v>
      </c>
      <c r="D41" s="1403"/>
      <c r="E41" s="1404"/>
      <c r="F41" s="1405"/>
      <c r="G41" s="1406"/>
      <c r="H41" s="1407"/>
      <c r="I41" s="1404"/>
      <c r="J41" s="1407"/>
      <c r="K41" s="777"/>
      <c r="L41" s="1140"/>
      <c r="M41" s="1141"/>
      <c r="N41" s="1128"/>
      <c r="O41" s="1141"/>
      <c r="P41" s="3312" t="str">
        <f>A41</f>
        <v>成交单价（元/平方米）</v>
      </c>
      <c r="Q41" s="3312"/>
      <c r="R41" s="3313">
        <f>E41</f>
        <v>0</v>
      </c>
      <c r="S41" s="3313"/>
      <c r="T41" s="3313">
        <f>G41</f>
        <v>0</v>
      </c>
      <c r="U41" s="3313"/>
      <c r="V41" s="3313">
        <f>I41</f>
        <v>0</v>
      </c>
      <c r="W41" s="3313"/>
      <c r="X41" s="753"/>
      <c r="Y41" s="775"/>
      <c r="Z41" s="753"/>
      <c r="AA41" s="753"/>
      <c r="AB41" s="753"/>
      <c r="AC41" s="753"/>
    </row>
    <row r="42" spans="1:29" ht="15.75" thickBot="1">
      <c r="A42" s="485" t="s">
        <v>2667</v>
      </c>
      <c r="B42" s="486"/>
      <c r="C42" s="1408" t="e">
        <f>R43</f>
        <v>#DIV/0!</v>
      </c>
      <c r="D42" s="1409"/>
      <c r="E42" s="1410" t="e">
        <f>R42</f>
        <v>#DIV/0!</v>
      </c>
      <c r="F42" s="1410"/>
      <c r="G42" s="1408" t="e">
        <f>T42</f>
        <v>#DIV/0!</v>
      </c>
      <c r="H42" s="1409"/>
      <c r="I42" s="1410" t="e">
        <f>V42</f>
        <v>#DIV/0!</v>
      </c>
      <c r="J42" s="1409"/>
      <c r="K42" s="778"/>
      <c r="L42" s="1140"/>
      <c r="M42" s="1141"/>
      <c r="N42" s="1128"/>
      <c r="O42" s="1141"/>
      <c r="P42" s="3312" t="str">
        <f>A42</f>
        <v>比较价值（元/平方米）</v>
      </c>
      <c r="Q42" s="3312"/>
      <c r="R42" s="3313" t="e">
        <f>IF(F1="售价",ROUND(PRODUCT(R41,AA7:AA40),0),ROUND(PRODUCT(R41,AA7:AA40),1))</f>
        <v>#DIV/0!</v>
      </c>
      <c r="S42" s="3313"/>
      <c r="T42" s="3313" t="e">
        <f>IF(F1="售价",ROUND(PRODUCT(T41,AB7:AB40),0),ROUND(PRODUCT(T41,AB7:AB40),1))</f>
        <v>#DIV/0!</v>
      </c>
      <c r="U42" s="3313"/>
      <c r="V42" s="3313" t="e">
        <f>IF(F1="售价",ROUND(PRODUCT(V41,AC7:AC40),0),ROUND(PRODUCT(V41,AC7:AC40),1))</f>
        <v>#DIV/0!</v>
      </c>
      <c r="W42" s="3313"/>
      <c r="X42" s="753"/>
      <c r="Y42" s="753"/>
      <c r="Z42" s="753"/>
      <c r="AA42" s="753"/>
      <c r="AB42" s="753"/>
      <c r="AC42" s="753"/>
    </row>
    <row r="43" spans="1:29" ht="15.75" thickBot="1">
      <c r="A43" s="491" t="s">
        <v>2668</v>
      </c>
      <c r="B43" s="492"/>
      <c r="C43" s="1412" t="e">
        <f>R43</f>
        <v>#DIV/0!</v>
      </c>
      <c r="D43" s="1412"/>
      <c r="E43" s="1412"/>
      <c r="F43" s="1412"/>
      <c r="G43" s="1412"/>
      <c r="H43" s="1412"/>
      <c r="I43" s="1412"/>
      <c r="J43" s="1412"/>
      <c r="K43" s="779"/>
      <c r="L43" s="1140"/>
      <c r="M43" s="1141"/>
      <c r="N43" s="1141"/>
      <c r="O43" s="1141"/>
      <c r="P43" s="3314" t="str">
        <f>A43</f>
        <v>估价对象XX用房的比较价值（楼面单价，元/平方米）</v>
      </c>
      <c r="Q43" s="3315"/>
      <c r="R43" s="3316" t="e">
        <f>IF(F1="售价",ROUND(AVERAGE(R42:V42),0),ROUND(AVERAGE(R42:V42),1))</f>
        <v>#DIV/0!</v>
      </c>
      <c r="S43" s="3316"/>
      <c r="T43" s="3316"/>
      <c r="U43" s="3316"/>
      <c r="V43" s="3316"/>
      <c r="W43" s="3316"/>
      <c r="X43" s="753"/>
      <c r="Y43" s="753"/>
      <c r="Z43" s="753"/>
      <c r="AA43" s="753"/>
      <c r="AB43" s="753"/>
      <c r="AC43" s="753"/>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57" t="s">
        <v>2672</v>
      </c>
      <c r="B51" s="753"/>
      <c r="C51" s="758"/>
      <c r="D51" s="758"/>
      <c r="E51" s="758"/>
      <c r="F51" s="759"/>
      <c r="G51" s="759"/>
      <c r="H51" s="758"/>
      <c r="I51" s="758"/>
      <c r="J51" s="758"/>
      <c r="K51" s="1157"/>
      <c r="L51" s="1158"/>
      <c r="M51" s="1156"/>
      <c r="N51" s="1156"/>
      <c r="O51" s="1156"/>
      <c r="P51" s="502"/>
      <c r="Q51" s="503"/>
    </row>
    <row r="52" spans="1:17" s="507" customFormat="1" ht="15">
      <c r="A52" s="504" t="s">
        <v>2546</v>
      </c>
      <c r="B52" s="505"/>
      <c r="C52" s="1569" t="str">
        <f>YEAR(C7)&amp;"-"&amp;MONTH(C7)</f>
        <v>2018-4</v>
      </c>
      <c r="D52" s="1570">
        <f>EDATE(C52,-1)</f>
        <v>43160</v>
      </c>
      <c r="E52" s="1570">
        <f t="shared" ref="E52:O52" si="16">EDATE(D52,-1)</f>
        <v>43132</v>
      </c>
      <c r="F52" s="1570">
        <f t="shared" si="16"/>
        <v>43101</v>
      </c>
      <c r="G52" s="1570">
        <f t="shared" si="16"/>
        <v>43070</v>
      </c>
      <c r="H52" s="1570">
        <f t="shared" si="16"/>
        <v>43040</v>
      </c>
      <c r="I52" s="1570">
        <f t="shared" si="16"/>
        <v>43009</v>
      </c>
      <c r="J52" s="1570">
        <f t="shared" si="16"/>
        <v>42979</v>
      </c>
      <c r="K52" s="1570">
        <f t="shared" si="16"/>
        <v>42948</v>
      </c>
      <c r="L52" s="1570">
        <f t="shared" si="16"/>
        <v>42917</v>
      </c>
      <c r="M52" s="1570">
        <f t="shared" si="16"/>
        <v>42887</v>
      </c>
      <c r="N52" s="1570">
        <f t="shared" si="16"/>
        <v>42856</v>
      </c>
      <c r="O52" s="1570">
        <f t="shared" si="16"/>
        <v>42826</v>
      </c>
      <c r="P52" s="506"/>
    </row>
    <row r="53" spans="1:17" s="116" customFormat="1" ht="15">
      <c r="A53" s="508"/>
      <c r="B53" s="509"/>
      <c r="C53" s="1568">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48"/>
      <c r="O55" s="1148"/>
      <c r="P55" s="525"/>
      <c r="Q55" s="503"/>
    </row>
    <row r="56" spans="1:17" s="116" customFormat="1" ht="15.75" thickBot="1">
      <c r="A56" s="520"/>
      <c r="B56" s="509"/>
      <c r="C56" s="637">
        <v>100</v>
      </c>
      <c r="D56" s="511"/>
      <c r="E56" s="511"/>
      <c r="F56" s="511"/>
      <c r="G56" s="511"/>
      <c r="H56" s="511"/>
      <c r="I56" s="511"/>
      <c r="J56" s="511"/>
      <c r="K56" s="511"/>
      <c r="L56" s="511"/>
      <c r="M56" s="513"/>
      <c r="N56" s="1148"/>
      <c r="O56" s="1148"/>
      <c r="P56" s="503"/>
      <c r="Q56" s="503"/>
    </row>
    <row r="57" spans="1:17">
      <c r="A57" s="526" t="s">
        <v>2586</v>
      </c>
      <c r="B57" s="527" t="s">
        <v>2552</v>
      </c>
      <c r="C57" s="528">
        <f>C9</f>
        <v>0</v>
      </c>
      <c r="D57" s="529"/>
      <c r="E57" s="529"/>
      <c r="F57" s="529"/>
      <c r="G57" s="529"/>
      <c r="H57" s="529"/>
      <c r="I57" s="529"/>
      <c r="J57" s="529"/>
      <c r="K57" s="530"/>
      <c r="L57" s="531"/>
      <c r="M57" s="532"/>
      <c r="N57" s="1149"/>
      <c r="O57" s="1149"/>
      <c r="P57" s="44"/>
      <c r="Q57" s="503"/>
    </row>
    <row r="58" spans="1:17" ht="15.75" thickBot="1">
      <c r="A58" s="533"/>
      <c r="B58" s="534"/>
      <c r="C58" s="535">
        <v>100</v>
      </c>
      <c r="D58" s="535"/>
      <c r="E58" s="535"/>
      <c r="F58" s="535"/>
      <c r="G58" s="535"/>
      <c r="H58" s="535"/>
      <c r="I58" s="535"/>
      <c r="J58" s="535"/>
      <c r="K58" s="535"/>
      <c r="L58" s="535"/>
      <c r="M58" s="536"/>
      <c r="N58" s="1150"/>
      <c r="O58" s="1150"/>
      <c r="P58" s="44"/>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49"/>
      <c r="O59" s="1149"/>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4"/>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4"/>
      <c r="Q61" s="503"/>
    </row>
    <row r="62" spans="1:17" ht="15">
      <c r="A62" s="533"/>
      <c r="B62" s="547"/>
      <c r="C62" s="548"/>
      <c r="D62" s="548"/>
      <c r="E62" s="548"/>
      <c r="F62" s="548"/>
      <c r="G62" s="548"/>
      <c r="H62" s="548"/>
      <c r="I62" s="548"/>
      <c r="J62" s="548"/>
      <c r="K62" s="549"/>
      <c r="L62" s="550"/>
      <c r="M62" s="551"/>
      <c r="N62" s="1149"/>
      <c r="O62" s="1149"/>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4"/>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4"/>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49"/>
      <c r="O72" s="1149"/>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4"/>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49"/>
      <c r="O74" s="1149"/>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4"/>
      <c r="Q75" s="503"/>
    </row>
    <row r="76" spans="1:17" ht="15.75" thickTop="1">
      <c r="A76" s="533"/>
      <c r="B76" s="545" t="s">
        <v>2687</v>
      </c>
      <c r="C76" s="658" t="s">
        <v>2673</v>
      </c>
      <c r="D76" s="658" t="s">
        <v>2674</v>
      </c>
      <c r="E76" s="658" t="s">
        <v>2675</v>
      </c>
      <c r="F76" s="658" t="s">
        <v>2676</v>
      </c>
      <c r="G76" s="658" t="s">
        <v>2677</v>
      </c>
      <c r="H76" s="538"/>
      <c r="I76" s="538"/>
      <c r="J76" s="538"/>
      <c r="K76" s="538"/>
      <c r="L76" s="538"/>
      <c r="M76" s="1377"/>
      <c r="N76" s="1150"/>
      <c r="O76" s="1150"/>
      <c r="P76" s="44"/>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0"/>
      <c r="O77" s="1150"/>
      <c r="P77" s="44"/>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49"/>
      <c r="O78" s="1149"/>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4"/>
      <c r="Q79" s="503"/>
    </row>
    <row r="80" spans="1:17" s="116" customFormat="1" ht="15.75" thickTop="1">
      <c r="A80" s="578"/>
      <c r="B80" s="537">
        <f>B25</f>
        <v>111</v>
      </c>
      <c r="C80" s="553"/>
      <c r="D80" s="553"/>
      <c r="E80" s="553"/>
      <c r="F80" s="553"/>
      <c r="G80" s="553"/>
      <c r="H80" s="553"/>
      <c r="I80" s="553"/>
      <c r="J80" s="553"/>
      <c r="K80" s="553"/>
      <c r="L80" s="579"/>
      <c r="M80" s="580"/>
      <c r="N80" s="1148"/>
      <c r="O80" s="1148"/>
      <c r="P80" s="44"/>
      <c r="Q80" s="503"/>
    </row>
    <row r="81" spans="1:17" s="116" customFormat="1" ht="15.75" thickBot="1">
      <c r="A81" s="578"/>
      <c r="B81" s="542"/>
      <c r="C81" s="559"/>
      <c r="D81" s="535"/>
      <c r="E81" s="535"/>
      <c r="F81" s="535"/>
      <c r="G81" s="535"/>
      <c r="H81" s="535"/>
      <c r="I81" s="535"/>
      <c r="J81" s="535"/>
      <c r="K81" s="535"/>
      <c r="L81" s="535"/>
      <c r="M81" s="536"/>
      <c r="N81" s="1150"/>
      <c r="O81" s="1150"/>
      <c r="P81" s="44"/>
      <c r="Q81" s="503"/>
    </row>
    <row r="82" spans="1:17" s="116" customFormat="1" ht="15.75" thickTop="1">
      <c r="A82" s="578"/>
      <c r="B82" s="537">
        <f>B26</f>
        <v>111</v>
      </c>
      <c r="C82" s="553"/>
      <c r="D82" s="553"/>
      <c r="E82" s="553"/>
      <c r="F82" s="553"/>
      <c r="G82" s="553"/>
      <c r="H82" s="553"/>
      <c r="I82" s="553"/>
      <c r="J82" s="553"/>
      <c r="K82" s="553"/>
      <c r="L82" s="579"/>
      <c r="M82" s="580"/>
      <c r="N82" s="1148"/>
      <c r="O82" s="1148"/>
      <c r="P82" s="44"/>
      <c r="Q82" s="503"/>
    </row>
    <row r="83" spans="1:17" s="116" customFormat="1" ht="15.75" thickBot="1">
      <c r="A83" s="578"/>
      <c r="B83" s="542"/>
      <c r="C83" s="559"/>
      <c r="D83" s="535"/>
      <c r="E83" s="535"/>
      <c r="F83" s="535"/>
      <c r="G83" s="535"/>
      <c r="H83" s="535"/>
      <c r="I83" s="535"/>
      <c r="J83" s="535"/>
      <c r="K83" s="535"/>
      <c r="L83" s="535"/>
      <c r="M83" s="536"/>
      <c r="N83" s="1150"/>
      <c r="O83" s="1150"/>
      <c r="P83" s="44"/>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4"/>
      <c r="Q86" s="503"/>
    </row>
    <row r="87" spans="1:17" ht="15.75" thickBot="1">
      <c r="A87" s="2629"/>
      <c r="B87" s="568"/>
      <c r="C87" s="569"/>
      <c r="D87" s="569"/>
      <c r="E87" s="569"/>
      <c r="F87" s="569"/>
      <c r="G87" s="590"/>
      <c r="H87" s="590"/>
      <c r="I87" s="590"/>
      <c r="J87" s="590"/>
      <c r="K87" s="590"/>
      <c r="L87" s="590"/>
      <c r="M87" s="591"/>
      <c r="N87" s="1150"/>
      <c r="O87" s="1150"/>
      <c r="P87" s="44"/>
      <c r="Q87" s="503"/>
    </row>
    <row r="88" spans="1:17">
      <c r="A88" s="526" t="s">
        <v>2561</v>
      </c>
      <c r="B88" s="527" t="s">
        <v>2610</v>
      </c>
      <c r="C88" s="529"/>
      <c r="D88" s="529"/>
      <c r="E88" s="529"/>
      <c r="F88" s="529"/>
      <c r="G88" s="529"/>
      <c r="H88" s="529"/>
      <c r="I88" s="529"/>
      <c r="J88" s="529"/>
      <c r="K88" s="530"/>
      <c r="L88" s="531"/>
      <c r="M88" s="532"/>
      <c r="N88" s="1149"/>
      <c r="O88" s="1149"/>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4"/>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48"/>
      <c r="O90" s="1148"/>
      <c r="P90" s="44"/>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2612</v>
      </c>
      <c r="C93" s="553"/>
      <c r="D93" s="553"/>
      <c r="E93" s="582"/>
      <c r="F93" s="582"/>
      <c r="G93" s="582"/>
      <c r="H93" s="582"/>
      <c r="I93" s="582"/>
      <c r="J93" s="582"/>
      <c r="K93" s="583"/>
      <c r="L93" s="584"/>
      <c r="M93" s="585"/>
      <c r="N93" s="1149"/>
      <c r="O93" s="1149"/>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4"/>
      <c r="Q94" s="503"/>
    </row>
    <row r="95" spans="1:17" ht="15" thickTop="1">
      <c r="A95" s="598"/>
      <c r="B95" s="537" t="s">
        <v>2614</v>
      </c>
      <c r="C95" s="553"/>
      <c r="D95" s="553"/>
      <c r="E95" s="553"/>
      <c r="F95" s="582"/>
      <c r="G95" s="582"/>
      <c r="H95" s="582"/>
      <c r="I95" s="582"/>
      <c r="J95" s="582"/>
      <c r="K95" s="583"/>
      <c r="L95" s="584"/>
      <c r="M95" s="585"/>
      <c r="N95" s="1149"/>
      <c r="O95" s="1149"/>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4"/>
      <c r="Q96" s="503"/>
    </row>
    <row r="97" spans="1:17" ht="15" thickTop="1">
      <c r="A97" s="598"/>
      <c r="B97" s="537" t="s">
        <v>1994</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4"/>
      <c r="Q97" s="503"/>
    </row>
    <row r="98" spans="1:17">
      <c r="A98" s="598"/>
      <c r="B98" s="545"/>
      <c r="C98" s="602">
        <v>0.5</v>
      </c>
      <c r="D98" s="602">
        <v>0.6</v>
      </c>
      <c r="E98" s="602">
        <v>0.7</v>
      </c>
      <c r="F98" s="602">
        <v>0.8</v>
      </c>
      <c r="G98" s="602">
        <v>0.9</v>
      </c>
      <c r="H98" s="602">
        <v>1.0001</v>
      </c>
      <c r="I98" s="621"/>
      <c r="J98" s="621"/>
      <c r="K98" s="622"/>
      <c r="L98" s="623"/>
      <c r="M98" s="624"/>
      <c r="N98" s="1149"/>
      <c r="O98" s="1149"/>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4"/>
      <c r="Q99" s="503"/>
    </row>
    <row r="100" spans="1:17" s="470" customFormat="1" ht="15" thickTop="1">
      <c r="A100" s="592"/>
      <c r="B100" s="537" t="s">
        <v>2615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2616</v>
      </c>
      <c r="C102" s="553"/>
      <c r="D102" s="553"/>
      <c r="E102" s="553"/>
      <c r="F102" s="553"/>
      <c r="G102" s="553"/>
      <c r="H102" s="582"/>
      <c r="I102" s="582"/>
      <c r="J102" s="582"/>
      <c r="K102" s="583"/>
      <c r="L102" s="584"/>
      <c r="M102" s="585"/>
      <c r="N102" s="1149"/>
      <c r="O102" s="1149"/>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4"/>
      <c r="Q103" s="503"/>
    </row>
    <row r="104" spans="1:17" ht="15" thickTop="1">
      <c r="A104" s="598"/>
      <c r="B104" s="537" t="s">
        <v>2618</v>
      </c>
      <c r="C104" s="553"/>
      <c r="D104" s="553"/>
      <c r="E104" s="553"/>
      <c r="F104" s="553"/>
      <c r="G104" s="553"/>
      <c r="H104" s="582"/>
      <c r="I104" s="582"/>
      <c r="J104" s="582"/>
      <c r="K104" s="583"/>
      <c r="L104" s="584"/>
      <c r="M104" s="585"/>
      <c r="N104" s="1149"/>
      <c r="O104" s="1149"/>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4"/>
      <c r="Q105" s="503"/>
    </row>
    <row r="106" spans="1:17" ht="15" thickTop="1">
      <c r="A106" s="598"/>
      <c r="B106" s="634" t="s">
        <v>2704</v>
      </c>
      <c r="C106" s="577" t="s">
        <v>2595</v>
      </c>
      <c r="D106" s="577" t="s">
        <v>2596</v>
      </c>
      <c r="E106" s="577" t="s">
        <v>2597</v>
      </c>
      <c r="F106" s="577" t="s">
        <v>2598</v>
      </c>
      <c r="G106" s="577" t="s">
        <v>2599</v>
      </c>
      <c r="H106" s="538"/>
      <c r="I106" s="538"/>
      <c r="J106" s="538"/>
      <c r="K106" s="539"/>
      <c r="L106" s="540"/>
      <c r="M106" s="541"/>
      <c r="N106" s="1150"/>
      <c r="O106" s="1150"/>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4"/>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4"/>
      <c r="Q110" s="503"/>
    </row>
    <row r="111" spans="1:17" ht="15.75" thickBot="1">
      <c r="A111" s="533"/>
      <c r="B111" s="542"/>
      <c r="C111" s="559"/>
      <c r="D111" s="535"/>
      <c r="E111" s="535"/>
      <c r="F111" s="535"/>
      <c r="G111" s="559"/>
      <c r="H111" s="561"/>
      <c r="I111" s="561"/>
      <c r="J111" s="561"/>
      <c r="K111" s="561"/>
      <c r="L111" s="561"/>
      <c r="M111" s="562"/>
      <c r="N111" s="1150"/>
      <c r="O111" s="1150"/>
      <c r="P111" s="44"/>
      <c r="Q111" s="503"/>
    </row>
    <row r="112" spans="1:17" ht="15" thickTop="1">
      <c r="A112" s="598"/>
      <c r="B112" s="545">
        <f>B40</f>
        <v>111</v>
      </c>
      <c r="C112" s="522"/>
      <c r="D112" s="522"/>
      <c r="E112" s="522"/>
      <c r="F112" s="522"/>
      <c r="G112" s="586"/>
      <c r="H112" s="586"/>
      <c r="I112" s="586"/>
      <c r="J112" s="586"/>
      <c r="K112" s="522"/>
      <c r="L112" s="523"/>
      <c r="M112" s="589"/>
      <c r="N112" s="1149"/>
      <c r="O112" s="1149"/>
      <c r="P112" s="44"/>
      <c r="Q112" s="503"/>
    </row>
    <row r="113" spans="1:17" ht="15.75" thickBot="1">
      <c r="A113" s="2629"/>
      <c r="B113" s="568"/>
      <c r="C113" s="569"/>
      <c r="D113" s="569"/>
      <c r="E113" s="569"/>
      <c r="F113" s="569"/>
      <c r="G113" s="590"/>
      <c r="H113" s="590"/>
      <c r="I113" s="590"/>
      <c r="J113" s="590"/>
      <c r="K113" s="590"/>
      <c r="L113" s="590"/>
      <c r="M113" s="591"/>
      <c r="N113" s="1150"/>
      <c r="O113" s="1150"/>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1610</v>
      </c>
    </row>
    <row r="2" spans="1:1">
      <c r="A2" s="1941"/>
    </row>
    <row r="3" spans="1:1" ht="18">
      <c r="A3" s="1942" t="str">
        <f>项目基本情况!B5&amp;"："</f>
        <v>中信信托有限责任公司：</v>
      </c>
    </row>
    <row r="4" spans="1:1" ht="18">
      <c r="A4" s="1943" t="str">
        <f>"受贵公司委托，我公司对"&amp;项目基本情况!S1&amp;"进行了预评估。"</f>
        <v>受贵公司委托，我公司对湖北省武汉市房地产抵押价值进行了预评估。</v>
      </c>
    </row>
    <row r="5" spans="1:1" ht="18.75">
      <c r="A5" s="1944" t="s">
        <v>1611</v>
      </c>
    </row>
    <row r="6" spans="1:1" ht="18.75">
      <c r="A6" s="1945" t="s">
        <v>1612</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估价对象为湖北省武汉市房地产，为武汉统建所有。根据，估价对象（分摊）出让国有建设用地使用权面积为1832.22平方米，建筑面积为14099.39平方米。</v>
      </c>
    </row>
    <row r="8" spans="1:1" ht="57.75">
      <c r="A8" s="1946" t="s">
        <v>1613</v>
      </c>
    </row>
    <row r="9" spans="1:1" ht="18.75">
      <c r="A9" s="1945" t="s">
        <v>1614</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估价对象为湖北省武汉市房地产,属武汉统建开发建设的商业项目，该项目尚在开发建设中。根据，估价对象（分摊）出让国有建设用地使用权面积为1832.22平方米，规划建筑面积为14099.39平方米。</v>
      </c>
    </row>
    <row r="11" spans="1:1" ht="76.5">
      <c r="A11" s="1946" t="s">
        <v>1615</v>
      </c>
    </row>
    <row r="12" spans="1:1" ht="18.75">
      <c r="A12" s="1944" t="s">
        <v>1616</v>
      </c>
    </row>
    <row r="13" spans="1:1" ht="38.25" customHeight="1">
      <c r="A13" s="1947" t="str">
        <f>IF(项目基本情况!B8="抵押",IF(项目基本情况!B5=项目基本情况!B6,定义!C51,定义!B51),定义!D51)</f>
        <v>武汉统建拟使用湖北省武汉市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8" t="s">
        <v>1617</v>
      </c>
    </row>
    <row r="15" spans="1:1" ht="18">
      <c r="A15" s="1949" t="str">
        <f>TEXT(项目基本情况!D3,"yyyy年m月d日;;")&amp;IF(项目基本情况!D3=项目基本情况!B3,"（评估专业人员实地查勘之日）","")</f>
        <v>2018年4月19日（评估专业人员实地查勘之日）</v>
      </c>
    </row>
    <row r="16" spans="1:1" ht="18.75">
      <c r="A16" s="1948" t="s">
        <v>1618</v>
      </c>
    </row>
    <row r="17" spans="1:1" ht="75">
      <c r="A17" s="1943" t="s">
        <v>1619</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19日，估价对象规划用途为商业，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3" t="str">
        <f>IF(项目基本情况!B9="房地产市场价值","——",IF(项目基本情况!E9="——","",定义!C57))</f>
        <v/>
      </c>
    </row>
    <row r="23" spans="1:1" ht="18.75">
      <c r="A23" s="1948" t="s">
        <v>1608</v>
      </c>
    </row>
    <row r="24" spans="1:1" ht="18">
      <c r="A24" s="1950" t="str">
        <f>"本次评估采用的主估价方法为"&amp;结果表!K4&amp;"和"&amp;结果表!L4&amp;"。"</f>
        <v>本次评估采用的主估价方法为收益法和比较法。</v>
      </c>
    </row>
    <row r="25" spans="1:1" ht="18">
      <c r="A25" s="1950"/>
    </row>
    <row r="26" spans="1:1" ht="18.75">
      <c r="A26" s="1951" t="s">
        <v>1609</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2705</v>
      </c>
      <c r="B1" s="1614"/>
      <c r="C1" s="1615" t="s">
        <v>2528</v>
      </c>
      <c r="D1" s="1616"/>
      <c r="E1" s="1617"/>
      <c r="F1" s="2577"/>
      <c r="G1" s="1618" t="s">
        <v>2641</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7" customFormat="1" ht="28.5" customHeight="1" thickTop="1">
      <c r="A2" s="1612" t="s">
        <v>2325</v>
      </c>
      <c r="B2" s="1413" t="e">
        <f ca="1">IF(C2="——",IF(B37="元/平方米",ROUND(C39*D3/10000,0),ROUND(F3*C39/10000,0)),IF(B37="元/平方米",ROUND(C39*D3/10000,0),ROUND(F3*C39/10000,0))-D2)</f>
        <v>#DIV/0!</v>
      </c>
      <c r="C2" s="2579"/>
      <c r="D2" s="1121" t="e">
        <f ca="1">SUMIF(INDIRECT("'"&amp;F2&amp;"'"&amp;"!A:A"),"承租人权益价值",INDIRECT("'"&amp;F2&amp;"'"&amp;"!c:c"))</f>
        <v>#REF!</v>
      </c>
      <c r="E2" s="2580" t="s">
        <v>2326</v>
      </c>
      <c r="F2" s="2581"/>
      <c r="G2" s="1122"/>
      <c r="H2" s="1122"/>
      <c r="I2" s="1122"/>
      <c r="J2" s="1122"/>
      <c r="K2" s="1124"/>
      <c r="L2" s="1125"/>
      <c r="M2" s="1126"/>
      <c r="N2" s="1126"/>
      <c r="O2" s="1126"/>
      <c r="P2" s="1414"/>
      <c r="Q2" s="762"/>
      <c r="R2" s="762"/>
      <c r="S2" s="762"/>
      <c r="T2" s="762"/>
      <c r="U2" s="762"/>
      <c r="V2" s="762"/>
      <c r="W2" s="762"/>
      <c r="X2" s="762"/>
      <c r="Y2" s="762"/>
      <c r="Z2" s="762"/>
      <c r="AA2" s="762"/>
      <c r="AB2" s="762"/>
      <c r="AC2" s="763"/>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22"/>
      <c r="H3" s="1122"/>
      <c r="I3" s="1122"/>
      <c r="J3" s="1122"/>
      <c r="K3" s="1124"/>
      <c r="L3" s="1125"/>
      <c r="M3" s="1126"/>
      <c r="N3" s="1126"/>
      <c r="O3" s="1126"/>
      <c r="P3" s="1414"/>
      <c r="Q3" s="762"/>
      <c r="R3" s="762"/>
      <c r="S3" s="762"/>
      <c r="T3" s="762"/>
      <c r="U3" s="762"/>
      <c r="V3" s="762"/>
      <c r="W3" s="762"/>
      <c r="X3" s="762"/>
      <c r="Y3" s="762"/>
      <c r="Z3" s="762"/>
      <c r="AA3" s="762"/>
      <c r="AB3" s="780"/>
      <c r="AC3" s="776"/>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2" t="s">
        <v>2646</v>
      </c>
      <c r="AC4" s="3271" t="s">
        <v>2647</v>
      </c>
    </row>
    <row r="5" spans="1:29" ht="15">
      <c r="A5" s="403"/>
      <c r="B5" s="404"/>
      <c r="C5" s="3348" t="s">
        <v>2540</v>
      </c>
      <c r="D5" s="3284"/>
      <c r="E5" s="3347" t="s">
        <v>2541</v>
      </c>
      <c r="F5" s="3282"/>
      <c r="G5" s="3348" t="s">
        <v>2542</v>
      </c>
      <c r="H5" s="3284"/>
      <c r="I5" s="3348" t="s">
        <v>2543</v>
      </c>
      <c r="J5" s="3284"/>
      <c r="K5" s="609"/>
      <c r="L5" s="1127"/>
      <c r="M5" s="1128"/>
      <c r="N5" s="1128"/>
      <c r="O5" s="1128"/>
      <c r="P5" s="3296"/>
      <c r="Q5" s="3297"/>
      <c r="R5" s="3279"/>
      <c r="S5" s="3280"/>
      <c r="T5" s="3279"/>
      <c r="U5" s="3280"/>
      <c r="V5" s="3274"/>
      <c r="W5" s="3274"/>
      <c r="X5" s="1808"/>
      <c r="Y5" s="3279"/>
      <c r="Z5" s="3280"/>
      <c r="AA5" s="3272"/>
      <c r="AB5" s="3272"/>
      <c r="AC5" s="3272"/>
    </row>
    <row r="6" spans="1:29" ht="15.75" thickBot="1">
      <c r="A6" s="405"/>
      <c r="B6" s="406"/>
      <c r="C6" s="3349" t="s">
        <v>2544</v>
      </c>
      <c r="D6" s="3286"/>
      <c r="E6" s="3350" t="s">
        <v>2544</v>
      </c>
      <c r="F6" s="3288"/>
      <c r="G6" s="3349" t="s">
        <v>2544</v>
      </c>
      <c r="H6" s="3286"/>
      <c r="I6" s="3349" t="s">
        <v>2544</v>
      </c>
      <c r="J6" s="3286"/>
      <c r="K6" s="609" t="s">
        <v>2545</v>
      </c>
      <c r="L6" s="1127"/>
      <c r="M6" s="1128"/>
      <c r="N6" s="1128"/>
      <c r="O6" s="1128"/>
      <c r="P6" s="3298"/>
      <c r="Q6" s="3299"/>
      <c r="R6" s="3279"/>
      <c r="S6" s="3280"/>
      <c r="T6" s="3300"/>
      <c r="U6" s="3301"/>
      <c r="V6" s="3274"/>
      <c r="W6" s="3274"/>
      <c r="X6" s="1808"/>
      <c r="Y6" s="3300"/>
      <c r="Z6" s="3301"/>
      <c r="AA6" s="3273"/>
      <c r="AB6" s="3273"/>
      <c r="AC6" s="3273"/>
    </row>
    <row r="7" spans="1:29" s="116" customFormat="1" ht="15.75" thickBot="1">
      <c r="A7" s="407" t="s">
        <v>2546</v>
      </c>
      <c r="B7" s="408"/>
      <c r="C7" s="409">
        <f>'数据-取费表'!B2</f>
        <v>43209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75" t="s">
        <v>2547</v>
      </c>
      <c r="Q7" s="3302"/>
      <c r="R7" s="764" t="s">
        <v>17</v>
      </c>
      <c r="S7" s="765">
        <f t="shared" ref="S7:S14" si="0">F7</f>
        <v>0</v>
      </c>
      <c r="T7" s="764" t="s">
        <v>17</v>
      </c>
      <c r="U7" s="765">
        <f t="shared" ref="U7:U14" si="1">H7</f>
        <v>0</v>
      </c>
      <c r="V7" s="764" t="s">
        <v>17</v>
      </c>
      <c r="W7" s="765">
        <f t="shared" ref="W7:W14" si="2">J7</f>
        <v>0</v>
      </c>
      <c r="X7" s="766"/>
      <c r="Y7" s="3275" t="s">
        <v>2547</v>
      </c>
      <c r="Z7" s="3276"/>
      <c r="AA7" s="767" t="e">
        <f>D7/F7</f>
        <v>#DIV/0!</v>
      </c>
      <c r="AB7" s="767" t="e">
        <f>D7/H7</f>
        <v>#DIV/0!</v>
      </c>
      <c r="AC7" s="767"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75" t="s">
        <v>2550</v>
      </c>
      <c r="Q8" s="3276"/>
      <c r="R8" s="764" t="s">
        <v>17</v>
      </c>
      <c r="S8" s="765">
        <f t="shared" si="0"/>
        <v>0</v>
      </c>
      <c r="T8" s="764" t="s">
        <v>17</v>
      </c>
      <c r="U8" s="765">
        <f t="shared" si="1"/>
        <v>0</v>
      </c>
      <c r="V8" s="764" t="s">
        <v>17</v>
      </c>
      <c r="W8" s="765">
        <f t="shared" si="2"/>
        <v>0</v>
      </c>
      <c r="X8" s="766"/>
      <c r="Y8" s="3275" t="s">
        <v>2550</v>
      </c>
      <c r="Z8" s="3276"/>
      <c r="AA8" s="767" t="e">
        <f t="shared" ref="AA8:AA36" si="3">D8/F8</f>
        <v>#DIV/0!</v>
      </c>
      <c r="AB8" s="767" t="e">
        <f t="shared" ref="AB8:AB36" si="4">D8/H8</f>
        <v>#DIV/0!</v>
      </c>
      <c r="AC8" s="767" t="e">
        <f t="shared" ref="AC8:AC36" si="5">D8/J8</f>
        <v>#DIV/0!</v>
      </c>
    </row>
    <row r="9" spans="1:29" s="116" customFormat="1">
      <c r="A9" s="67" t="s">
        <v>2551</v>
      </c>
      <c r="B9" s="638" t="s">
        <v>2552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312" t="s">
        <v>2553</v>
      </c>
      <c r="Q9" s="1790" t="str">
        <f t="shared" ref="Q9:Q14" si="6">B9</f>
        <v>用途</v>
      </c>
      <c r="R9" s="764" t="s">
        <v>17</v>
      </c>
      <c r="S9" s="765">
        <f t="shared" si="0"/>
        <v>100</v>
      </c>
      <c r="T9" s="764" t="s">
        <v>17</v>
      </c>
      <c r="U9" s="765">
        <f t="shared" si="1"/>
        <v>100</v>
      </c>
      <c r="V9" s="764" t="s">
        <v>17</v>
      </c>
      <c r="W9" s="765">
        <f t="shared" si="2"/>
        <v>100</v>
      </c>
      <c r="X9" s="766"/>
      <c r="Y9" s="3151" t="s">
        <v>2554</v>
      </c>
      <c r="Z9" s="54" t="str">
        <f t="shared" ref="Z9:Z14" si="7">Q9</f>
        <v>用途</v>
      </c>
      <c r="AA9" s="767">
        <f t="shared" si="3"/>
        <v>1</v>
      </c>
      <c r="AB9" s="767">
        <f t="shared" si="4"/>
        <v>1</v>
      </c>
      <c r="AC9" s="767">
        <f t="shared" si="5"/>
        <v>1</v>
      </c>
    </row>
    <row r="10" spans="1:29" s="426" customFormat="1" ht="27">
      <c r="A10" s="639"/>
      <c r="B10" s="640" t="s">
        <v>2555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312"/>
      <c r="Q10" s="1790" t="str">
        <f t="shared" si="6"/>
        <v>土地使用年限（年）</v>
      </c>
      <c r="R10" s="764" t="s">
        <v>17</v>
      </c>
      <c r="S10" s="765">
        <f t="shared" si="0"/>
        <v>100</v>
      </c>
      <c r="T10" s="764" t="s">
        <v>17</v>
      </c>
      <c r="U10" s="765">
        <f t="shared" si="1"/>
        <v>100</v>
      </c>
      <c r="V10" s="764" t="s">
        <v>17</v>
      </c>
      <c r="W10" s="765">
        <f t="shared" si="2"/>
        <v>100</v>
      </c>
      <c r="X10" s="766"/>
      <c r="Y10" s="3151"/>
      <c r="Z10" s="54" t="str">
        <f t="shared" si="7"/>
        <v>土地使用年限（年）</v>
      </c>
      <c r="AA10" s="767">
        <f t="shared" si="3"/>
        <v>1</v>
      </c>
      <c r="AB10" s="767">
        <f t="shared" si="4"/>
        <v>1</v>
      </c>
      <c r="AC10" s="767">
        <f t="shared" si="5"/>
        <v>1</v>
      </c>
    </row>
    <row r="11" spans="1:29" ht="15">
      <c r="A11" s="641"/>
      <c r="B11" s="642">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312"/>
      <c r="Q11" s="1790">
        <f t="shared" si="6"/>
        <v>111</v>
      </c>
      <c r="R11" s="764" t="s">
        <v>17</v>
      </c>
      <c r="S11" s="765">
        <f t="shared" si="0"/>
        <v>100</v>
      </c>
      <c r="T11" s="764" t="s">
        <v>17</v>
      </c>
      <c r="U11" s="765">
        <f t="shared" si="1"/>
        <v>100</v>
      </c>
      <c r="V11" s="764" t="s">
        <v>17</v>
      </c>
      <c r="W11" s="765">
        <f t="shared" si="2"/>
        <v>100</v>
      </c>
      <c r="X11" s="766"/>
      <c r="Y11" s="3151"/>
      <c r="Z11" s="54">
        <f t="shared" si="7"/>
        <v>111</v>
      </c>
      <c r="AA11" s="767">
        <f t="shared" si="3"/>
        <v>1</v>
      </c>
      <c r="AB11" s="767">
        <f t="shared" si="4"/>
        <v>1</v>
      </c>
      <c r="AC11" s="767">
        <f t="shared" si="5"/>
        <v>1</v>
      </c>
    </row>
    <row r="12" spans="1:29" s="116" customFormat="1" ht="15">
      <c r="A12" s="643"/>
      <c r="B12" s="642">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312"/>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767">
        <f>D12/J12</f>
        <v>1</v>
      </c>
    </row>
    <row r="13" spans="1:29" ht="15.75" thickBot="1">
      <c r="A13" s="644"/>
      <c r="B13" s="642">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312"/>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767">
        <f t="shared" si="5"/>
        <v>1</v>
      </c>
    </row>
    <row r="14" spans="1:29" ht="85.5">
      <c r="A14" s="400" t="s">
        <v>2557</v>
      </c>
      <c r="B14" s="627" t="s">
        <v>2707</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305" t="s">
        <v>2558</v>
      </c>
      <c r="Q14" s="1805" t="str">
        <f t="shared" si="6"/>
        <v>交通便捷度</v>
      </c>
      <c r="R14" s="768" t="s">
        <v>17</v>
      </c>
      <c r="S14" s="769">
        <f t="shared" si="0"/>
        <v>100</v>
      </c>
      <c r="T14" s="768" t="s">
        <v>17</v>
      </c>
      <c r="U14" s="769">
        <f t="shared" si="1"/>
        <v>100</v>
      </c>
      <c r="V14" s="768" t="s">
        <v>17</v>
      </c>
      <c r="W14" s="769">
        <f t="shared" si="2"/>
        <v>100</v>
      </c>
      <c r="X14" s="1808"/>
      <c r="Y14" s="3305" t="s">
        <v>2558</v>
      </c>
      <c r="Z14" s="1809" t="str">
        <f t="shared" si="7"/>
        <v>交通便捷度</v>
      </c>
      <c r="AA14" s="1806">
        <f t="shared" si="3"/>
        <v>1</v>
      </c>
      <c r="AB14" s="1806">
        <f t="shared" si="4"/>
        <v>1</v>
      </c>
      <c r="AC14" s="1806">
        <f t="shared" si="5"/>
        <v>1</v>
      </c>
    </row>
    <row r="15" spans="1:29" ht="15">
      <c r="A15" s="403"/>
      <c r="B15" s="645"/>
      <c r="C15" s="446"/>
      <c r="D15" s="447"/>
      <c r="E15" s="446"/>
      <c r="F15" s="448"/>
      <c r="G15" s="446"/>
      <c r="H15" s="449"/>
      <c r="I15" s="446"/>
      <c r="J15" s="447"/>
      <c r="K15" s="614"/>
      <c r="L15" s="1137"/>
      <c r="M15" s="1128"/>
      <c r="N15" s="1128"/>
      <c r="O15" s="1128"/>
      <c r="P15" s="3306"/>
      <c r="Q15" s="1805"/>
      <c r="R15" s="768"/>
      <c r="S15" s="769"/>
      <c r="T15" s="768"/>
      <c r="U15" s="769"/>
      <c r="V15" s="768"/>
      <c r="W15" s="769"/>
      <c r="X15" s="1808"/>
      <c r="Y15" s="3306"/>
      <c r="Z15" s="1809"/>
      <c r="AA15" s="1806">
        <v>1</v>
      </c>
      <c r="AB15" s="1806">
        <v>1</v>
      </c>
      <c r="AC15" s="1806">
        <v>1</v>
      </c>
    </row>
    <row r="16" spans="1:29" ht="42.75">
      <c r="A16" s="403"/>
      <c r="B16" s="629" t="s">
        <v>2686</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306"/>
      <c r="Q16" s="1805" t="str">
        <f>B16</f>
        <v>公共配套设施</v>
      </c>
      <c r="R16" s="768" t="s">
        <v>17</v>
      </c>
      <c r="S16" s="769">
        <f>F16</f>
        <v>100</v>
      </c>
      <c r="T16" s="768" t="s">
        <v>17</v>
      </c>
      <c r="U16" s="769">
        <f>H16</f>
        <v>100</v>
      </c>
      <c r="V16" s="768" t="s">
        <v>17</v>
      </c>
      <c r="W16" s="769">
        <f>J16</f>
        <v>100</v>
      </c>
      <c r="X16" s="1808"/>
      <c r="Y16" s="3306"/>
      <c r="Z16" s="1809" t="str">
        <f>Q16</f>
        <v>公共配套设施</v>
      </c>
      <c r="AA16" s="1806">
        <f t="shared" si="3"/>
        <v>1</v>
      </c>
      <c r="AB16" s="1806">
        <f t="shared" si="4"/>
        <v>1</v>
      </c>
      <c r="AC16" s="1806">
        <f t="shared" si="5"/>
        <v>1</v>
      </c>
    </row>
    <row r="17" spans="1:29" ht="15">
      <c r="A17" s="403"/>
      <c r="B17" s="630"/>
      <c r="C17" s="2601"/>
      <c r="D17" s="447"/>
      <c r="E17" s="446"/>
      <c r="F17" s="448"/>
      <c r="G17" s="446"/>
      <c r="H17" s="447"/>
      <c r="I17" s="446"/>
      <c r="J17" s="447"/>
      <c r="K17" s="614"/>
      <c r="L17" s="1137"/>
      <c r="M17" s="1128"/>
      <c r="N17" s="1128"/>
      <c r="O17" s="1128"/>
      <c r="P17" s="3306"/>
      <c r="Q17" s="1805"/>
      <c r="R17" s="768"/>
      <c r="S17" s="769"/>
      <c r="T17" s="768"/>
      <c r="U17" s="769"/>
      <c r="V17" s="768"/>
      <c r="W17" s="769"/>
      <c r="X17" s="1808"/>
      <c r="Y17" s="3306"/>
      <c r="Z17" s="1809"/>
      <c r="AA17" s="1806">
        <v>1</v>
      </c>
      <c r="AB17" s="1806">
        <v>1</v>
      </c>
      <c r="AC17" s="1806">
        <v>1</v>
      </c>
    </row>
    <row r="18" spans="1:29" ht="28.5">
      <c r="A18" s="403"/>
      <c r="B18" s="631" t="s">
        <v>2687</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306"/>
      <c r="Q18" s="1805" t="str">
        <f>B18</f>
        <v>基础设施水平</v>
      </c>
      <c r="R18" s="768" t="s">
        <v>17</v>
      </c>
      <c r="S18" s="769">
        <f>F18</f>
        <v>100</v>
      </c>
      <c r="T18" s="768" t="s">
        <v>17</v>
      </c>
      <c r="U18" s="769">
        <f>H18</f>
        <v>100</v>
      </c>
      <c r="V18" s="768" t="s">
        <v>17</v>
      </c>
      <c r="W18" s="769">
        <f>J18</f>
        <v>100</v>
      </c>
      <c r="X18" s="1808"/>
      <c r="Y18" s="3306"/>
      <c r="Z18" s="1809" t="str">
        <f>Q18</f>
        <v>基础设施水平</v>
      </c>
      <c r="AA18" s="1806">
        <f t="shared" ref="AA18" si="8">D18/F18</f>
        <v>1</v>
      </c>
      <c r="AB18" s="1806">
        <f t="shared" ref="AB18" si="9">D18/H18</f>
        <v>1</v>
      </c>
      <c r="AC18" s="1806">
        <f t="shared" ref="AC18" si="10">D18/J18</f>
        <v>1</v>
      </c>
    </row>
    <row r="19" spans="1:29" ht="15">
      <c r="A19" s="403"/>
      <c r="B19" s="631"/>
      <c r="C19" s="2601"/>
      <c r="D19" s="449"/>
      <c r="E19" s="2601"/>
      <c r="F19" s="452"/>
      <c r="G19" s="2601"/>
      <c r="H19" s="447"/>
      <c r="I19" s="446"/>
      <c r="J19" s="447"/>
      <c r="K19" s="1378"/>
      <c r="L19" s="1137"/>
      <c r="M19" s="1128"/>
      <c r="N19" s="1128"/>
      <c r="O19" s="1128"/>
      <c r="P19" s="3306"/>
      <c r="Q19" s="1805"/>
      <c r="R19" s="768"/>
      <c r="S19" s="769"/>
      <c r="T19" s="768"/>
      <c r="U19" s="769"/>
      <c r="V19" s="768"/>
      <c r="W19" s="769"/>
      <c r="X19" s="1808"/>
      <c r="Y19" s="3306"/>
      <c r="Z19" s="1809"/>
      <c r="AA19" s="1806">
        <v>1</v>
      </c>
      <c r="AB19" s="1806">
        <v>1</v>
      </c>
      <c r="AC19" s="1806">
        <v>1</v>
      </c>
    </row>
    <row r="20" spans="1:29" ht="57">
      <c r="A20" s="403"/>
      <c r="B20" s="629" t="s">
        <v>2708</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306"/>
      <c r="Q20" s="1805" t="str">
        <f>B20</f>
        <v>自然及人文环境</v>
      </c>
      <c r="R20" s="768" t="s">
        <v>17</v>
      </c>
      <c r="S20" s="769">
        <f>F20</f>
        <v>100</v>
      </c>
      <c r="T20" s="768" t="s">
        <v>17</v>
      </c>
      <c r="U20" s="769">
        <f>H20</f>
        <v>100</v>
      </c>
      <c r="V20" s="768" t="s">
        <v>17</v>
      </c>
      <c r="W20" s="769">
        <f>J20</f>
        <v>100</v>
      </c>
      <c r="X20" s="1808"/>
      <c r="Y20" s="3306"/>
      <c r="Z20" s="1809" t="str">
        <f>Q20</f>
        <v>自然及人文环境</v>
      </c>
      <c r="AA20" s="1806">
        <f t="shared" si="3"/>
        <v>1</v>
      </c>
      <c r="AB20" s="1806">
        <f t="shared" si="4"/>
        <v>1</v>
      </c>
      <c r="AC20" s="1806">
        <f t="shared" si="5"/>
        <v>1</v>
      </c>
    </row>
    <row r="21" spans="1:29" ht="15">
      <c r="A21" s="403"/>
      <c r="B21" s="630"/>
      <c r="C21" s="446"/>
      <c r="D21" s="447"/>
      <c r="E21" s="446"/>
      <c r="F21" s="448"/>
      <c r="G21" s="446"/>
      <c r="H21" s="447"/>
      <c r="I21" s="446"/>
      <c r="J21" s="447"/>
      <c r="K21" s="614"/>
      <c r="L21" s="1137"/>
      <c r="M21" s="1128"/>
      <c r="N21" s="1128"/>
      <c r="O21" s="1128"/>
      <c r="P21" s="3306"/>
      <c r="Q21" s="1805"/>
      <c r="R21" s="768"/>
      <c r="S21" s="769"/>
      <c r="T21" s="768"/>
      <c r="U21" s="769"/>
      <c r="V21" s="768"/>
      <c r="W21" s="769"/>
      <c r="X21" s="1808"/>
      <c r="Y21" s="3306"/>
      <c r="Z21" s="1809"/>
      <c r="AA21" s="1806">
        <v>1</v>
      </c>
      <c r="AB21" s="1806">
        <v>1</v>
      </c>
      <c r="AC21" s="1806">
        <v>1</v>
      </c>
    </row>
    <row r="22" spans="1:29" ht="15">
      <c r="A22" s="403"/>
      <c r="B22" s="629" t="s">
        <v>2709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306"/>
      <c r="Q22" s="1805" t="str">
        <f>B22</f>
        <v>楼层</v>
      </c>
      <c r="R22" s="768" t="s">
        <v>17</v>
      </c>
      <c r="S22" s="769">
        <f>F22</f>
        <v>100</v>
      </c>
      <c r="T22" s="768" t="s">
        <v>17</v>
      </c>
      <c r="U22" s="769">
        <f>H22</f>
        <v>100</v>
      </c>
      <c r="V22" s="768" t="s">
        <v>17</v>
      </c>
      <c r="W22" s="769">
        <f>J22</f>
        <v>100</v>
      </c>
      <c r="X22" s="1808"/>
      <c r="Y22" s="3306"/>
      <c r="Z22" s="1809" t="str">
        <f>Q22</f>
        <v>楼层</v>
      </c>
      <c r="AA22" s="1806">
        <f t="shared" si="3"/>
        <v>1</v>
      </c>
      <c r="AB22" s="1806">
        <f t="shared" si="4"/>
        <v>1</v>
      </c>
      <c r="AC22" s="1806">
        <f t="shared" si="5"/>
        <v>1</v>
      </c>
    </row>
    <row r="23" spans="1:29" ht="15">
      <c r="A23" s="403"/>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306"/>
      <c r="Q23" s="1805">
        <f>B23</f>
        <v>111</v>
      </c>
      <c r="R23" s="768" t="s">
        <v>17</v>
      </c>
      <c r="S23" s="769">
        <f>F23</f>
        <v>100</v>
      </c>
      <c r="T23" s="768" t="s">
        <v>17</v>
      </c>
      <c r="U23" s="769">
        <f>H23</f>
        <v>100</v>
      </c>
      <c r="V23" s="768" t="s">
        <v>17</v>
      </c>
      <c r="W23" s="769">
        <f>J23</f>
        <v>100</v>
      </c>
      <c r="X23" s="1808"/>
      <c r="Y23" s="3306"/>
      <c r="Z23" s="1809">
        <f>Q23</f>
        <v>111</v>
      </c>
      <c r="AA23" s="1806">
        <f t="shared" si="3"/>
        <v>1</v>
      </c>
      <c r="AB23" s="1806">
        <f t="shared" si="4"/>
        <v>1</v>
      </c>
      <c r="AC23" s="1806">
        <f t="shared" si="5"/>
        <v>1</v>
      </c>
    </row>
    <row r="24" spans="1:29" ht="15">
      <c r="A24" s="403"/>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306"/>
      <c r="Q24" s="1805">
        <f t="shared" ref="Q24:Q36" si="11">B24</f>
        <v>111</v>
      </c>
      <c r="R24" s="768" t="s">
        <v>17</v>
      </c>
      <c r="S24" s="769">
        <f>F24</f>
        <v>100</v>
      </c>
      <c r="T24" s="768" t="s">
        <v>17</v>
      </c>
      <c r="U24" s="769">
        <f>H24</f>
        <v>100</v>
      </c>
      <c r="V24" s="768" t="s">
        <v>17</v>
      </c>
      <c r="W24" s="769">
        <f>J24</f>
        <v>100</v>
      </c>
      <c r="X24" s="1808"/>
      <c r="Y24" s="3306"/>
      <c r="Z24" s="1809">
        <f>Q24</f>
        <v>111</v>
      </c>
      <c r="AA24" s="1806">
        <f t="shared" si="3"/>
        <v>1</v>
      </c>
      <c r="AB24" s="1806">
        <f t="shared" si="4"/>
        <v>1</v>
      </c>
      <c r="AC24" s="1806">
        <f t="shared" si="5"/>
        <v>1</v>
      </c>
    </row>
    <row r="25" spans="1:29" s="116"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29"/>
      <c r="M25" s="1130"/>
      <c r="N25" s="1130"/>
      <c r="O25" s="1130"/>
      <c r="P25" s="3306"/>
      <c r="Q25" s="1790">
        <f t="shared" si="11"/>
        <v>111</v>
      </c>
      <c r="R25" s="764" t="s">
        <v>17</v>
      </c>
      <c r="S25" s="765">
        <f>F25</f>
        <v>100</v>
      </c>
      <c r="T25" s="764" t="s">
        <v>17</v>
      </c>
      <c r="U25" s="765">
        <f>H25</f>
        <v>100</v>
      </c>
      <c r="V25" s="764" t="s">
        <v>17</v>
      </c>
      <c r="W25" s="765">
        <f>J25</f>
        <v>100</v>
      </c>
      <c r="X25" s="766"/>
      <c r="Y25" s="3306"/>
      <c r="Z25" s="54">
        <f>Q25</f>
        <v>111</v>
      </c>
      <c r="AA25" s="1806">
        <f>D25/F25</f>
        <v>1</v>
      </c>
      <c r="AB25" s="1806">
        <f>D25/H25</f>
        <v>1</v>
      </c>
      <c r="AC25" s="1806">
        <f>D25/J25</f>
        <v>1</v>
      </c>
    </row>
    <row r="26" spans="1:29" ht="15">
      <c r="A26" s="650" t="s">
        <v>2561</v>
      </c>
      <c r="B26" s="69" t="s">
        <v>2710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66" t="s">
        <v>2563</v>
      </c>
      <c r="Q26" s="1805" t="str">
        <f t="shared" si="11"/>
        <v>配套类型</v>
      </c>
      <c r="R26" s="768" t="s">
        <v>17</v>
      </c>
      <c r="S26" s="769">
        <f t="shared" ref="S26:S36" si="12">F26</f>
        <v>100</v>
      </c>
      <c r="T26" s="768" t="s">
        <v>17</v>
      </c>
      <c r="U26" s="769">
        <f t="shared" ref="U26:U36" si="13">H26</f>
        <v>100</v>
      </c>
      <c r="V26" s="768" t="s">
        <v>17</v>
      </c>
      <c r="W26" s="769">
        <f t="shared" ref="W26:W36" si="14">J26</f>
        <v>100</v>
      </c>
      <c r="X26" s="1808"/>
      <c r="Y26" s="3310" t="s">
        <v>2563</v>
      </c>
      <c r="Z26" s="1809" t="str">
        <f t="shared" ref="Z26:Z36" si="15">Q26</f>
        <v>配套类型</v>
      </c>
      <c r="AA26" s="1806">
        <f t="shared" si="3"/>
        <v>1</v>
      </c>
      <c r="AB26" s="1806">
        <f t="shared" si="4"/>
        <v>1</v>
      </c>
      <c r="AC26" s="1806">
        <f t="shared" si="5"/>
        <v>1</v>
      </c>
    </row>
    <row r="27" spans="1:29" s="470" customFormat="1" ht="15">
      <c r="A27" s="651"/>
      <c r="B27" s="652" t="s">
        <v>2711</v>
      </c>
      <c r="C27" s="653"/>
      <c r="D27" s="135">
        <v>100</v>
      </c>
      <c r="E27" s="653"/>
      <c r="F27" s="460">
        <f>SUMIF(81:81,E27,82:82)-SUMIF(81:81,C27,82:82)+100</f>
        <v>100</v>
      </c>
      <c r="G27" s="653"/>
      <c r="H27" s="434">
        <f>SUMIF(81:81,G27,82:82)-SUMIF(81:81,C27,82:82)+100</f>
        <v>100</v>
      </c>
      <c r="I27" s="653"/>
      <c r="J27" s="434">
        <f>SUMIF(81:81,I27,82:82)-SUMIF(81:81,C27,82:82)+100</f>
        <v>100</v>
      </c>
      <c r="K27" s="612"/>
      <c r="L27" s="1135"/>
      <c r="M27" s="1138"/>
      <c r="N27" s="1138"/>
      <c r="O27" s="1138"/>
      <c r="P27" s="3310"/>
      <c r="Q27" s="770" t="str">
        <f t="shared" si="11"/>
        <v>项目停车位配比</v>
      </c>
      <c r="R27" s="771" t="s">
        <v>17</v>
      </c>
      <c r="S27" s="772">
        <f t="shared" si="12"/>
        <v>100</v>
      </c>
      <c r="T27" s="771" t="s">
        <v>17</v>
      </c>
      <c r="U27" s="772">
        <f t="shared" si="13"/>
        <v>100</v>
      </c>
      <c r="V27" s="771" t="s">
        <v>17</v>
      </c>
      <c r="W27" s="772">
        <f t="shared" si="14"/>
        <v>100</v>
      </c>
      <c r="X27" s="773"/>
      <c r="Y27" s="3310"/>
      <c r="Z27" s="774" t="str">
        <f t="shared" si="15"/>
        <v>项目停车位配比</v>
      </c>
      <c r="AA27" s="1806">
        <f t="shared" si="3"/>
        <v>1</v>
      </c>
      <c r="AB27" s="1806">
        <f t="shared" si="4"/>
        <v>1</v>
      </c>
      <c r="AC27" s="1806">
        <f t="shared" si="5"/>
        <v>1</v>
      </c>
    </row>
    <row r="28" spans="1:29" ht="15">
      <c r="A28" s="654"/>
      <c r="B28" s="652" t="s">
        <v>2712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310"/>
      <c r="Q28" s="1805" t="str">
        <f t="shared" si="11"/>
        <v>公共部分装修</v>
      </c>
      <c r="R28" s="768" t="s">
        <v>17</v>
      </c>
      <c r="S28" s="769">
        <f t="shared" si="12"/>
        <v>100</v>
      </c>
      <c r="T28" s="768" t="s">
        <v>17</v>
      </c>
      <c r="U28" s="769">
        <f t="shared" si="13"/>
        <v>100</v>
      </c>
      <c r="V28" s="768" t="s">
        <v>17</v>
      </c>
      <c r="W28" s="769">
        <f t="shared" si="14"/>
        <v>100</v>
      </c>
      <c r="X28" s="1808"/>
      <c r="Y28" s="3310"/>
      <c r="Z28" s="1809" t="str">
        <f t="shared" si="15"/>
        <v>公共部分装修</v>
      </c>
      <c r="AA28" s="1806">
        <f t="shared" si="3"/>
        <v>1</v>
      </c>
      <c r="AB28" s="1806">
        <f t="shared" si="4"/>
        <v>1</v>
      </c>
      <c r="AC28" s="1806">
        <f t="shared" si="5"/>
        <v>1</v>
      </c>
    </row>
    <row r="29" spans="1:29" ht="15">
      <c r="A29" s="654"/>
      <c r="B29" s="652"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310"/>
      <c r="Q29" s="1805" t="str">
        <f t="shared" si="11"/>
        <v>成新率</v>
      </c>
      <c r="R29" s="768" t="s">
        <v>17</v>
      </c>
      <c r="S29" s="769" t="e">
        <f t="shared" si="12"/>
        <v>#N/A</v>
      </c>
      <c r="T29" s="768" t="s">
        <v>17</v>
      </c>
      <c r="U29" s="769" t="e">
        <f t="shared" si="13"/>
        <v>#N/A</v>
      </c>
      <c r="V29" s="768" t="s">
        <v>17</v>
      </c>
      <c r="W29" s="769" t="e">
        <f t="shared" si="14"/>
        <v>#N/A</v>
      </c>
      <c r="X29" s="1808"/>
      <c r="Y29" s="3310"/>
      <c r="Z29" s="1809" t="str">
        <f t="shared" si="15"/>
        <v>成新率</v>
      </c>
      <c r="AA29" s="1806" t="e">
        <f t="shared" si="3"/>
        <v>#N/A</v>
      </c>
      <c r="AB29" s="1806" t="e">
        <f t="shared" si="4"/>
        <v>#N/A</v>
      </c>
      <c r="AC29" s="1806" t="e">
        <f t="shared" si="5"/>
        <v>#N/A</v>
      </c>
    </row>
    <row r="30" spans="1:29" ht="15">
      <c r="A30" s="654"/>
      <c r="B30" s="652" t="s">
        <v>2714</v>
      </c>
      <c r="C30" s="655"/>
      <c r="D30" s="434">
        <v>100</v>
      </c>
      <c r="E30" s="655"/>
      <c r="F30" s="460">
        <f>SUMIF(88:88,E30,89:89)-SUMIF(88:88,C30,89:89)+100</f>
        <v>100</v>
      </c>
      <c r="G30" s="655"/>
      <c r="H30" s="434">
        <f>SUMIF(88:88,E30,89:89)-SUMIF(88:88,C30,89:89)+100</f>
        <v>100</v>
      </c>
      <c r="I30" s="655"/>
      <c r="J30" s="434">
        <f>SUMIF(88:88,E30,89:89)-SUMIF(88:88,C30,89:89)+100</f>
        <v>100</v>
      </c>
      <c r="K30" s="611"/>
      <c r="L30" s="1137"/>
      <c r="M30" s="1128"/>
      <c r="N30" s="1128"/>
      <c r="O30" s="1128"/>
      <c r="P30" s="3310"/>
      <c r="Q30" s="1805" t="str">
        <f t="shared" si="11"/>
        <v>物业等级</v>
      </c>
      <c r="R30" s="768" t="s">
        <v>17</v>
      </c>
      <c r="S30" s="769">
        <f t="shared" si="12"/>
        <v>100</v>
      </c>
      <c r="T30" s="768" t="s">
        <v>17</v>
      </c>
      <c r="U30" s="769">
        <f t="shared" si="13"/>
        <v>100</v>
      </c>
      <c r="V30" s="768" t="s">
        <v>17</v>
      </c>
      <c r="W30" s="769">
        <f t="shared" si="14"/>
        <v>100</v>
      </c>
      <c r="X30" s="1808"/>
      <c r="Y30" s="3310"/>
      <c r="Z30" s="1809" t="str">
        <f t="shared" si="15"/>
        <v>物业等级</v>
      </c>
      <c r="AA30" s="1806">
        <f t="shared" si="3"/>
        <v>1</v>
      </c>
      <c r="AB30" s="1806">
        <f t="shared" si="4"/>
        <v>1</v>
      </c>
      <c r="AC30" s="1806">
        <f t="shared" si="5"/>
        <v>1</v>
      </c>
    </row>
    <row r="31" spans="1:29" s="116" customFormat="1" ht="15">
      <c r="A31" s="656"/>
      <c r="B31" s="652"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310"/>
      <c r="Q31" s="1790" t="str">
        <f t="shared" si="11"/>
        <v>停车位面积</v>
      </c>
      <c r="R31" s="764" t="s">
        <v>17</v>
      </c>
      <c r="S31" s="765" t="e">
        <f t="shared" si="12"/>
        <v>#N/A</v>
      </c>
      <c r="T31" s="764" t="s">
        <v>17</v>
      </c>
      <c r="U31" s="765" t="e">
        <f t="shared" si="13"/>
        <v>#N/A</v>
      </c>
      <c r="V31" s="764" t="s">
        <v>17</v>
      </c>
      <c r="W31" s="765" t="e">
        <f t="shared" si="14"/>
        <v>#N/A</v>
      </c>
      <c r="X31" s="766"/>
      <c r="Y31" s="3310"/>
      <c r="Z31" s="54" t="str">
        <f t="shared" si="15"/>
        <v>停车位面积</v>
      </c>
      <c r="AA31" s="767" t="e">
        <f t="shared" si="3"/>
        <v>#N/A</v>
      </c>
      <c r="AB31" s="767" t="e">
        <f t="shared" si="4"/>
        <v>#N/A</v>
      </c>
      <c r="AC31" s="767" t="e">
        <f t="shared" si="5"/>
        <v>#N/A</v>
      </c>
    </row>
    <row r="32" spans="1:29" ht="15">
      <c r="A32" s="654"/>
      <c r="B32" s="652" t="s">
        <v>2716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310" t="s">
        <v>2563</v>
      </c>
      <c r="Q32" s="1805" t="str">
        <f t="shared" si="11"/>
        <v>车位类型</v>
      </c>
      <c r="R32" s="768" t="s">
        <v>17</v>
      </c>
      <c r="S32" s="769">
        <f t="shared" si="12"/>
        <v>100</v>
      </c>
      <c r="T32" s="768" t="s">
        <v>17</v>
      </c>
      <c r="U32" s="769">
        <f t="shared" si="13"/>
        <v>100</v>
      </c>
      <c r="V32" s="768" t="s">
        <v>17</v>
      </c>
      <c r="W32" s="769">
        <f t="shared" si="14"/>
        <v>100</v>
      </c>
      <c r="X32" s="1808"/>
      <c r="Y32" s="3310" t="s">
        <v>2563</v>
      </c>
      <c r="Z32" s="1809" t="str">
        <f t="shared" si="15"/>
        <v>车位类型</v>
      </c>
      <c r="AA32" s="1806">
        <f t="shared" si="3"/>
        <v>1</v>
      </c>
      <c r="AB32" s="1806">
        <f t="shared" si="4"/>
        <v>1</v>
      </c>
      <c r="AC32" s="1806">
        <f t="shared" si="5"/>
        <v>1</v>
      </c>
    </row>
    <row r="33" spans="1:29" ht="15">
      <c r="A33" s="654"/>
      <c r="B33" s="652" t="s">
        <v>2717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310"/>
      <c r="Q33" s="1805" t="str">
        <f t="shared" si="11"/>
        <v>是否直接入户</v>
      </c>
      <c r="R33" s="768" t="s">
        <v>17</v>
      </c>
      <c r="S33" s="769">
        <f t="shared" si="12"/>
        <v>100</v>
      </c>
      <c r="T33" s="768" t="s">
        <v>17</v>
      </c>
      <c r="U33" s="769">
        <f t="shared" si="13"/>
        <v>100</v>
      </c>
      <c r="V33" s="768" t="s">
        <v>17</v>
      </c>
      <c r="W33" s="769">
        <f t="shared" si="14"/>
        <v>100</v>
      </c>
      <c r="X33" s="1808"/>
      <c r="Y33" s="3310"/>
      <c r="Z33" s="1809" t="str">
        <f t="shared" si="15"/>
        <v>是否直接入户</v>
      </c>
      <c r="AA33" s="1806">
        <f t="shared" si="3"/>
        <v>1</v>
      </c>
      <c r="AB33" s="1806">
        <f t="shared" si="4"/>
        <v>1</v>
      </c>
      <c r="AC33" s="1806">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310"/>
      <c r="Q34" s="1805">
        <f t="shared" si="11"/>
        <v>111</v>
      </c>
      <c r="R34" s="768" t="s">
        <v>17</v>
      </c>
      <c r="S34" s="769">
        <f t="shared" si="12"/>
        <v>100</v>
      </c>
      <c r="T34" s="768" t="s">
        <v>17</v>
      </c>
      <c r="U34" s="769">
        <f t="shared" si="13"/>
        <v>100</v>
      </c>
      <c r="V34" s="768" t="s">
        <v>17</v>
      </c>
      <c r="W34" s="769">
        <f t="shared" si="14"/>
        <v>100</v>
      </c>
      <c r="X34" s="1808"/>
      <c r="Y34" s="3310"/>
      <c r="Z34" s="1809">
        <f t="shared" si="15"/>
        <v>111</v>
      </c>
      <c r="AA34" s="1806">
        <f t="shared" si="3"/>
        <v>1</v>
      </c>
      <c r="AB34" s="1806">
        <f t="shared" si="4"/>
        <v>1</v>
      </c>
      <c r="AC34" s="1806">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310"/>
      <c r="Q35" s="770">
        <f t="shared" si="11"/>
        <v>111</v>
      </c>
      <c r="R35" s="771" t="s">
        <v>17</v>
      </c>
      <c r="S35" s="772">
        <f t="shared" si="12"/>
        <v>100</v>
      </c>
      <c r="T35" s="771" t="s">
        <v>17</v>
      </c>
      <c r="U35" s="772">
        <f t="shared" si="13"/>
        <v>100</v>
      </c>
      <c r="V35" s="771" t="s">
        <v>17</v>
      </c>
      <c r="W35" s="772">
        <f t="shared" si="14"/>
        <v>100</v>
      </c>
      <c r="X35" s="773"/>
      <c r="Y35" s="3310"/>
      <c r="Z35" s="774">
        <f t="shared" si="15"/>
        <v>111</v>
      </c>
      <c r="AA35" s="1806">
        <f t="shared" si="3"/>
        <v>1</v>
      </c>
      <c r="AB35" s="1806">
        <f t="shared" si="4"/>
        <v>1</v>
      </c>
      <c r="AC35" s="1806">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310"/>
      <c r="Q36" s="1805">
        <f t="shared" si="11"/>
        <v>111</v>
      </c>
      <c r="R36" s="768" t="s">
        <v>17</v>
      </c>
      <c r="S36" s="769">
        <f t="shared" si="12"/>
        <v>100</v>
      </c>
      <c r="T36" s="768" t="s">
        <v>17</v>
      </c>
      <c r="U36" s="769">
        <f t="shared" si="13"/>
        <v>100</v>
      </c>
      <c r="V36" s="768" t="s">
        <v>17</v>
      </c>
      <c r="W36" s="769">
        <f t="shared" si="14"/>
        <v>100</v>
      </c>
      <c r="X36" s="1808"/>
      <c r="Y36" s="3310"/>
      <c r="Z36" s="1809">
        <f t="shared" si="15"/>
        <v>111</v>
      </c>
      <c r="AA36" s="1806">
        <f t="shared" si="3"/>
        <v>1</v>
      </c>
      <c r="AB36" s="1806">
        <f t="shared" si="4"/>
        <v>1</v>
      </c>
      <c r="AC36" s="1806">
        <f t="shared" si="5"/>
        <v>1</v>
      </c>
    </row>
    <row r="37" spans="1:29" ht="15">
      <c r="A37" s="478" t="s">
        <v>2718</v>
      </c>
      <c r="B37" s="2688" t="s">
        <v>2719</v>
      </c>
      <c r="C37" s="1402" t="s">
        <v>1</v>
      </c>
      <c r="D37" s="1403"/>
      <c r="E37" s="1404"/>
      <c r="F37" s="1405"/>
      <c r="G37" s="1406"/>
      <c r="H37" s="1407"/>
      <c r="I37" s="1404"/>
      <c r="J37" s="1407"/>
      <c r="K37" s="617"/>
      <c r="L37" s="1140"/>
      <c r="M37" s="1141"/>
      <c r="N37" s="1128"/>
      <c r="O37" s="1141"/>
      <c r="P37" s="3312" t="str">
        <f>A37</f>
        <v>成交单价</v>
      </c>
      <c r="Q37" s="3312"/>
      <c r="R37" s="3313">
        <f>E37</f>
        <v>0</v>
      </c>
      <c r="S37" s="3313"/>
      <c r="T37" s="3313">
        <f>G37</f>
        <v>0</v>
      </c>
      <c r="U37" s="3313"/>
      <c r="V37" s="3313">
        <f>I37</f>
        <v>0</v>
      </c>
      <c r="W37" s="3313"/>
      <c r="X37" s="753"/>
      <c r="Y37" s="775"/>
      <c r="Z37" s="753"/>
      <c r="AA37" s="753"/>
      <c r="AB37" s="753"/>
      <c r="AC37" s="753"/>
    </row>
    <row r="38" spans="1:29" ht="15.75" thickBot="1">
      <c r="A38" s="485" t="s">
        <v>2720</v>
      </c>
      <c r="B38" s="486" t="str">
        <f>B37</f>
        <v>元/车位</v>
      </c>
      <c r="C38" s="1408" t="e">
        <f>R39</f>
        <v>#DIV/0!</v>
      </c>
      <c r="D38" s="1409"/>
      <c r="E38" s="1410" t="e">
        <f>R38</f>
        <v>#DIV/0!</v>
      </c>
      <c r="F38" s="1410"/>
      <c r="G38" s="1408" t="e">
        <f>T38</f>
        <v>#DIV/0!</v>
      </c>
      <c r="H38" s="1409"/>
      <c r="I38" s="1410" t="e">
        <f>V38</f>
        <v>#DIV/0!</v>
      </c>
      <c r="J38" s="1409"/>
      <c r="K38" s="618"/>
      <c r="L38" s="1140"/>
      <c r="M38" s="1141"/>
      <c r="N38" s="1141"/>
      <c r="O38" s="1141"/>
      <c r="P38" s="3312" t="str">
        <f>A38</f>
        <v>比较价值（元/平方米）</v>
      </c>
      <c r="Q38" s="3312"/>
      <c r="R38" s="3313" t="e">
        <f>IF(F1="售价",ROUND(PRODUCT(R37,AA7:AA36),0),ROUND(PRODUCT(R37,AA7:AA36),1))</f>
        <v>#DIV/0!</v>
      </c>
      <c r="S38" s="3313"/>
      <c r="T38" s="3313" t="e">
        <f>IF(F1="售价",ROUND(PRODUCT(T37,AB7:AB36),0),ROUND(PRODUCT(T37,AB7:AB36),1))</f>
        <v>#DIV/0!</v>
      </c>
      <c r="U38" s="3313"/>
      <c r="V38" s="3313" t="e">
        <f>IF(F1="售价",ROUND(PRODUCT(V37,AC7:AC36),0),ROUND(PRODUCT(V37,AC7:AC36),1))</f>
        <v>#DIV/0!</v>
      </c>
      <c r="W38" s="3313"/>
      <c r="X38" s="753"/>
      <c r="Y38" s="753"/>
      <c r="Z38" s="753"/>
      <c r="AA38" s="753"/>
      <c r="AB38" s="753"/>
      <c r="AC38" s="753"/>
    </row>
    <row r="39" spans="1:29" ht="15.75" thickBot="1">
      <c r="A39" s="491" t="s">
        <v>2721</v>
      </c>
      <c r="B39" s="492"/>
      <c r="C39" s="1412" t="e">
        <f>R39</f>
        <v>#DIV/0!</v>
      </c>
      <c r="D39" s="1412"/>
      <c r="E39" s="1412"/>
      <c r="F39" s="1412"/>
      <c r="G39" s="1412"/>
      <c r="H39" s="1412"/>
      <c r="I39" s="1412"/>
      <c r="J39" s="1412"/>
      <c r="K39" s="619"/>
      <c r="L39" s="1140"/>
      <c r="M39" s="1141"/>
      <c r="N39" s="1141"/>
      <c r="O39" s="1141"/>
      <c r="P39" s="3314" t="str">
        <f>A39</f>
        <v>估价对象XX用房的比较价值（楼面单价，元/平方米）</v>
      </c>
      <c r="Q39" s="3315"/>
      <c r="R39" s="3316" t="e">
        <f>IF(F1="售价",ROUND(AVERAGE(R38:V38),0),ROUND(AVERAGE(R38:V38),1))</f>
        <v>#DIV/0!</v>
      </c>
      <c r="S39" s="3316"/>
      <c r="T39" s="3316"/>
      <c r="U39" s="3316"/>
      <c r="V39" s="3316"/>
      <c r="W39" s="3316"/>
      <c r="X39" s="753"/>
      <c r="Y39" s="753"/>
      <c r="Z39" s="753"/>
      <c r="AA39" s="753"/>
      <c r="AB39" s="753"/>
      <c r="AC39" s="753"/>
    </row>
    <row r="40" spans="1:29">
      <c r="A40" s="1141"/>
      <c r="B40" s="1141"/>
      <c r="C40" s="1141"/>
      <c r="D40" s="1141"/>
      <c r="E40" s="1141"/>
      <c r="F40" s="1141"/>
      <c r="G40" s="1144"/>
      <c r="H40" s="1141"/>
      <c r="I40" s="1141"/>
      <c r="J40" s="1141"/>
      <c r="K40" s="1102"/>
      <c r="L40" s="1103"/>
      <c r="M40" s="1141"/>
      <c r="N40" s="1141"/>
      <c r="O40" s="1141"/>
      <c r="P40" s="1415"/>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5"/>
      <c r="Q41" s="1141"/>
      <c r="R41" s="1141"/>
      <c r="S41" s="1141"/>
      <c r="T41" s="1141"/>
      <c r="U41" s="1141"/>
      <c r="V41" s="1141"/>
      <c r="W41" s="1141"/>
      <c r="X41" s="1141"/>
      <c r="Y41" s="1141"/>
      <c r="Z41" s="1141"/>
      <c r="AA41" s="1141"/>
      <c r="AB41" s="1141"/>
      <c r="AC41" s="1141"/>
    </row>
    <row r="42" spans="1:29" ht="13.5" customHeight="1">
      <c r="A42" s="1141"/>
      <c r="B42" s="1141"/>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5"/>
      <c r="Q42" s="1141"/>
      <c r="R42" s="1141"/>
      <c r="S42" s="1141"/>
      <c r="T42" s="1141"/>
      <c r="U42" s="1141"/>
      <c r="V42" s="1141"/>
      <c r="W42" s="1141"/>
      <c r="X42" s="1141"/>
      <c r="Y42" s="1141"/>
      <c r="Z42" s="1141"/>
      <c r="AA42" s="1141"/>
      <c r="AB42" s="1141"/>
      <c r="AC42" s="1141"/>
    </row>
    <row r="43" spans="1:29" ht="13.5" customHeight="1">
      <c r="A43" s="1141"/>
      <c r="B43" s="1141"/>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5"/>
      <c r="Q43" s="1141"/>
      <c r="R43" s="1141"/>
      <c r="S43" s="1141"/>
      <c r="T43" s="1141"/>
      <c r="U43" s="1141"/>
      <c r="V43" s="1141"/>
      <c r="W43" s="1141"/>
      <c r="X43" s="1141"/>
      <c r="Y43" s="1141"/>
      <c r="Z43" s="1141"/>
      <c r="AA43" s="1141"/>
      <c r="AB43" s="1141"/>
      <c r="AC43" s="1141"/>
    </row>
    <row r="44" spans="1:29" s="501" customFormat="1" ht="13.5" customHeight="1">
      <c r="A44" s="1142"/>
      <c r="B44" s="1142"/>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6"/>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6"/>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5"/>
      <c r="Q46" s="1141"/>
      <c r="R46" s="1141"/>
      <c r="S46" s="1141"/>
      <c r="T46" s="1141"/>
      <c r="U46" s="1141"/>
      <c r="V46" s="1141"/>
      <c r="W46" s="1141"/>
      <c r="X46" s="1141"/>
      <c r="Y46" s="1141"/>
      <c r="Z46" s="1141"/>
      <c r="AA46" s="1141"/>
      <c r="AB46" s="1141"/>
      <c r="AC46" s="1141"/>
    </row>
    <row r="47" spans="1:29" ht="21.75" thickBot="1">
      <c r="A47" s="1419" t="s">
        <v>2725</v>
      </c>
      <c r="B47" s="1141"/>
      <c r="C47" s="1156"/>
      <c r="D47" s="1156"/>
      <c r="E47" s="1156"/>
      <c r="F47" s="1420"/>
      <c r="G47" s="1420"/>
      <c r="H47" s="1156"/>
      <c r="I47" s="1156"/>
      <c r="J47" s="1156"/>
      <c r="K47" s="1157"/>
      <c r="L47" s="1158"/>
      <c r="M47" s="1156"/>
      <c r="N47" s="1156"/>
      <c r="O47" s="1156"/>
      <c r="P47" s="1417"/>
      <c r="Q47" s="1418"/>
      <c r="R47" s="1141"/>
      <c r="S47" s="1141"/>
      <c r="T47" s="1141"/>
      <c r="U47" s="1141"/>
      <c r="V47" s="1141"/>
      <c r="W47" s="1141"/>
      <c r="X47" s="1141"/>
      <c r="Y47" s="1141"/>
      <c r="Z47" s="1141"/>
      <c r="AA47" s="1141"/>
      <c r="AB47" s="1141"/>
      <c r="AC47" s="1141"/>
    </row>
    <row r="48" spans="1:29" s="507" customFormat="1" ht="15">
      <c r="A48" s="504" t="s">
        <v>2726</v>
      </c>
      <c r="B48" s="505"/>
      <c r="C48" s="1569" t="str">
        <f>YEAR(C7)&amp;"-"&amp;MONTH(C7)</f>
        <v>2018-4</v>
      </c>
      <c r="D48" s="1570">
        <f>EDATE(C48,-1)</f>
        <v>43160</v>
      </c>
      <c r="E48" s="1570">
        <f t="shared" ref="E48:O48" si="16">EDATE(D48,-1)</f>
        <v>43132</v>
      </c>
      <c r="F48" s="1570">
        <f t="shared" si="16"/>
        <v>43101</v>
      </c>
      <c r="G48" s="1570">
        <f t="shared" si="16"/>
        <v>43070</v>
      </c>
      <c r="H48" s="1570">
        <f t="shared" si="16"/>
        <v>43040</v>
      </c>
      <c r="I48" s="1570">
        <f t="shared" si="16"/>
        <v>43009</v>
      </c>
      <c r="J48" s="1570">
        <f t="shared" si="16"/>
        <v>42979</v>
      </c>
      <c r="K48" s="1570">
        <f t="shared" si="16"/>
        <v>42948</v>
      </c>
      <c r="L48" s="1570">
        <f t="shared" si="16"/>
        <v>42917</v>
      </c>
      <c r="M48" s="1570">
        <f t="shared" si="16"/>
        <v>42887</v>
      </c>
      <c r="N48" s="1570">
        <f t="shared" si="16"/>
        <v>42856</v>
      </c>
      <c r="O48" s="1570">
        <f t="shared" si="16"/>
        <v>42826</v>
      </c>
      <c r="P48" s="1433"/>
      <c r="Q48" s="1434"/>
      <c r="R48" s="1434"/>
      <c r="S48" s="1434"/>
      <c r="T48" s="1434"/>
      <c r="U48" s="1434"/>
      <c r="V48" s="1434"/>
      <c r="W48" s="1434"/>
      <c r="X48" s="1434"/>
      <c r="Y48" s="1434"/>
      <c r="Z48" s="1434"/>
      <c r="AA48" s="1434"/>
      <c r="AB48" s="1434"/>
      <c r="AC48" s="1434"/>
    </row>
    <row r="49" spans="1:29" s="116" customFormat="1" ht="15">
      <c r="A49" s="508"/>
      <c r="B49" s="509"/>
      <c r="C49" s="1561">
        <v>100</v>
      </c>
      <c r="D49" s="511"/>
      <c r="E49" s="511"/>
      <c r="F49" s="511"/>
      <c r="G49" s="511"/>
      <c r="H49" s="511"/>
      <c r="I49" s="511"/>
      <c r="J49" s="511"/>
      <c r="K49" s="511"/>
      <c r="L49" s="511"/>
      <c r="M49" s="512"/>
      <c r="N49" s="511"/>
      <c r="O49" s="512"/>
      <c r="P49" s="1423"/>
      <c r="Q49" s="1422"/>
      <c r="R49" s="1422"/>
      <c r="S49" s="1422"/>
      <c r="T49" s="1422"/>
      <c r="U49" s="1422"/>
      <c r="V49" s="1422"/>
      <c r="W49" s="1422"/>
      <c r="X49" s="1422"/>
      <c r="Y49" s="1422"/>
      <c r="Z49" s="1422"/>
      <c r="AA49" s="1422"/>
      <c r="AB49" s="1422"/>
      <c r="AC49" s="1422"/>
    </row>
    <row r="50" spans="1:29" s="116" customFormat="1" ht="15.75" thickBot="1">
      <c r="A50" s="514" t="s">
        <v>2583</v>
      </c>
      <c r="B50" s="515"/>
      <c r="C50" s="516"/>
      <c r="D50" s="517"/>
      <c r="E50" s="517"/>
      <c r="F50" s="517"/>
      <c r="G50" s="517"/>
      <c r="H50" s="517"/>
      <c r="I50" s="517"/>
      <c r="J50" s="517"/>
      <c r="K50" s="517"/>
      <c r="L50" s="517"/>
      <c r="M50" s="518"/>
      <c r="N50" s="517"/>
      <c r="O50" s="518"/>
      <c r="P50" s="1423"/>
      <c r="Q50" s="1418"/>
      <c r="R50" s="1422"/>
      <c r="S50" s="1422"/>
      <c r="T50" s="1422"/>
      <c r="U50" s="1422"/>
      <c r="V50" s="1422"/>
      <c r="W50" s="1422"/>
      <c r="X50" s="1422"/>
      <c r="Y50" s="1422"/>
      <c r="Z50" s="1422"/>
      <c r="AA50" s="1422"/>
      <c r="AB50" s="1422"/>
      <c r="AC50" s="1422"/>
    </row>
    <row r="51" spans="1:29" s="116" customFormat="1" ht="15">
      <c r="A51" s="520" t="s">
        <v>2548</v>
      </c>
      <c r="B51" s="509"/>
      <c r="C51" s="521" t="s">
        <v>2650</v>
      </c>
      <c r="D51" s="522"/>
      <c r="E51" s="522"/>
      <c r="F51" s="522"/>
      <c r="G51" s="522"/>
      <c r="H51" s="522"/>
      <c r="I51" s="522"/>
      <c r="J51" s="522"/>
      <c r="K51" s="522"/>
      <c r="L51" s="523"/>
      <c r="M51" s="524"/>
      <c r="N51" s="1148"/>
      <c r="O51" s="1148"/>
      <c r="P51" s="1421"/>
      <c r="Q51" s="1418"/>
      <c r="R51" s="1422"/>
      <c r="S51" s="1422"/>
      <c r="T51" s="1422"/>
      <c r="U51" s="1422"/>
      <c r="V51" s="1422"/>
      <c r="W51" s="1422"/>
      <c r="X51" s="1422"/>
      <c r="Y51" s="1422"/>
      <c r="Z51" s="1422"/>
      <c r="AA51" s="1422"/>
      <c r="AB51" s="1422"/>
      <c r="AC51" s="1422"/>
    </row>
    <row r="52" spans="1:29" s="116" customFormat="1" ht="15.75" thickBot="1">
      <c r="A52" s="520"/>
      <c r="B52" s="509"/>
      <c r="C52" s="637">
        <v>100</v>
      </c>
      <c r="D52" s="511"/>
      <c r="E52" s="511"/>
      <c r="F52" s="511"/>
      <c r="G52" s="511"/>
      <c r="H52" s="511"/>
      <c r="I52" s="511"/>
      <c r="J52" s="511"/>
      <c r="K52" s="511"/>
      <c r="L52" s="511"/>
      <c r="M52" s="513"/>
      <c r="N52" s="1148"/>
      <c r="O52" s="1148"/>
      <c r="P52" s="1423"/>
      <c r="Q52" s="1418"/>
      <c r="R52" s="1422"/>
      <c r="S52" s="1422"/>
      <c r="T52" s="1422"/>
      <c r="U52" s="1422"/>
      <c r="V52" s="1422"/>
      <c r="W52" s="1422"/>
      <c r="X52" s="1422"/>
      <c r="Y52" s="1422"/>
      <c r="Z52" s="1422"/>
      <c r="AA52" s="1422"/>
      <c r="AB52" s="1422"/>
      <c r="AC52" s="1422"/>
    </row>
    <row r="53" spans="1:29">
      <c r="A53" s="526" t="s">
        <v>2586</v>
      </c>
      <c r="B53" s="527" t="s">
        <v>2552</v>
      </c>
      <c r="C53" s="528">
        <f>C9</f>
        <v>0</v>
      </c>
      <c r="D53" s="529"/>
      <c r="E53" s="529"/>
      <c r="F53" s="529"/>
      <c r="G53" s="529"/>
      <c r="H53" s="529"/>
      <c r="I53" s="529"/>
      <c r="J53" s="529"/>
      <c r="K53" s="530"/>
      <c r="L53" s="531"/>
      <c r="M53" s="532"/>
      <c r="N53" s="1149"/>
      <c r="O53" s="1149"/>
      <c r="P53" s="1424"/>
      <c r="Q53" s="1418"/>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4"/>
      <c r="Q54" s="1418"/>
      <c r="R54" s="1141"/>
      <c r="S54" s="1141"/>
      <c r="T54" s="1141"/>
      <c r="U54" s="1141"/>
      <c r="V54" s="1141"/>
      <c r="W54" s="1141"/>
      <c r="X54" s="1141"/>
      <c r="Y54" s="1141"/>
      <c r="Z54" s="1141"/>
      <c r="AA54" s="1141"/>
      <c r="AB54" s="1141"/>
      <c r="AC54" s="1141"/>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49"/>
      <c r="O55" s="1149"/>
      <c r="P55" s="1424"/>
      <c r="Q55" s="1418"/>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4"/>
      <c r="Q56" s="1418"/>
      <c r="R56" s="1141"/>
      <c r="S56" s="1141"/>
      <c r="T56" s="1141"/>
      <c r="U56" s="1141"/>
      <c r="V56" s="1141"/>
      <c r="W56" s="1141"/>
      <c r="X56" s="1141"/>
      <c r="Y56" s="1141"/>
      <c r="Z56" s="1141"/>
      <c r="AA56" s="1141"/>
      <c r="AB56" s="1141"/>
      <c r="AC56" s="1141"/>
    </row>
    <row r="57" spans="1:29" ht="15.75" thickTop="1">
      <c r="A57" s="533"/>
      <c r="B57" s="658">
        <f>B11</f>
        <v>111</v>
      </c>
      <c r="C57" s="548"/>
      <c r="D57" s="548"/>
      <c r="E57" s="548"/>
      <c r="F57" s="548"/>
      <c r="G57" s="548"/>
      <c r="H57" s="548"/>
      <c r="I57" s="548"/>
      <c r="J57" s="548"/>
      <c r="K57" s="549"/>
      <c r="L57" s="550"/>
      <c r="M57" s="551"/>
      <c r="N57" s="1149"/>
      <c r="O57" s="1149"/>
      <c r="P57" s="1424"/>
      <c r="Q57" s="1418"/>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4"/>
      <c r="Q58" s="1418"/>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5"/>
      <c r="Q59" s="1426"/>
      <c r="R59" s="1427"/>
      <c r="S59" s="1427"/>
      <c r="T59" s="1427"/>
      <c r="U59" s="1427"/>
      <c r="V59" s="1427"/>
      <c r="W59" s="1427"/>
      <c r="X59" s="1427"/>
      <c r="Y59" s="1427"/>
      <c r="Z59" s="1427"/>
      <c r="AA59" s="1427"/>
      <c r="AB59" s="1427"/>
      <c r="AC59" s="1427"/>
    </row>
    <row r="60" spans="1:29" s="470" customFormat="1" ht="15.75" thickBot="1">
      <c r="A60" s="552"/>
      <c r="B60" s="542"/>
      <c r="C60" s="559"/>
      <c r="D60" s="535"/>
      <c r="E60" s="535"/>
      <c r="F60" s="535"/>
      <c r="G60" s="535"/>
      <c r="H60" s="535"/>
      <c r="I60" s="535"/>
      <c r="J60" s="535"/>
      <c r="K60" s="535"/>
      <c r="L60" s="535"/>
      <c r="M60" s="536"/>
      <c r="N60" s="1150"/>
      <c r="O60" s="1150"/>
      <c r="P60" s="1425"/>
      <c r="Q60" s="1426"/>
      <c r="R60" s="1427"/>
      <c r="S60" s="1427"/>
      <c r="T60" s="1427"/>
      <c r="U60" s="1427"/>
      <c r="V60" s="1427"/>
      <c r="W60" s="1427"/>
      <c r="X60" s="1427"/>
      <c r="Y60" s="1427"/>
      <c r="Z60" s="1427"/>
      <c r="AA60" s="1427"/>
      <c r="AB60" s="1427"/>
      <c r="AC60" s="1427"/>
    </row>
    <row r="61" spans="1:29" s="470" customFormat="1" ht="15.75" thickTop="1">
      <c r="A61" s="552"/>
      <c r="B61" s="537">
        <f>B13</f>
        <v>111</v>
      </c>
      <c r="C61" s="553"/>
      <c r="D61" s="553"/>
      <c r="E61" s="553"/>
      <c r="F61" s="553"/>
      <c r="G61" s="553"/>
      <c r="H61" s="554"/>
      <c r="I61" s="554"/>
      <c r="J61" s="554"/>
      <c r="K61" s="554"/>
      <c r="L61" s="555"/>
      <c r="M61" s="556"/>
      <c r="N61" s="1151"/>
      <c r="O61" s="1151"/>
      <c r="P61" s="1428"/>
      <c r="Q61" s="1429"/>
      <c r="R61" s="1427"/>
      <c r="S61" s="1427"/>
      <c r="T61" s="1427"/>
      <c r="U61" s="1427"/>
      <c r="V61" s="1427"/>
      <c r="W61" s="1427"/>
      <c r="X61" s="1427"/>
      <c r="Y61" s="1427"/>
      <c r="Z61" s="1427"/>
      <c r="AA61" s="1427"/>
      <c r="AB61" s="1427"/>
      <c r="AC61" s="1427"/>
    </row>
    <row r="62" spans="1:29" s="470" customFormat="1" ht="15.75" thickBot="1">
      <c r="A62" s="552"/>
      <c r="B62" s="542"/>
      <c r="C62" s="559"/>
      <c r="D62" s="559"/>
      <c r="E62" s="559"/>
      <c r="F62" s="559"/>
      <c r="G62" s="559"/>
      <c r="H62" s="561"/>
      <c r="I62" s="561"/>
      <c r="J62" s="561"/>
      <c r="K62" s="561"/>
      <c r="L62" s="561"/>
      <c r="M62" s="562"/>
      <c r="N62" s="1151"/>
      <c r="O62" s="1151"/>
      <c r="P62" s="1425"/>
      <c r="Q62" s="1426"/>
      <c r="R62" s="1427"/>
      <c r="S62" s="1427"/>
      <c r="T62" s="1427"/>
      <c r="U62" s="1427"/>
      <c r="V62" s="1427"/>
      <c r="W62" s="1427"/>
      <c r="X62" s="1427"/>
      <c r="Y62" s="1427"/>
      <c r="Z62" s="1427"/>
      <c r="AA62" s="1427"/>
      <c r="AB62" s="1427"/>
      <c r="AC62" s="1427"/>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49"/>
      <c r="O63" s="1149"/>
      <c r="P63" s="1430"/>
      <c r="Q63" s="1418"/>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4"/>
      <c r="Q64" s="1418"/>
      <c r="R64" s="1141"/>
      <c r="S64" s="1141"/>
      <c r="T64" s="1141"/>
      <c r="U64" s="1141"/>
      <c r="V64" s="1141"/>
      <c r="W64" s="1141"/>
      <c r="X64" s="1141"/>
      <c r="Y64" s="1141"/>
      <c r="Z64" s="1141"/>
      <c r="AA64" s="1141"/>
      <c r="AB64" s="1141"/>
      <c r="AC64" s="1141"/>
    </row>
    <row r="65" spans="1:29" ht="15.75" thickTop="1">
      <c r="A65" s="533"/>
      <c r="B65" s="537" t="s">
        <v>2601</v>
      </c>
      <c r="C65" s="577" t="s">
        <v>2595</v>
      </c>
      <c r="D65" s="577" t="s">
        <v>2596</v>
      </c>
      <c r="E65" s="577" t="s">
        <v>2597</v>
      </c>
      <c r="F65" s="577" t="s">
        <v>2598</v>
      </c>
      <c r="G65" s="577" t="s">
        <v>2599</v>
      </c>
      <c r="H65" s="538"/>
      <c r="I65" s="538"/>
      <c r="J65" s="538"/>
      <c r="K65" s="539"/>
      <c r="L65" s="540"/>
      <c r="M65" s="541"/>
      <c r="N65" s="1149"/>
      <c r="O65" s="1149"/>
      <c r="P65" s="1424"/>
      <c r="Q65" s="1418"/>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4"/>
      <c r="Q66" s="1418"/>
      <c r="R66" s="1141"/>
      <c r="S66" s="1141"/>
      <c r="T66" s="1141"/>
      <c r="U66" s="1141"/>
      <c r="V66" s="1141"/>
      <c r="W66" s="1141"/>
      <c r="X66" s="1141"/>
      <c r="Y66" s="1141"/>
      <c r="Z66" s="1141"/>
      <c r="AA66" s="1141"/>
      <c r="AB66" s="1141"/>
      <c r="AC66" s="1141"/>
    </row>
    <row r="67" spans="1:29" ht="15.75" thickTop="1">
      <c r="A67" s="533"/>
      <c r="B67" s="545" t="s">
        <v>2687</v>
      </c>
      <c r="C67" s="658" t="s">
        <v>2673</v>
      </c>
      <c r="D67" s="658" t="s">
        <v>2674</v>
      </c>
      <c r="E67" s="658" t="s">
        <v>2675</v>
      </c>
      <c r="F67" s="658" t="s">
        <v>2676</v>
      </c>
      <c r="G67" s="658" t="s">
        <v>2677</v>
      </c>
      <c r="H67" s="538"/>
      <c r="I67" s="538"/>
      <c r="J67" s="538"/>
      <c r="K67" s="538"/>
      <c r="L67" s="538"/>
      <c r="M67" s="1377"/>
      <c r="N67" s="1150"/>
      <c r="O67" s="1150"/>
      <c r="P67" s="1424"/>
      <c r="Q67" s="1418"/>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0"/>
      <c r="O68" s="1150"/>
      <c r="P68" s="1424"/>
      <c r="Q68" s="1418"/>
      <c r="R68" s="1141"/>
      <c r="S68" s="1141"/>
      <c r="T68" s="1141"/>
      <c r="U68" s="1141"/>
      <c r="V68" s="1141"/>
      <c r="W68" s="1141"/>
      <c r="X68" s="1141"/>
      <c r="Y68" s="1141"/>
      <c r="Z68" s="1141"/>
      <c r="AA68" s="1141"/>
      <c r="AB68" s="1141"/>
      <c r="AC68" s="1141"/>
    </row>
    <row r="69" spans="1:29" ht="15.75" thickTop="1">
      <c r="A69" s="533"/>
      <c r="B69" s="537" t="s">
        <v>2607</v>
      </c>
      <c r="C69" s="577" t="s">
        <v>2595</v>
      </c>
      <c r="D69" s="577" t="s">
        <v>2596</v>
      </c>
      <c r="E69" s="577" t="s">
        <v>2597</v>
      </c>
      <c r="F69" s="577" t="s">
        <v>2598</v>
      </c>
      <c r="G69" s="577" t="s">
        <v>2599</v>
      </c>
      <c r="H69" s="538"/>
      <c r="I69" s="538"/>
      <c r="J69" s="538"/>
      <c r="K69" s="539"/>
      <c r="L69" s="540"/>
      <c r="M69" s="541"/>
      <c r="N69" s="1149"/>
      <c r="O69" s="1149"/>
      <c r="P69" s="1424"/>
      <c r="Q69" s="1418"/>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4"/>
      <c r="Q70" s="1418"/>
      <c r="R70" s="1141"/>
      <c r="S70" s="1141"/>
      <c r="T70" s="1141"/>
      <c r="U70" s="1141"/>
      <c r="V70" s="1141"/>
      <c r="W70" s="1141"/>
      <c r="X70" s="1141"/>
      <c r="Y70" s="1141"/>
      <c r="Z70" s="1141"/>
      <c r="AA70" s="1141"/>
      <c r="AB70" s="1141"/>
      <c r="AC70" s="1141"/>
    </row>
    <row r="71" spans="1:29" ht="15.75" thickTop="1">
      <c r="A71" s="533"/>
      <c r="B71" s="537" t="s">
        <v>2727</v>
      </c>
      <c r="C71" s="553"/>
      <c r="D71" s="553"/>
      <c r="E71" s="553"/>
      <c r="F71" s="553"/>
      <c r="G71" s="553"/>
      <c r="H71" s="582"/>
      <c r="I71" s="582"/>
      <c r="J71" s="582"/>
      <c r="K71" s="583"/>
      <c r="L71" s="584"/>
      <c r="M71" s="585"/>
      <c r="N71" s="1149"/>
      <c r="O71" s="1149"/>
      <c r="P71" s="1424"/>
      <c r="Q71" s="1418"/>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4"/>
      <c r="Q72" s="1418"/>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4"/>
      <c r="Q73" s="1418"/>
      <c r="R73" s="1422"/>
      <c r="S73" s="1422"/>
      <c r="T73" s="1422"/>
      <c r="U73" s="1422"/>
      <c r="V73" s="1422"/>
      <c r="W73" s="1422"/>
      <c r="X73" s="1422"/>
      <c r="Y73" s="1422"/>
      <c r="Z73" s="1422"/>
      <c r="AA73" s="1422"/>
      <c r="AB73" s="1422"/>
      <c r="AC73" s="1422"/>
    </row>
    <row r="74" spans="1:29" s="116" customFormat="1" ht="15.75" thickBot="1">
      <c r="A74" s="578"/>
      <c r="B74" s="542"/>
      <c r="C74" s="559"/>
      <c r="D74" s="535"/>
      <c r="E74" s="535"/>
      <c r="F74" s="535"/>
      <c r="G74" s="535"/>
      <c r="H74" s="535"/>
      <c r="I74" s="535"/>
      <c r="J74" s="535"/>
      <c r="K74" s="535"/>
      <c r="L74" s="535"/>
      <c r="M74" s="536"/>
      <c r="N74" s="1150"/>
      <c r="O74" s="1150"/>
      <c r="P74" s="1424"/>
      <c r="Q74" s="1418"/>
      <c r="R74" s="1422"/>
      <c r="S74" s="1422"/>
      <c r="T74" s="1422"/>
      <c r="U74" s="1422"/>
      <c r="V74" s="1422"/>
      <c r="W74" s="1422"/>
      <c r="X74" s="1422"/>
      <c r="Y74" s="1422"/>
      <c r="Z74" s="1422"/>
      <c r="AA74" s="1422"/>
      <c r="AB74" s="1422"/>
      <c r="AC74" s="1422"/>
    </row>
    <row r="75" spans="1:29" s="116" customFormat="1" ht="15.75" thickTop="1">
      <c r="A75" s="578"/>
      <c r="B75" s="537">
        <f>B24</f>
        <v>111</v>
      </c>
      <c r="C75" s="548"/>
      <c r="D75" s="548"/>
      <c r="E75" s="548"/>
      <c r="F75" s="548"/>
      <c r="G75" s="553"/>
      <c r="H75" s="553"/>
      <c r="I75" s="553"/>
      <c r="J75" s="553"/>
      <c r="K75" s="553"/>
      <c r="L75" s="553"/>
      <c r="M75" s="580"/>
      <c r="N75" s="1148"/>
      <c r="O75" s="1148"/>
      <c r="P75" s="1424"/>
      <c r="Q75" s="1418"/>
      <c r="R75" s="1422"/>
      <c r="S75" s="1422"/>
      <c r="T75" s="1422"/>
      <c r="U75" s="1422"/>
      <c r="V75" s="1422"/>
      <c r="W75" s="1422"/>
      <c r="X75" s="1422"/>
      <c r="Y75" s="1422"/>
      <c r="Z75" s="1422"/>
      <c r="AA75" s="1422"/>
      <c r="AB75" s="1422"/>
      <c r="AC75" s="1422"/>
    </row>
    <row r="76" spans="1:29" s="116" customFormat="1" ht="15.75" thickBot="1">
      <c r="A76" s="578"/>
      <c r="B76" s="542"/>
      <c r="C76" s="559"/>
      <c r="D76" s="535"/>
      <c r="E76" s="535"/>
      <c r="F76" s="535"/>
      <c r="G76" s="535"/>
      <c r="H76" s="535"/>
      <c r="I76" s="535"/>
      <c r="J76" s="535"/>
      <c r="K76" s="535"/>
      <c r="L76" s="535"/>
      <c r="M76" s="536"/>
      <c r="N76" s="1150"/>
      <c r="O76" s="1150"/>
      <c r="P76" s="1424"/>
      <c r="Q76" s="1418"/>
      <c r="R76" s="1422"/>
      <c r="S76" s="1422"/>
      <c r="T76" s="1422"/>
      <c r="U76" s="1422"/>
      <c r="V76" s="1422"/>
      <c r="W76" s="1422"/>
      <c r="X76" s="1422"/>
      <c r="Y76" s="1422"/>
      <c r="Z76" s="1422"/>
      <c r="AA76" s="1422"/>
      <c r="AB76" s="1422"/>
      <c r="AC76" s="1422"/>
    </row>
    <row r="77" spans="1:29" s="470" customFormat="1" ht="15.75" thickTop="1">
      <c r="A77" s="552"/>
      <c r="B77" s="537">
        <f>B25</f>
        <v>111</v>
      </c>
      <c r="C77" s="553"/>
      <c r="D77" s="553"/>
      <c r="E77" s="553"/>
      <c r="F77" s="553"/>
      <c r="G77" s="553"/>
      <c r="H77" s="554"/>
      <c r="I77" s="554"/>
      <c r="J77" s="554"/>
      <c r="K77" s="554"/>
      <c r="L77" s="555"/>
      <c r="M77" s="556"/>
      <c r="N77" s="1151"/>
      <c r="O77" s="1151"/>
      <c r="P77" s="1425"/>
      <c r="Q77" s="1426"/>
      <c r="R77" s="1427"/>
      <c r="S77" s="1427"/>
      <c r="T77" s="1427"/>
      <c r="U77" s="1427"/>
      <c r="V77" s="1427"/>
      <c r="W77" s="1427"/>
      <c r="X77" s="1427"/>
      <c r="Y77" s="1427"/>
      <c r="Z77" s="1427"/>
      <c r="AA77" s="1427"/>
      <c r="AB77" s="1427"/>
      <c r="AC77" s="1427"/>
    </row>
    <row r="78" spans="1:29" s="470" customFormat="1" ht="15.75" thickBot="1">
      <c r="A78" s="552"/>
      <c r="B78" s="542"/>
      <c r="C78" s="559"/>
      <c r="D78" s="559"/>
      <c r="E78" s="559"/>
      <c r="F78" s="559"/>
      <c r="G78" s="535"/>
      <c r="H78" s="535"/>
      <c r="I78" s="535"/>
      <c r="J78" s="535"/>
      <c r="K78" s="535"/>
      <c r="L78" s="535"/>
      <c r="M78" s="536"/>
      <c r="N78" s="1151"/>
      <c r="O78" s="1151"/>
      <c r="P78" s="1425"/>
      <c r="Q78" s="1426"/>
      <c r="R78" s="1427"/>
      <c r="S78" s="1427"/>
      <c r="T78" s="1427"/>
      <c r="U78" s="1427"/>
      <c r="V78" s="1427"/>
      <c r="W78" s="1427"/>
      <c r="X78" s="1427"/>
      <c r="Y78" s="1427"/>
      <c r="Z78" s="1427"/>
      <c r="AA78" s="1427"/>
      <c r="AB78" s="1427"/>
      <c r="AC78" s="1427"/>
    </row>
    <row r="79" spans="1:29" ht="27.75" thickTop="1">
      <c r="A79" s="526" t="s">
        <v>2561</v>
      </c>
      <c r="B79" s="527" t="s">
        <v>2728</v>
      </c>
      <c r="C79" s="528">
        <f>C26</f>
        <v>0</v>
      </c>
      <c r="D79" s="529"/>
      <c r="E79" s="529"/>
      <c r="F79" s="529"/>
      <c r="G79" s="529"/>
      <c r="H79" s="529"/>
      <c r="I79" s="529"/>
      <c r="J79" s="529"/>
      <c r="K79" s="530"/>
      <c r="L79" s="531"/>
      <c r="M79" s="532"/>
      <c r="N79" s="1149"/>
      <c r="O79" s="1149"/>
      <c r="P79" s="1424"/>
      <c r="Q79" s="1418"/>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4"/>
      <c r="Q80" s="1418"/>
      <c r="R80" s="1141"/>
      <c r="S80" s="1141"/>
      <c r="T80" s="1141"/>
      <c r="U80" s="1141"/>
      <c r="V80" s="1141"/>
      <c r="W80" s="1141"/>
      <c r="X80" s="1141"/>
      <c r="Y80" s="1141"/>
      <c r="Z80" s="1141"/>
      <c r="AA80" s="1141"/>
      <c r="AB80" s="1141"/>
      <c r="AC80" s="1141"/>
    </row>
    <row r="81" spans="1:29" ht="15.75" thickTop="1">
      <c r="A81" s="533"/>
      <c r="B81" s="537" t="s">
        <v>2729</v>
      </c>
      <c r="C81" s="659"/>
      <c r="D81" s="659"/>
      <c r="E81" s="659"/>
      <c r="F81" s="659"/>
      <c r="G81" s="659"/>
      <c r="H81" s="659"/>
      <c r="I81" s="659"/>
      <c r="J81" s="659"/>
      <c r="K81" s="660"/>
      <c r="L81" s="661"/>
      <c r="M81" s="662"/>
      <c r="N81" s="1148"/>
      <c r="O81" s="1148"/>
      <c r="P81" s="1424"/>
      <c r="Q81" s="1418"/>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5"/>
      <c r="Q82" s="1426"/>
      <c r="R82" s="1427"/>
      <c r="S82" s="1427"/>
      <c r="T82" s="1427"/>
      <c r="U82" s="1427"/>
      <c r="V82" s="1427"/>
      <c r="W82" s="1427"/>
      <c r="X82" s="1427"/>
      <c r="Y82" s="1427"/>
      <c r="Z82" s="1427"/>
      <c r="AA82" s="1427"/>
      <c r="AB82" s="1427"/>
      <c r="AC82" s="1427"/>
    </row>
    <row r="83" spans="1:29" ht="15" thickTop="1">
      <c r="A83" s="598"/>
      <c r="B83" s="537" t="s">
        <v>2614</v>
      </c>
      <c r="C83" s="553"/>
      <c r="D83" s="553"/>
      <c r="E83" s="582"/>
      <c r="F83" s="582"/>
      <c r="G83" s="582"/>
      <c r="H83" s="582"/>
      <c r="I83" s="582"/>
      <c r="J83" s="582"/>
      <c r="K83" s="583"/>
      <c r="L83" s="584"/>
      <c r="M83" s="585"/>
      <c r="N83" s="1149"/>
      <c r="O83" s="1149"/>
      <c r="P83" s="1424"/>
      <c r="Q83" s="1418"/>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4"/>
      <c r="Q84" s="1418"/>
      <c r="R84" s="1141"/>
      <c r="S84" s="1141"/>
      <c r="T84" s="1141"/>
      <c r="U84" s="1141"/>
      <c r="V84" s="1141"/>
      <c r="W84" s="1141"/>
      <c r="X84" s="1141"/>
      <c r="Y84" s="1141"/>
      <c r="Z84" s="1141"/>
      <c r="AA84" s="1141"/>
      <c r="AB84" s="1141"/>
      <c r="AC84" s="1141"/>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4"/>
      <c r="Q85" s="1418"/>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1"/>
      <c r="J86" s="621"/>
      <c r="K86" s="622"/>
      <c r="L86" s="623"/>
      <c r="M86" s="624"/>
      <c r="N86" s="1149"/>
      <c r="O86" s="1149"/>
      <c r="P86" s="1424"/>
      <c r="Q86" s="1418"/>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4"/>
      <c r="Q87" s="1418"/>
      <c r="R87" s="1141"/>
      <c r="S87" s="1141"/>
      <c r="T87" s="1141"/>
      <c r="U87" s="1141"/>
      <c r="V87" s="1141"/>
      <c r="W87" s="1141"/>
      <c r="X87" s="1141"/>
      <c r="Y87" s="1141"/>
      <c r="Z87" s="1141"/>
      <c r="AA87" s="1141"/>
      <c r="AB87" s="1141"/>
      <c r="AC87" s="1141"/>
    </row>
    <row r="88" spans="1:29" ht="15" thickTop="1">
      <c r="A88" s="598"/>
      <c r="B88" s="545" t="s">
        <v>2731</v>
      </c>
      <c r="C88" s="529"/>
      <c r="D88" s="529"/>
      <c r="E88" s="529"/>
      <c r="F88" s="529"/>
      <c r="G88" s="529"/>
      <c r="H88" s="529"/>
      <c r="I88" s="529"/>
      <c r="J88" s="529"/>
      <c r="K88" s="530"/>
      <c r="L88" s="531"/>
      <c r="M88" s="532"/>
      <c r="N88" s="1149"/>
      <c r="O88" s="1149"/>
      <c r="P88" s="1424"/>
      <c r="Q88" s="1418"/>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4"/>
      <c r="Q89" s="1418"/>
      <c r="R89" s="1141"/>
      <c r="S89" s="1141"/>
      <c r="T89" s="1141"/>
      <c r="U89" s="1141"/>
      <c r="V89" s="1141"/>
      <c r="W89" s="1141"/>
      <c r="X89" s="1141"/>
      <c r="Y89" s="1141"/>
      <c r="Z89" s="1141"/>
      <c r="AA89" s="1141"/>
      <c r="AB89" s="1141"/>
      <c r="AC89" s="1141"/>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1"/>
      <c r="O90" s="1151"/>
      <c r="P90" s="1425"/>
      <c r="Q90" s="1426"/>
      <c r="R90" s="1427"/>
      <c r="S90" s="1427"/>
      <c r="T90" s="1427"/>
      <c r="U90" s="1427"/>
      <c r="V90" s="1427"/>
      <c r="W90" s="1427"/>
      <c r="X90" s="1427"/>
      <c r="Y90" s="1427"/>
      <c r="Z90" s="1427"/>
      <c r="AA90" s="1427"/>
      <c r="AB90" s="1427"/>
      <c r="AC90" s="1427"/>
    </row>
    <row r="91" spans="1:29" s="470" customFormat="1">
      <c r="A91" s="592"/>
      <c r="B91" s="545"/>
      <c r="C91" s="594"/>
      <c r="D91" s="594"/>
      <c r="E91" s="594"/>
      <c r="F91" s="594"/>
      <c r="G91" s="594"/>
      <c r="H91" s="594"/>
      <c r="I91" s="594"/>
      <c r="J91" s="595"/>
      <c r="K91" s="595"/>
      <c r="L91" s="596"/>
      <c r="M91" s="597"/>
      <c r="N91" s="1151"/>
      <c r="O91" s="1151"/>
      <c r="P91" s="1425"/>
      <c r="Q91" s="1426"/>
      <c r="R91" s="1427"/>
      <c r="S91" s="1427"/>
      <c r="T91" s="1427"/>
      <c r="U91" s="1427"/>
      <c r="V91" s="1427"/>
      <c r="W91" s="1427"/>
      <c r="X91" s="1427"/>
      <c r="Y91" s="1427"/>
      <c r="Z91" s="1427"/>
      <c r="AA91" s="1427"/>
      <c r="AB91" s="1427"/>
      <c r="AC91" s="1427"/>
    </row>
    <row r="92" spans="1:29" s="470" customFormat="1" ht="15.75" thickBot="1">
      <c r="A92" s="552"/>
      <c r="B92" s="542"/>
      <c r="C92" s="559"/>
      <c r="D92" s="535"/>
      <c r="E92" s="535"/>
      <c r="F92" s="535"/>
      <c r="G92" s="535"/>
      <c r="H92" s="535"/>
      <c r="I92" s="535"/>
      <c r="J92" s="535"/>
      <c r="K92" s="535"/>
      <c r="L92" s="535"/>
      <c r="M92" s="536"/>
      <c r="N92" s="1151"/>
      <c r="O92" s="1151"/>
      <c r="P92" s="1425"/>
      <c r="Q92" s="1426"/>
      <c r="R92" s="1427"/>
      <c r="S92" s="1427"/>
      <c r="T92" s="1427"/>
      <c r="U92" s="1427"/>
      <c r="V92" s="1427"/>
      <c r="W92" s="1427"/>
      <c r="X92" s="1427"/>
      <c r="Y92" s="1427"/>
      <c r="Z92" s="1427"/>
      <c r="AA92" s="1427"/>
      <c r="AB92" s="1427"/>
      <c r="AC92" s="1427"/>
    </row>
    <row r="93" spans="1:29" ht="15" thickTop="1">
      <c r="A93" s="598"/>
      <c r="B93" s="537" t="s">
        <v>2733</v>
      </c>
      <c r="C93" s="553"/>
      <c r="D93" s="553"/>
      <c r="E93" s="582"/>
      <c r="F93" s="582"/>
      <c r="G93" s="582"/>
      <c r="H93" s="582"/>
      <c r="I93" s="582"/>
      <c r="J93" s="582"/>
      <c r="K93" s="583"/>
      <c r="L93" s="584"/>
      <c r="M93" s="585"/>
      <c r="N93" s="1149"/>
      <c r="O93" s="1149"/>
      <c r="P93" s="1424"/>
      <c r="Q93" s="1418"/>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4"/>
      <c r="Q94" s="1418"/>
      <c r="R94" s="1141"/>
      <c r="S94" s="1141"/>
      <c r="T94" s="1141"/>
      <c r="U94" s="1141"/>
      <c r="V94" s="1141"/>
      <c r="W94" s="1141"/>
      <c r="X94" s="1141"/>
      <c r="Y94" s="1141"/>
      <c r="Z94" s="1141"/>
      <c r="AA94" s="1141"/>
      <c r="AB94" s="1141"/>
      <c r="AC94" s="1141"/>
    </row>
    <row r="95" spans="1:29" ht="15" thickTop="1">
      <c r="A95" s="598"/>
      <c r="B95" s="537" t="s">
        <v>2734</v>
      </c>
      <c r="C95" s="529"/>
      <c r="D95" s="529"/>
      <c r="E95" s="529"/>
      <c r="F95" s="529"/>
      <c r="G95" s="529"/>
      <c r="H95" s="529"/>
      <c r="I95" s="529"/>
      <c r="J95" s="529"/>
      <c r="K95" s="530"/>
      <c r="L95" s="531"/>
      <c r="M95" s="532"/>
      <c r="N95" s="1149"/>
      <c r="O95" s="1149"/>
      <c r="P95" s="1424"/>
      <c r="Q95" s="1418"/>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4"/>
      <c r="Q96" s="1418"/>
      <c r="R96" s="1141"/>
      <c r="S96" s="1141"/>
      <c r="T96" s="1141"/>
      <c r="U96" s="1141"/>
      <c r="V96" s="1141"/>
      <c r="W96" s="1141"/>
      <c r="X96" s="1141"/>
      <c r="Y96" s="1141"/>
      <c r="Z96" s="1141"/>
      <c r="AA96" s="1141"/>
      <c r="AB96" s="1141"/>
      <c r="AC96" s="1141"/>
    </row>
    <row r="97" spans="1:29" ht="15" thickTop="1">
      <c r="A97" s="598"/>
      <c r="B97" s="634">
        <f>B34</f>
        <v>111</v>
      </c>
      <c r="C97" s="548"/>
      <c r="D97" s="548"/>
      <c r="E97" s="548"/>
      <c r="F97" s="548"/>
      <c r="G97" s="553"/>
      <c r="H97" s="554"/>
      <c r="I97" s="554"/>
      <c r="J97" s="554"/>
      <c r="K97" s="554"/>
      <c r="L97" s="555"/>
      <c r="M97" s="556"/>
      <c r="N97" s="1150"/>
      <c r="O97" s="1150"/>
      <c r="P97" s="1431"/>
      <c r="Q97" s="1432"/>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4"/>
      <c r="Q98" s="1418"/>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5"/>
      <c r="Q99" s="1426"/>
      <c r="R99" s="1427"/>
      <c r="S99" s="1427"/>
      <c r="T99" s="1427"/>
      <c r="U99" s="1427"/>
      <c r="V99" s="1427"/>
      <c r="W99" s="1427"/>
      <c r="X99" s="1427"/>
      <c r="Y99" s="1427"/>
      <c r="Z99" s="1427"/>
      <c r="AA99" s="1427"/>
      <c r="AB99" s="1427"/>
      <c r="AC99" s="1427"/>
    </row>
    <row r="100" spans="1:29" s="470" customFormat="1" ht="15.75" thickBot="1">
      <c r="A100" s="552"/>
      <c r="B100" s="534"/>
      <c r="C100" s="559"/>
      <c r="D100" s="535"/>
      <c r="E100" s="535"/>
      <c r="F100" s="535"/>
      <c r="G100" s="559"/>
      <c r="H100" s="561"/>
      <c r="I100" s="561"/>
      <c r="J100" s="561"/>
      <c r="K100" s="561"/>
      <c r="L100" s="561"/>
      <c r="M100" s="562"/>
      <c r="N100" s="1151"/>
      <c r="O100" s="1151"/>
      <c r="P100" s="1425"/>
      <c r="Q100" s="1426"/>
      <c r="R100" s="1427"/>
      <c r="S100" s="1427"/>
      <c r="T100" s="1427"/>
      <c r="U100" s="1427"/>
      <c r="V100" s="1427"/>
      <c r="W100" s="1427"/>
      <c r="X100" s="1427"/>
      <c r="Y100" s="1427"/>
      <c r="Z100" s="1427"/>
      <c r="AA100" s="1427"/>
      <c r="AB100" s="1427"/>
      <c r="AC100" s="1427"/>
    </row>
    <row r="101" spans="1:29" ht="15" thickTop="1">
      <c r="A101" s="598"/>
      <c r="B101" s="537">
        <f>B36</f>
        <v>111</v>
      </c>
      <c r="C101" s="553"/>
      <c r="D101" s="553"/>
      <c r="E101" s="553"/>
      <c r="F101" s="553"/>
      <c r="G101" s="553"/>
      <c r="H101" s="554"/>
      <c r="I101" s="554"/>
      <c r="J101" s="554"/>
      <c r="K101" s="554"/>
      <c r="L101" s="555"/>
      <c r="M101" s="556"/>
      <c r="N101" s="1149"/>
      <c r="O101" s="1149"/>
      <c r="P101" s="1424"/>
      <c r="Q101" s="1418"/>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4"/>
      <c r="Q102" s="1418"/>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4" customFormat="1" ht="28.5" customHeight="1" thickBot="1">
      <c r="A1" s="1613" t="s">
        <v>2705</v>
      </c>
      <c r="B1" s="1614"/>
      <c r="C1" s="1615" t="s">
        <v>2528</v>
      </c>
      <c r="D1" s="1616"/>
      <c r="E1" s="1625"/>
      <c r="F1" s="2577"/>
      <c r="G1" s="1626" t="s">
        <v>2641</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7" customFormat="1" ht="28.5" customHeight="1" thickTop="1">
      <c r="A2" s="1612" t="s">
        <v>2325</v>
      </c>
      <c r="B2" s="1413" t="e">
        <f ca="1">IF(C2="——",ROUND(C37*D3/10000,0),ROUND(C37*D3/10000,0)-D2)</f>
        <v>#DIV/0!</v>
      </c>
      <c r="C2" s="2579"/>
      <c r="D2" s="1121" t="e">
        <f ca="1">SUMIF(INDIRECT("'"&amp;F2&amp;"'"&amp;"!A:A"),"承租人权益价值",INDIRECT("'"&amp;F2&amp;"'"&amp;"!c:c"))</f>
        <v>#REF!</v>
      </c>
      <c r="E2" s="2580" t="s">
        <v>2326</v>
      </c>
      <c r="F2" s="2581"/>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7" customFormat="1" ht="28.5" customHeight="1" thickBot="1">
      <c r="A3" s="246" t="s">
        <v>2327</v>
      </c>
      <c r="B3" s="608" t="e">
        <f ca="1">IF(C2="——",C37,ROUND(B2*10000/D3,0))</f>
        <v>#DIV/0!</v>
      </c>
      <c r="C3" s="399" t="s">
        <v>2642</v>
      </c>
      <c r="D3" s="398">
        <f>SUMIF('数据-汇总表'!$C19:$C33,D1,'数据-汇总表'!$E19:$E33)</f>
        <v>0</v>
      </c>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2" t="s">
        <v>2646</v>
      </c>
      <c r="AC4" s="3271" t="s">
        <v>2647</v>
      </c>
    </row>
    <row r="5" spans="1:29" ht="15">
      <c r="A5" s="403"/>
      <c r="B5" s="404"/>
      <c r="C5" s="3348" t="s">
        <v>2540</v>
      </c>
      <c r="D5" s="3284"/>
      <c r="E5" s="3347" t="s">
        <v>2541</v>
      </c>
      <c r="F5" s="3282"/>
      <c r="G5" s="3348" t="s">
        <v>2542</v>
      </c>
      <c r="H5" s="3284"/>
      <c r="I5" s="3348" t="s">
        <v>2543</v>
      </c>
      <c r="J5" s="3284"/>
      <c r="K5" s="609"/>
      <c r="L5" s="1127"/>
      <c r="M5" s="1128"/>
      <c r="N5" s="1128"/>
      <c r="O5" s="1128"/>
      <c r="P5" s="3296"/>
      <c r="Q5" s="3297"/>
      <c r="R5" s="3279"/>
      <c r="S5" s="3280"/>
      <c r="T5" s="3279"/>
      <c r="U5" s="3280"/>
      <c r="V5" s="3274"/>
      <c r="W5" s="3274"/>
      <c r="X5" s="1808"/>
      <c r="Y5" s="3279"/>
      <c r="Z5" s="3280"/>
      <c r="AA5" s="3272"/>
      <c r="AB5" s="3272"/>
      <c r="AC5" s="3272"/>
    </row>
    <row r="6" spans="1:29" ht="15.75" thickBot="1">
      <c r="A6" s="405"/>
      <c r="B6" s="406"/>
      <c r="C6" s="3349" t="s">
        <v>2544</v>
      </c>
      <c r="D6" s="3286"/>
      <c r="E6" s="3350" t="s">
        <v>2544</v>
      </c>
      <c r="F6" s="3288"/>
      <c r="G6" s="3349" t="s">
        <v>2544</v>
      </c>
      <c r="H6" s="3286"/>
      <c r="I6" s="3349" t="s">
        <v>2544</v>
      </c>
      <c r="J6" s="3286"/>
      <c r="K6" s="609" t="s">
        <v>2545</v>
      </c>
      <c r="L6" s="1127"/>
      <c r="M6" s="1128"/>
      <c r="N6" s="1128"/>
      <c r="O6" s="1128"/>
      <c r="P6" s="3298"/>
      <c r="Q6" s="3299"/>
      <c r="R6" s="3279"/>
      <c r="S6" s="3280"/>
      <c r="T6" s="3300"/>
      <c r="U6" s="3301"/>
      <c r="V6" s="3274"/>
      <c r="W6" s="3274"/>
      <c r="X6" s="1808"/>
      <c r="Y6" s="3300"/>
      <c r="Z6" s="3301"/>
      <c r="AA6" s="3273"/>
      <c r="AB6" s="3273"/>
      <c r="AC6" s="3273"/>
    </row>
    <row r="7" spans="1:29" s="116" customFormat="1" ht="15.75" thickBot="1">
      <c r="A7" s="407" t="s">
        <v>2546</v>
      </c>
      <c r="B7" s="408"/>
      <c r="C7" s="409">
        <f>'数据-取费表'!B2</f>
        <v>43209</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75" t="s">
        <v>2547</v>
      </c>
      <c r="Q7" s="3302"/>
      <c r="R7" s="764" t="s">
        <v>17</v>
      </c>
      <c r="S7" s="765">
        <f t="shared" ref="S7:S14" si="0">F7</f>
        <v>0</v>
      </c>
      <c r="T7" s="764" t="s">
        <v>17</v>
      </c>
      <c r="U7" s="765">
        <f t="shared" ref="U7:U14" si="1">H7</f>
        <v>0</v>
      </c>
      <c r="V7" s="764" t="s">
        <v>17</v>
      </c>
      <c r="W7" s="765">
        <f t="shared" ref="W7:W14" si="2">J7</f>
        <v>0</v>
      </c>
      <c r="X7" s="766"/>
      <c r="Y7" s="3275" t="s">
        <v>2547</v>
      </c>
      <c r="Z7" s="3276"/>
      <c r="AA7" s="767" t="e">
        <f>D7/F7</f>
        <v>#DIV/0!</v>
      </c>
      <c r="AB7" s="767" t="e">
        <f>D7/H7</f>
        <v>#DIV/0!</v>
      </c>
      <c r="AC7" s="767"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75" t="s">
        <v>2550</v>
      </c>
      <c r="Q8" s="3276"/>
      <c r="R8" s="764" t="s">
        <v>17</v>
      </c>
      <c r="S8" s="765">
        <f t="shared" si="0"/>
        <v>0</v>
      </c>
      <c r="T8" s="764" t="s">
        <v>17</v>
      </c>
      <c r="U8" s="765">
        <f t="shared" si="1"/>
        <v>0</v>
      </c>
      <c r="V8" s="764" t="s">
        <v>17</v>
      </c>
      <c r="W8" s="765">
        <f t="shared" si="2"/>
        <v>0</v>
      </c>
      <c r="X8" s="766"/>
      <c r="Y8" s="3275" t="s">
        <v>2550</v>
      </c>
      <c r="Z8" s="3276"/>
      <c r="AA8" s="767" t="e">
        <f t="shared" ref="AA8:AA34" si="3">D8/F8</f>
        <v>#DIV/0!</v>
      </c>
      <c r="AB8" s="767" t="e">
        <f t="shared" ref="AB8:AB34" si="4">D8/H8</f>
        <v>#DIV/0!</v>
      </c>
      <c r="AC8" s="767" t="e">
        <f t="shared" ref="AC8:AC34" si="5">D8/J8</f>
        <v>#DIV/0!</v>
      </c>
    </row>
    <row r="9" spans="1:29" s="116" customFormat="1">
      <c r="A9" s="414" t="s">
        <v>2551</v>
      </c>
      <c r="B9" s="70" t="s">
        <v>2552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312" t="s">
        <v>2553</v>
      </c>
      <c r="Q9" s="1790" t="str">
        <f t="shared" ref="Q9:Q14" si="6">B9</f>
        <v>用途</v>
      </c>
      <c r="R9" s="764" t="s">
        <v>17</v>
      </c>
      <c r="S9" s="765">
        <f t="shared" si="0"/>
        <v>100</v>
      </c>
      <c r="T9" s="764" t="s">
        <v>17</v>
      </c>
      <c r="U9" s="765">
        <f t="shared" si="1"/>
        <v>100</v>
      </c>
      <c r="V9" s="764" t="s">
        <v>17</v>
      </c>
      <c r="W9" s="765">
        <f t="shared" si="2"/>
        <v>100</v>
      </c>
      <c r="X9" s="766"/>
      <c r="Y9" s="3151" t="s">
        <v>2554</v>
      </c>
      <c r="Z9" s="54" t="str">
        <f t="shared" ref="Z9:Z14" si="7">Q9</f>
        <v>用途</v>
      </c>
      <c r="AA9" s="767">
        <f t="shared" si="3"/>
        <v>1</v>
      </c>
      <c r="AB9" s="767">
        <f t="shared" si="4"/>
        <v>1</v>
      </c>
      <c r="AC9" s="767">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312"/>
      <c r="Q10" s="1790" t="str">
        <f t="shared" si="6"/>
        <v>土地使用年限（年）</v>
      </c>
      <c r="R10" s="764" t="s">
        <v>17</v>
      </c>
      <c r="S10" s="765">
        <f t="shared" si="0"/>
        <v>100</v>
      </c>
      <c r="T10" s="764" t="s">
        <v>17</v>
      </c>
      <c r="U10" s="765">
        <f t="shared" si="1"/>
        <v>100</v>
      </c>
      <c r="V10" s="764" t="s">
        <v>17</v>
      </c>
      <c r="W10" s="765">
        <f t="shared" si="2"/>
        <v>100</v>
      </c>
      <c r="X10" s="766"/>
      <c r="Y10" s="3151"/>
      <c r="Z10" s="54" t="str">
        <f t="shared" si="7"/>
        <v>土地使用年限（年）</v>
      </c>
      <c r="AA10" s="767">
        <f t="shared" si="3"/>
        <v>1</v>
      </c>
      <c r="AB10" s="767">
        <f t="shared" si="4"/>
        <v>1</v>
      </c>
      <c r="AC10" s="767">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312"/>
      <c r="Q11" s="1790">
        <f t="shared" si="6"/>
        <v>111</v>
      </c>
      <c r="R11" s="764" t="s">
        <v>17</v>
      </c>
      <c r="S11" s="765">
        <f t="shared" si="0"/>
        <v>100</v>
      </c>
      <c r="T11" s="764" t="s">
        <v>17</v>
      </c>
      <c r="U11" s="765">
        <f t="shared" si="1"/>
        <v>100</v>
      </c>
      <c r="V11" s="764" t="s">
        <v>17</v>
      </c>
      <c r="W11" s="765">
        <f t="shared" si="2"/>
        <v>100</v>
      </c>
      <c r="X11" s="766"/>
      <c r="Y11" s="3151"/>
      <c r="Z11" s="54">
        <f t="shared" si="7"/>
        <v>111</v>
      </c>
      <c r="AA11" s="767">
        <f t="shared" si="3"/>
        <v>1</v>
      </c>
      <c r="AB11" s="767">
        <f t="shared" si="4"/>
        <v>1</v>
      </c>
      <c r="AC11" s="767">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312"/>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767">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312"/>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767">
        <f t="shared" si="5"/>
        <v>1</v>
      </c>
    </row>
    <row r="14" spans="1:29" ht="85.5">
      <c r="A14" s="439" t="s">
        <v>2557</v>
      </c>
      <c r="B14" s="68" t="s">
        <v>2707</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305" t="s">
        <v>2558</v>
      </c>
      <c r="Q14" s="1805" t="str">
        <f t="shared" si="6"/>
        <v>交通便捷度</v>
      </c>
      <c r="R14" s="768" t="s">
        <v>17</v>
      </c>
      <c r="S14" s="769">
        <f t="shared" si="0"/>
        <v>100</v>
      </c>
      <c r="T14" s="768" t="s">
        <v>17</v>
      </c>
      <c r="U14" s="769">
        <f t="shared" si="1"/>
        <v>100</v>
      </c>
      <c r="V14" s="768" t="s">
        <v>17</v>
      </c>
      <c r="W14" s="769">
        <f t="shared" si="2"/>
        <v>100</v>
      </c>
      <c r="X14" s="1808"/>
      <c r="Y14" s="3305" t="s">
        <v>2558</v>
      </c>
      <c r="Z14" s="1809" t="str">
        <f t="shared" si="7"/>
        <v>交通便捷度</v>
      </c>
      <c r="AA14" s="1806">
        <f t="shared" si="3"/>
        <v>1</v>
      </c>
      <c r="AB14" s="1806">
        <f t="shared" si="4"/>
        <v>1</v>
      </c>
      <c r="AC14" s="1806">
        <f t="shared" si="5"/>
        <v>1</v>
      </c>
    </row>
    <row r="15" spans="1:29" ht="15">
      <c r="A15" s="427"/>
      <c r="B15" s="445"/>
      <c r="C15" s="446"/>
      <c r="D15" s="447"/>
      <c r="E15" s="446"/>
      <c r="F15" s="448"/>
      <c r="G15" s="446"/>
      <c r="H15" s="449"/>
      <c r="I15" s="446"/>
      <c r="J15" s="447"/>
      <c r="K15" s="614"/>
      <c r="L15" s="1137"/>
      <c r="M15" s="1128"/>
      <c r="N15" s="1128"/>
      <c r="O15" s="1136"/>
      <c r="P15" s="3306"/>
      <c r="Q15" s="1805"/>
      <c r="R15" s="768"/>
      <c r="S15" s="769"/>
      <c r="T15" s="768"/>
      <c r="U15" s="769"/>
      <c r="V15" s="768"/>
      <c r="W15" s="769"/>
      <c r="X15" s="1808"/>
      <c r="Y15" s="3306"/>
      <c r="Z15" s="1809"/>
      <c r="AA15" s="1806">
        <v>1</v>
      </c>
      <c r="AB15" s="1806">
        <v>1</v>
      </c>
      <c r="AC15" s="1806">
        <v>1</v>
      </c>
    </row>
    <row r="16" spans="1:29" ht="42.75">
      <c r="A16" s="427"/>
      <c r="B16" s="450" t="s">
        <v>2686</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306"/>
      <c r="Q16" s="1805" t="str">
        <f>B16</f>
        <v>公共配套设施</v>
      </c>
      <c r="R16" s="768" t="s">
        <v>17</v>
      </c>
      <c r="S16" s="769">
        <f>F16</f>
        <v>100</v>
      </c>
      <c r="T16" s="768" t="s">
        <v>17</v>
      </c>
      <c r="U16" s="769">
        <f>H16</f>
        <v>100</v>
      </c>
      <c r="V16" s="768" t="s">
        <v>17</v>
      </c>
      <c r="W16" s="769">
        <f>J16</f>
        <v>100</v>
      </c>
      <c r="X16" s="1808"/>
      <c r="Y16" s="3306"/>
      <c r="Z16" s="1809" t="str">
        <f>Q16</f>
        <v>公共配套设施</v>
      </c>
      <c r="AA16" s="1806">
        <f t="shared" si="3"/>
        <v>1</v>
      </c>
      <c r="AB16" s="1806">
        <f t="shared" si="4"/>
        <v>1</v>
      </c>
      <c r="AC16" s="1806">
        <f t="shared" si="5"/>
        <v>1</v>
      </c>
    </row>
    <row r="17" spans="1:29" ht="15">
      <c r="A17" s="427"/>
      <c r="B17" s="455"/>
      <c r="C17" s="2601"/>
      <c r="D17" s="447"/>
      <c r="E17" s="446"/>
      <c r="F17" s="448"/>
      <c r="G17" s="446"/>
      <c r="H17" s="447"/>
      <c r="I17" s="446"/>
      <c r="J17" s="447"/>
      <c r="K17" s="614"/>
      <c r="L17" s="1137"/>
      <c r="M17" s="1128"/>
      <c r="N17" s="1128"/>
      <c r="O17" s="1136"/>
      <c r="P17" s="3306"/>
      <c r="Q17" s="1805"/>
      <c r="R17" s="768"/>
      <c r="S17" s="769"/>
      <c r="T17" s="768"/>
      <c r="U17" s="769"/>
      <c r="V17" s="768"/>
      <c r="W17" s="769"/>
      <c r="X17" s="1808"/>
      <c r="Y17" s="3306"/>
      <c r="Z17" s="1809"/>
      <c r="AA17" s="1806">
        <v>1</v>
      </c>
      <c r="AB17" s="1806">
        <v>1</v>
      </c>
      <c r="AC17" s="1806">
        <v>1</v>
      </c>
    </row>
    <row r="18" spans="1:29" ht="28.5">
      <c r="A18" s="427"/>
      <c r="B18" s="1379" t="s">
        <v>2687</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306"/>
      <c r="Q18" s="1805" t="str">
        <f>B18</f>
        <v>基础设施水平</v>
      </c>
      <c r="R18" s="768" t="s">
        <v>17</v>
      </c>
      <c r="S18" s="769">
        <f>F18</f>
        <v>100</v>
      </c>
      <c r="T18" s="768" t="s">
        <v>17</v>
      </c>
      <c r="U18" s="769">
        <f>H18</f>
        <v>100</v>
      </c>
      <c r="V18" s="768" t="s">
        <v>17</v>
      </c>
      <c r="W18" s="769">
        <f>J18</f>
        <v>100</v>
      </c>
      <c r="X18" s="1808"/>
      <c r="Y18" s="3306"/>
      <c r="Z18" s="1809" t="str">
        <f>Q18</f>
        <v>基础设施水平</v>
      </c>
      <c r="AA18" s="1806">
        <f t="shared" ref="AA18" si="8">D18/F18</f>
        <v>1</v>
      </c>
      <c r="AB18" s="1806">
        <f t="shared" ref="AB18" si="9">D18/H18</f>
        <v>1</v>
      </c>
      <c r="AC18" s="1806">
        <f t="shared" ref="AC18" si="10">D18/J18</f>
        <v>1</v>
      </c>
    </row>
    <row r="19" spans="1:29" ht="15">
      <c r="A19" s="427"/>
      <c r="B19" s="1379"/>
      <c r="C19" s="2601"/>
      <c r="D19" s="449"/>
      <c r="E19" s="2601"/>
      <c r="F19" s="452"/>
      <c r="G19" s="2601"/>
      <c r="H19" s="447"/>
      <c r="I19" s="446"/>
      <c r="J19" s="447"/>
      <c r="K19" s="1378"/>
      <c r="L19" s="1137"/>
      <c r="M19" s="1128"/>
      <c r="N19" s="1128"/>
      <c r="O19" s="1136"/>
      <c r="P19" s="3306"/>
      <c r="Q19" s="1805"/>
      <c r="R19" s="768"/>
      <c r="S19" s="769"/>
      <c r="T19" s="768"/>
      <c r="U19" s="769"/>
      <c r="V19" s="768"/>
      <c r="W19" s="769"/>
      <c r="X19" s="1808"/>
      <c r="Y19" s="3306"/>
      <c r="Z19" s="1809"/>
      <c r="AA19" s="1806">
        <v>1</v>
      </c>
      <c r="AB19" s="1806">
        <v>1</v>
      </c>
      <c r="AC19" s="1806">
        <v>1</v>
      </c>
    </row>
    <row r="20" spans="1:29" ht="57">
      <c r="A20" s="427"/>
      <c r="B20" s="450" t="s">
        <v>2708</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306"/>
      <c r="Q20" s="1805" t="str">
        <f>B20</f>
        <v>自然及人文环境</v>
      </c>
      <c r="R20" s="768" t="s">
        <v>17</v>
      </c>
      <c r="S20" s="769">
        <f>F20</f>
        <v>100</v>
      </c>
      <c r="T20" s="768" t="s">
        <v>17</v>
      </c>
      <c r="U20" s="769">
        <f>H20</f>
        <v>100</v>
      </c>
      <c r="V20" s="768" t="s">
        <v>17</v>
      </c>
      <c r="W20" s="769">
        <f>J20</f>
        <v>100</v>
      </c>
      <c r="X20" s="1808"/>
      <c r="Y20" s="3306"/>
      <c r="Z20" s="1809" t="str">
        <f>Q20</f>
        <v>自然及人文环境</v>
      </c>
      <c r="AA20" s="1806">
        <f t="shared" si="3"/>
        <v>1</v>
      </c>
      <c r="AB20" s="1806">
        <f t="shared" si="4"/>
        <v>1</v>
      </c>
      <c r="AC20" s="1806">
        <f t="shared" si="5"/>
        <v>1</v>
      </c>
    </row>
    <row r="21" spans="1:29" ht="15">
      <c r="A21" s="427"/>
      <c r="B21" s="455"/>
      <c r="C21" s="446"/>
      <c r="D21" s="447"/>
      <c r="E21" s="446"/>
      <c r="F21" s="448"/>
      <c r="G21" s="446"/>
      <c r="H21" s="447"/>
      <c r="I21" s="446"/>
      <c r="J21" s="447"/>
      <c r="K21" s="614"/>
      <c r="L21" s="1137"/>
      <c r="M21" s="1128"/>
      <c r="N21" s="1128"/>
      <c r="O21" s="1136"/>
      <c r="P21" s="3306"/>
      <c r="Q21" s="1805"/>
      <c r="R21" s="768"/>
      <c r="S21" s="769"/>
      <c r="T21" s="768"/>
      <c r="U21" s="769"/>
      <c r="V21" s="768"/>
      <c r="W21" s="769"/>
      <c r="X21" s="1808"/>
      <c r="Y21" s="3306"/>
      <c r="Z21" s="1809"/>
      <c r="AA21" s="1806">
        <v>1</v>
      </c>
      <c r="AB21" s="1806">
        <v>1</v>
      </c>
      <c r="AC21" s="1806">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306"/>
      <c r="Q22" s="1805" t="str">
        <f>B22</f>
        <v>楼层</v>
      </c>
      <c r="R22" s="768" t="s">
        <v>17</v>
      </c>
      <c r="S22" s="769">
        <f>F22</f>
        <v>100</v>
      </c>
      <c r="T22" s="768" t="s">
        <v>17</v>
      </c>
      <c r="U22" s="769">
        <f>H22</f>
        <v>100</v>
      </c>
      <c r="V22" s="768" t="s">
        <v>17</v>
      </c>
      <c r="W22" s="769">
        <f>J22</f>
        <v>100</v>
      </c>
      <c r="X22" s="1808"/>
      <c r="Y22" s="3306"/>
      <c r="Z22" s="1809" t="str">
        <f>Q22</f>
        <v>楼层</v>
      </c>
      <c r="AA22" s="1806">
        <f t="shared" si="3"/>
        <v>1</v>
      </c>
      <c r="AB22" s="1806">
        <f t="shared" si="4"/>
        <v>1</v>
      </c>
      <c r="AC22" s="1806">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306"/>
      <c r="Q23" s="1805">
        <f>B23</f>
        <v>111</v>
      </c>
      <c r="R23" s="768" t="s">
        <v>17</v>
      </c>
      <c r="S23" s="769">
        <f>F23</f>
        <v>100</v>
      </c>
      <c r="T23" s="768" t="s">
        <v>17</v>
      </c>
      <c r="U23" s="769">
        <f>H23</f>
        <v>100</v>
      </c>
      <c r="V23" s="768" t="s">
        <v>17</v>
      </c>
      <c r="W23" s="769">
        <f>J23</f>
        <v>100</v>
      </c>
      <c r="X23" s="1808"/>
      <c r="Y23" s="3306"/>
      <c r="Z23" s="1809">
        <f>Q23</f>
        <v>111</v>
      </c>
      <c r="AA23" s="1806">
        <f t="shared" si="3"/>
        <v>1</v>
      </c>
      <c r="AB23" s="1806">
        <f t="shared" si="4"/>
        <v>1</v>
      </c>
      <c r="AC23" s="1806">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306"/>
      <c r="Q24" s="1805">
        <f t="shared" ref="Q24:Q34" si="11">B24</f>
        <v>111</v>
      </c>
      <c r="R24" s="768" t="s">
        <v>17</v>
      </c>
      <c r="S24" s="769">
        <f>F24</f>
        <v>100</v>
      </c>
      <c r="T24" s="768" t="s">
        <v>17</v>
      </c>
      <c r="U24" s="769">
        <f>H24</f>
        <v>100</v>
      </c>
      <c r="V24" s="768" t="s">
        <v>17</v>
      </c>
      <c r="W24" s="769">
        <f>J24</f>
        <v>100</v>
      </c>
      <c r="X24" s="1808"/>
      <c r="Y24" s="3306"/>
      <c r="Z24" s="1809">
        <f>Q24</f>
        <v>111</v>
      </c>
      <c r="AA24" s="1806">
        <f t="shared" si="3"/>
        <v>1</v>
      </c>
      <c r="AB24" s="1806">
        <f t="shared" si="4"/>
        <v>1</v>
      </c>
      <c r="AC24" s="1806">
        <f t="shared" si="5"/>
        <v>1</v>
      </c>
    </row>
    <row r="25" spans="1:29" s="116" customFormat="1" ht="15.75" thickBot="1">
      <c r="A25" s="430"/>
      <c r="B25" s="2593">
        <v>111</v>
      </c>
      <c r="C25" s="2691"/>
      <c r="D25" s="663">
        <v>100</v>
      </c>
      <c r="E25" s="2691"/>
      <c r="F25" s="664">
        <f>SUMIF(75:75,E25,76:76)-SUMIF(75:75,C25,76:76)+100</f>
        <v>100</v>
      </c>
      <c r="G25" s="2691"/>
      <c r="H25" s="663">
        <f>SUMIF(75:75,G25,76:76)-SUMIF(75:75,C25,76:76)+100</f>
        <v>100</v>
      </c>
      <c r="I25" s="2691"/>
      <c r="J25" s="663">
        <f>SUMIF(75:75,I25,76:76)-SUMIF(75:75,C25,76:76)+100</f>
        <v>100</v>
      </c>
      <c r="K25" s="612"/>
      <c r="L25" s="1129"/>
      <c r="M25" s="1130"/>
      <c r="N25" s="1130"/>
      <c r="O25" s="1131"/>
      <c r="P25" s="3306"/>
      <c r="Q25" s="1790">
        <f t="shared" si="11"/>
        <v>111</v>
      </c>
      <c r="R25" s="764" t="s">
        <v>17</v>
      </c>
      <c r="S25" s="765">
        <f>F25</f>
        <v>100</v>
      </c>
      <c r="T25" s="764" t="s">
        <v>17</v>
      </c>
      <c r="U25" s="765">
        <f>H25</f>
        <v>100</v>
      </c>
      <c r="V25" s="764" t="s">
        <v>17</v>
      </c>
      <c r="W25" s="765">
        <f>J25</f>
        <v>100</v>
      </c>
      <c r="X25" s="766"/>
      <c r="Y25" s="3306"/>
      <c r="Z25" s="54">
        <f>Q25</f>
        <v>111</v>
      </c>
      <c r="AA25" s="1806">
        <f>D25/F25</f>
        <v>1</v>
      </c>
      <c r="AB25" s="1806">
        <f>D25/H25</f>
        <v>1</v>
      </c>
      <c r="AC25" s="1806">
        <f>D25/J25</f>
        <v>1</v>
      </c>
    </row>
    <row r="26" spans="1:29" ht="15">
      <c r="A26" s="465" t="s">
        <v>2561</v>
      </c>
      <c r="B26" s="70" t="s">
        <v>2712</v>
      </c>
      <c r="C26" s="2672"/>
      <c r="D26" s="466">
        <v>100</v>
      </c>
      <c r="E26" s="2672"/>
      <c r="F26" s="665">
        <f>SUMIF(77:77,E26,78:78)-SUMIF(77:77,C26,78:78)+100</f>
        <v>100</v>
      </c>
      <c r="G26" s="2672"/>
      <c r="H26" s="466">
        <f>SUMIF(77:77,G26,78:78)-SUMIF(77:77,C26,78:78)+100</f>
        <v>100</v>
      </c>
      <c r="I26" s="2672"/>
      <c r="J26" s="466">
        <f>SUMIF(77:77,I26,78:78)-SUMIF(77:77,C26,78:78)+100</f>
        <v>100</v>
      </c>
      <c r="K26" s="611"/>
      <c r="L26" s="1137"/>
      <c r="M26" s="1128"/>
      <c r="N26" s="1128"/>
      <c r="O26" s="1136"/>
      <c r="P26" s="3366" t="s">
        <v>2563</v>
      </c>
      <c r="Q26" s="1805" t="str">
        <f t="shared" si="11"/>
        <v>公共部分装修</v>
      </c>
      <c r="R26" s="768" t="s">
        <v>17</v>
      </c>
      <c r="S26" s="769">
        <f t="shared" ref="S26:S34" si="12">F26</f>
        <v>100</v>
      </c>
      <c r="T26" s="768" t="s">
        <v>17</v>
      </c>
      <c r="U26" s="769">
        <f t="shared" ref="U26:U34" si="13">H26</f>
        <v>100</v>
      </c>
      <c r="V26" s="768" t="s">
        <v>17</v>
      </c>
      <c r="W26" s="769">
        <f t="shared" ref="W26:W34" si="14">J26</f>
        <v>100</v>
      </c>
      <c r="X26" s="1808"/>
      <c r="Y26" s="3310" t="s">
        <v>2563</v>
      </c>
      <c r="Z26" s="1809" t="str">
        <f t="shared" ref="Z26:Z34" si="15">Q26</f>
        <v>公共部分装修</v>
      </c>
      <c r="AA26" s="1806">
        <f t="shared" si="3"/>
        <v>1</v>
      </c>
      <c r="AB26" s="1806">
        <f t="shared" si="4"/>
        <v>1</v>
      </c>
      <c r="AC26" s="1806">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310"/>
      <c r="Q27" s="770" t="str">
        <f t="shared" si="11"/>
        <v>成新率</v>
      </c>
      <c r="R27" s="771" t="s">
        <v>17</v>
      </c>
      <c r="S27" s="772" t="e">
        <f t="shared" si="12"/>
        <v>#N/A</v>
      </c>
      <c r="T27" s="771" t="s">
        <v>17</v>
      </c>
      <c r="U27" s="772" t="e">
        <f t="shared" si="13"/>
        <v>#N/A</v>
      </c>
      <c r="V27" s="771" t="s">
        <v>17</v>
      </c>
      <c r="W27" s="772" t="e">
        <f t="shared" si="14"/>
        <v>#N/A</v>
      </c>
      <c r="X27" s="773"/>
      <c r="Y27" s="3310"/>
      <c r="Z27" s="774" t="str">
        <f t="shared" si="15"/>
        <v>成新率</v>
      </c>
      <c r="AA27" s="1806" t="e">
        <f t="shared" si="3"/>
        <v>#N/A</v>
      </c>
      <c r="AB27" s="1806" t="e">
        <f t="shared" si="4"/>
        <v>#N/A</v>
      </c>
      <c r="AC27" s="1806"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310"/>
      <c r="Q28" s="1805" t="str">
        <f t="shared" si="11"/>
        <v>物业等级</v>
      </c>
      <c r="R28" s="768" t="s">
        <v>17</v>
      </c>
      <c r="S28" s="769">
        <f t="shared" si="12"/>
        <v>100</v>
      </c>
      <c r="T28" s="768" t="s">
        <v>17</v>
      </c>
      <c r="U28" s="769">
        <f t="shared" si="13"/>
        <v>100</v>
      </c>
      <c r="V28" s="768" t="s">
        <v>17</v>
      </c>
      <c r="W28" s="769">
        <f t="shared" si="14"/>
        <v>100</v>
      </c>
      <c r="X28" s="1808"/>
      <c r="Y28" s="3310"/>
      <c r="Z28" s="1809" t="str">
        <f t="shared" si="15"/>
        <v>物业等级</v>
      </c>
      <c r="AA28" s="1806">
        <f t="shared" si="3"/>
        <v>1</v>
      </c>
      <c r="AB28" s="1806">
        <f t="shared" si="4"/>
        <v>1</v>
      </c>
      <c r="AC28" s="1806">
        <f t="shared" si="5"/>
        <v>1</v>
      </c>
    </row>
    <row r="29" spans="1:29" ht="15">
      <c r="A29" s="471"/>
      <c r="B29" s="421" t="s">
        <v>2735</v>
      </c>
      <c r="C29" s="655"/>
      <c r="D29" s="434">
        <v>100</v>
      </c>
      <c r="E29" s="655"/>
      <c r="F29" s="460">
        <f>SUMIF(84:84,E29,85:85)-SUMIF(84:84,C29,85:85)+100</f>
        <v>100</v>
      </c>
      <c r="G29" s="655"/>
      <c r="H29" s="434">
        <f>SUMIF(84:84,G29,85:85)-SUMIF(84:84,C29,85:85)+100</f>
        <v>100</v>
      </c>
      <c r="I29" s="655"/>
      <c r="J29" s="434">
        <f>SUMIF(84:84,I29,85:85)-SUMIF(84:84,C29,85:85)+100</f>
        <v>100</v>
      </c>
      <c r="K29" s="611"/>
      <c r="L29" s="1137"/>
      <c r="M29" s="1128"/>
      <c r="N29" s="1128"/>
      <c r="O29" s="1136"/>
      <c r="P29" s="3310"/>
      <c r="Q29" s="1805" t="str">
        <f t="shared" si="11"/>
        <v>有无电梯</v>
      </c>
      <c r="R29" s="768" t="s">
        <v>17</v>
      </c>
      <c r="S29" s="769">
        <f t="shared" si="12"/>
        <v>100</v>
      </c>
      <c r="T29" s="768" t="s">
        <v>17</v>
      </c>
      <c r="U29" s="769">
        <f t="shared" si="13"/>
        <v>100</v>
      </c>
      <c r="V29" s="768" t="s">
        <v>17</v>
      </c>
      <c r="W29" s="769">
        <f t="shared" si="14"/>
        <v>100</v>
      </c>
      <c r="X29" s="1808"/>
      <c r="Y29" s="3310"/>
      <c r="Z29" s="1809" t="str">
        <f t="shared" si="15"/>
        <v>有无电梯</v>
      </c>
      <c r="AA29" s="1806">
        <f t="shared" si="3"/>
        <v>1</v>
      </c>
      <c r="AB29" s="1806">
        <f t="shared" si="4"/>
        <v>1</v>
      </c>
      <c r="AC29" s="1806">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310"/>
      <c r="Q30" s="1805" t="str">
        <f t="shared" si="11"/>
        <v>建筑面积</v>
      </c>
      <c r="R30" s="768" t="s">
        <v>17</v>
      </c>
      <c r="S30" s="769" t="e">
        <f t="shared" si="12"/>
        <v>#N/A</v>
      </c>
      <c r="T30" s="768" t="s">
        <v>17</v>
      </c>
      <c r="U30" s="769" t="e">
        <f t="shared" si="13"/>
        <v>#N/A</v>
      </c>
      <c r="V30" s="768" t="s">
        <v>17</v>
      </c>
      <c r="W30" s="769" t="e">
        <f t="shared" si="14"/>
        <v>#N/A</v>
      </c>
      <c r="X30" s="1808"/>
      <c r="Y30" s="3310"/>
      <c r="Z30" s="1809" t="str">
        <f t="shared" si="15"/>
        <v>建筑面积</v>
      </c>
      <c r="AA30" s="1806" t="e">
        <f t="shared" si="3"/>
        <v>#N/A</v>
      </c>
      <c r="AB30" s="1806" t="e">
        <f t="shared" si="4"/>
        <v>#N/A</v>
      </c>
      <c r="AC30" s="1806" t="e">
        <f t="shared" si="5"/>
        <v>#N/A</v>
      </c>
    </row>
    <row r="31" spans="1:29" s="116" customFormat="1" ht="15">
      <c r="A31" s="472"/>
      <c r="B31" s="421" t="s">
        <v>2737</v>
      </c>
      <c r="C31" s="655"/>
      <c r="D31" s="135">
        <v>100</v>
      </c>
      <c r="E31" s="655"/>
      <c r="F31" s="460">
        <f>SUMIF(89:89,E31,90:90)-SUMIF(89:89,C31,90:90)+100</f>
        <v>100</v>
      </c>
      <c r="G31" s="655"/>
      <c r="H31" s="434">
        <f>SUMIF(89:89,G31,90:90)-SUMIF(89:89,C31,90:90)+100</f>
        <v>100</v>
      </c>
      <c r="I31" s="655"/>
      <c r="J31" s="434">
        <f>SUMIF(89:89,I31,90:90)-SUMIF(89:89,C31,90:90)+100</f>
        <v>100</v>
      </c>
      <c r="K31" s="611"/>
      <c r="L31" s="1129"/>
      <c r="M31" s="1130"/>
      <c r="N31" s="1130"/>
      <c r="O31" s="1131"/>
      <c r="P31" s="3310"/>
      <c r="Q31" s="1790" t="str">
        <f t="shared" si="11"/>
        <v>是否封闭</v>
      </c>
      <c r="R31" s="764" t="s">
        <v>17</v>
      </c>
      <c r="S31" s="765">
        <f t="shared" si="12"/>
        <v>100</v>
      </c>
      <c r="T31" s="764" t="s">
        <v>17</v>
      </c>
      <c r="U31" s="765">
        <f t="shared" si="13"/>
        <v>100</v>
      </c>
      <c r="V31" s="764" t="s">
        <v>17</v>
      </c>
      <c r="W31" s="765">
        <f t="shared" si="14"/>
        <v>100</v>
      </c>
      <c r="X31" s="766"/>
      <c r="Y31" s="3310"/>
      <c r="Z31" s="54" t="str">
        <f t="shared" si="15"/>
        <v>是否封闭</v>
      </c>
      <c r="AA31" s="767">
        <f t="shared" si="3"/>
        <v>1</v>
      </c>
      <c r="AB31" s="767">
        <f t="shared" si="4"/>
        <v>1</v>
      </c>
      <c r="AC31" s="767">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310" t="s">
        <v>2563</v>
      </c>
      <c r="Q32" s="1805">
        <f t="shared" si="11"/>
        <v>111</v>
      </c>
      <c r="R32" s="768" t="s">
        <v>17</v>
      </c>
      <c r="S32" s="769">
        <f t="shared" si="12"/>
        <v>100</v>
      </c>
      <c r="T32" s="768" t="s">
        <v>17</v>
      </c>
      <c r="U32" s="769">
        <f t="shared" si="13"/>
        <v>100</v>
      </c>
      <c r="V32" s="768" t="s">
        <v>17</v>
      </c>
      <c r="W32" s="769">
        <f t="shared" si="14"/>
        <v>100</v>
      </c>
      <c r="X32" s="1808"/>
      <c r="Y32" s="3310" t="s">
        <v>2563</v>
      </c>
      <c r="Z32" s="1809">
        <f t="shared" si="15"/>
        <v>111</v>
      </c>
      <c r="AA32" s="1806">
        <f t="shared" si="3"/>
        <v>1</v>
      </c>
      <c r="AB32" s="1806">
        <f t="shared" si="4"/>
        <v>1</v>
      </c>
      <c r="AC32" s="1806">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310"/>
      <c r="Q33" s="1805">
        <f t="shared" si="11"/>
        <v>111</v>
      </c>
      <c r="R33" s="768" t="s">
        <v>17</v>
      </c>
      <c r="S33" s="769">
        <f t="shared" si="12"/>
        <v>100</v>
      </c>
      <c r="T33" s="768" t="s">
        <v>17</v>
      </c>
      <c r="U33" s="769">
        <f t="shared" si="13"/>
        <v>100</v>
      </c>
      <c r="V33" s="768" t="s">
        <v>17</v>
      </c>
      <c r="W33" s="769">
        <f t="shared" si="14"/>
        <v>100</v>
      </c>
      <c r="X33" s="1808"/>
      <c r="Y33" s="3310"/>
      <c r="Z33" s="1809">
        <f t="shared" si="15"/>
        <v>111</v>
      </c>
      <c r="AA33" s="1806">
        <f t="shared" si="3"/>
        <v>1</v>
      </c>
      <c r="AB33" s="1806">
        <f t="shared" si="4"/>
        <v>1</v>
      </c>
      <c r="AC33" s="1806">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310"/>
      <c r="Q34" s="1805">
        <f t="shared" si="11"/>
        <v>111</v>
      </c>
      <c r="R34" s="768" t="s">
        <v>17</v>
      </c>
      <c r="S34" s="769">
        <f t="shared" si="12"/>
        <v>100</v>
      </c>
      <c r="T34" s="768" t="s">
        <v>17</v>
      </c>
      <c r="U34" s="769">
        <f t="shared" si="13"/>
        <v>100</v>
      </c>
      <c r="V34" s="768" t="s">
        <v>17</v>
      </c>
      <c r="W34" s="769">
        <f t="shared" si="14"/>
        <v>100</v>
      </c>
      <c r="X34" s="1808"/>
      <c r="Y34" s="3310"/>
      <c r="Z34" s="1809">
        <f t="shared" si="15"/>
        <v>111</v>
      </c>
      <c r="AA34" s="1806">
        <f t="shared" si="3"/>
        <v>1</v>
      </c>
      <c r="AB34" s="1806">
        <f t="shared" si="4"/>
        <v>1</v>
      </c>
      <c r="AC34" s="1806">
        <f t="shared" si="5"/>
        <v>1</v>
      </c>
    </row>
    <row r="35" spans="1:29" ht="15">
      <c r="A35" s="478" t="s">
        <v>2575</v>
      </c>
      <c r="B35" s="479"/>
      <c r="C35" s="1402" t="s">
        <v>1</v>
      </c>
      <c r="D35" s="1403"/>
      <c r="E35" s="1404"/>
      <c r="F35" s="1405"/>
      <c r="G35" s="1406"/>
      <c r="H35" s="1407"/>
      <c r="I35" s="1404"/>
      <c r="J35" s="1407"/>
      <c r="K35" s="777"/>
      <c r="L35" s="1140"/>
      <c r="M35" s="1141"/>
      <c r="N35" s="1128"/>
      <c r="O35" s="1141"/>
      <c r="P35" s="3312" t="str">
        <f>A35</f>
        <v>成交单价（元/平方米）</v>
      </c>
      <c r="Q35" s="3312"/>
      <c r="R35" s="3313">
        <f>E35</f>
        <v>0</v>
      </c>
      <c r="S35" s="3313"/>
      <c r="T35" s="3313">
        <f>G35</f>
        <v>0</v>
      </c>
      <c r="U35" s="3313"/>
      <c r="V35" s="3313">
        <f>I35</f>
        <v>0</v>
      </c>
      <c r="W35" s="3313"/>
      <c r="X35" s="753"/>
      <c r="Y35" s="775"/>
      <c r="Z35" s="753"/>
      <c r="AA35" s="753"/>
      <c r="AB35" s="753"/>
      <c r="AC35" s="753"/>
    </row>
    <row r="36" spans="1:29" ht="15.75" thickBot="1">
      <c r="A36" s="485" t="s">
        <v>2667</v>
      </c>
      <c r="B36" s="486"/>
      <c r="C36" s="1408" t="e">
        <f>R37</f>
        <v>#DIV/0!</v>
      </c>
      <c r="D36" s="1409"/>
      <c r="E36" s="1410" t="e">
        <f>R36</f>
        <v>#DIV/0!</v>
      </c>
      <c r="F36" s="1410"/>
      <c r="G36" s="1408" t="e">
        <f>T36</f>
        <v>#DIV/0!</v>
      </c>
      <c r="H36" s="1409"/>
      <c r="I36" s="1410" t="e">
        <f>V36</f>
        <v>#DIV/0!</v>
      </c>
      <c r="J36" s="1409"/>
      <c r="K36" s="778"/>
      <c r="L36" s="1140"/>
      <c r="M36" s="1141"/>
      <c r="N36" s="1128"/>
      <c r="O36" s="1141"/>
      <c r="P36" s="3312" t="str">
        <f>A36</f>
        <v>比较价值（元/平方米）</v>
      </c>
      <c r="Q36" s="3312"/>
      <c r="R36" s="3313" t="e">
        <f>IF(F1="售价",ROUND(PRODUCT(R35,AA7:AA34),0),ROUND(PRODUCT(R35,AA7:AA34),1))</f>
        <v>#DIV/0!</v>
      </c>
      <c r="S36" s="3313"/>
      <c r="T36" s="3313" t="e">
        <f>IF(F1="售价",ROUND(PRODUCT(T35,AB7:AB34),0),ROUND(PRODUCT(T35,AB7:AB34),1))</f>
        <v>#DIV/0!</v>
      </c>
      <c r="U36" s="3313"/>
      <c r="V36" s="3313" t="e">
        <f>IF(F1="售价",ROUND(PRODUCT(V35,AC7:AC34),0),ROUND(PRODUCT(V35,AC7:AC34),1))</f>
        <v>#DIV/0!</v>
      </c>
      <c r="W36" s="3313"/>
      <c r="X36" s="753"/>
      <c r="Y36" s="753"/>
      <c r="Z36" s="753"/>
      <c r="AA36" s="753"/>
      <c r="AB36" s="753"/>
      <c r="AC36" s="753"/>
    </row>
    <row r="37" spans="1:29" ht="15.75" thickBot="1">
      <c r="A37" s="491" t="s">
        <v>2668</v>
      </c>
      <c r="B37" s="492"/>
      <c r="C37" s="1412" t="e">
        <f>R37</f>
        <v>#DIV/0!</v>
      </c>
      <c r="D37" s="1412"/>
      <c r="E37" s="1412"/>
      <c r="F37" s="1412"/>
      <c r="G37" s="1412"/>
      <c r="H37" s="1412"/>
      <c r="I37" s="1412"/>
      <c r="J37" s="1412"/>
      <c r="K37" s="779"/>
      <c r="L37" s="1140"/>
      <c r="M37" s="1141"/>
      <c r="N37" s="1141"/>
      <c r="O37" s="1141"/>
      <c r="P37" s="3314" t="str">
        <f>A37</f>
        <v>估价对象XX用房的比较价值（楼面单价，元/平方米）</v>
      </c>
      <c r="Q37" s="3315"/>
      <c r="R37" s="3316" t="e">
        <f>IF(F1="售价",ROUND(AVERAGE(R36:V36),0),ROUND(AVERAGE(R36:V36),1))</f>
        <v>#DIV/0!</v>
      </c>
      <c r="S37" s="3316"/>
      <c r="T37" s="3316"/>
      <c r="U37" s="3316"/>
      <c r="V37" s="3316"/>
      <c r="W37" s="3316"/>
      <c r="X37" s="753"/>
      <c r="Y37" s="753"/>
      <c r="Z37" s="753"/>
      <c r="AA37" s="753"/>
      <c r="AB37" s="753"/>
      <c r="AC37" s="753"/>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57" t="s">
        <v>2672</v>
      </c>
      <c r="B45" s="753"/>
      <c r="C45" s="758"/>
      <c r="D45" s="758"/>
      <c r="E45" s="758"/>
      <c r="F45" s="759"/>
      <c r="G45" s="759"/>
      <c r="H45" s="758"/>
      <c r="I45" s="758"/>
      <c r="J45" s="758"/>
      <c r="K45" s="760"/>
      <c r="L45" s="761"/>
      <c r="M45" s="758"/>
      <c r="N45" s="758"/>
      <c r="O45" s="758"/>
      <c r="P45" s="502"/>
      <c r="Q45" s="503"/>
    </row>
    <row r="46" spans="1:29" s="507" customFormat="1" ht="15">
      <c r="A46" s="504" t="s">
        <v>2546</v>
      </c>
      <c r="B46" s="505"/>
      <c r="C46" s="1569" t="str">
        <f>YEAR(C7)&amp;"-"&amp;MONTH(C7)</f>
        <v>2018-4</v>
      </c>
      <c r="D46" s="1570">
        <f>EDATE(C46,-1)</f>
        <v>43160</v>
      </c>
      <c r="E46" s="1570">
        <f t="shared" ref="E46:O46" si="16">EDATE(D46,-1)</f>
        <v>43132</v>
      </c>
      <c r="F46" s="1570">
        <f t="shared" si="16"/>
        <v>43101</v>
      </c>
      <c r="G46" s="1570">
        <f t="shared" si="16"/>
        <v>43070</v>
      </c>
      <c r="H46" s="1570">
        <f t="shared" si="16"/>
        <v>43040</v>
      </c>
      <c r="I46" s="1570">
        <f t="shared" si="16"/>
        <v>43009</v>
      </c>
      <c r="J46" s="1570">
        <f t="shared" si="16"/>
        <v>42979</v>
      </c>
      <c r="K46" s="1570">
        <f t="shared" si="16"/>
        <v>42948</v>
      </c>
      <c r="L46" s="1570">
        <f t="shared" si="16"/>
        <v>42917</v>
      </c>
      <c r="M46" s="1570">
        <f t="shared" si="16"/>
        <v>42887</v>
      </c>
      <c r="N46" s="1570">
        <f t="shared" si="16"/>
        <v>42856</v>
      </c>
      <c r="O46" s="1570">
        <f t="shared" si="16"/>
        <v>42826</v>
      </c>
      <c r="P46" s="506"/>
    </row>
    <row r="47" spans="1:29" s="116" customFormat="1" ht="15">
      <c r="A47" s="508"/>
      <c r="B47" s="509"/>
      <c r="C47" s="1568">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48"/>
      <c r="O49" s="1148"/>
      <c r="P49" s="525"/>
      <c r="Q49" s="503"/>
    </row>
    <row r="50" spans="1:17" s="116" customFormat="1" ht="15.75" thickBot="1">
      <c r="A50" s="520"/>
      <c r="B50" s="509"/>
      <c r="C50" s="637">
        <v>100</v>
      </c>
      <c r="D50" s="511"/>
      <c r="E50" s="511"/>
      <c r="F50" s="511"/>
      <c r="G50" s="511"/>
      <c r="H50" s="511"/>
      <c r="I50" s="511"/>
      <c r="J50" s="511"/>
      <c r="K50" s="511"/>
      <c r="L50" s="511"/>
      <c r="M50" s="513"/>
      <c r="N50" s="1148"/>
      <c r="O50" s="1148"/>
      <c r="P50" s="503"/>
      <c r="Q50" s="503"/>
    </row>
    <row r="51" spans="1:17">
      <c r="A51" s="526" t="s">
        <v>2586</v>
      </c>
      <c r="B51" s="527" t="s">
        <v>2552</v>
      </c>
      <c r="C51" s="528">
        <f>C9</f>
        <v>0</v>
      </c>
      <c r="D51" s="529"/>
      <c r="E51" s="529"/>
      <c r="F51" s="529"/>
      <c r="G51" s="529"/>
      <c r="H51" s="529"/>
      <c r="I51" s="529"/>
      <c r="J51" s="529"/>
      <c r="K51" s="530"/>
      <c r="L51" s="531"/>
      <c r="M51" s="532"/>
      <c r="N51" s="1149"/>
      <c r="O51" s="1149"/>
      <c r="P51" s="44"/>
      <c r="Q51" s="503"/>
    </row>
    <row r="52" spans="1:17" ht="15.75" thickBot="1">
      <c r="A52" s="533"/>
      <c r="B52" s="534"/>
      <c r="C52" s="535">
        <v>100</v>
      </c>
      <c r="D52" s="535"/>
      <c r="E52" s="535"/>
      <c r="F52" s="535"/>
      <c r="G52" s="535"/>
      <c r="H52" s="535"/>
      <c r="I52" s="535"/>
      <c r="J52" s="535"/>
      <c r="K52" s="535"/>
      <c r="L52" s="535"/>
      <c r="M52" s="536"/>
      <c r="N52" s="1150"/>
      <c r="O52" s="1150"/>
      <c r="P52" s="44"/>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49"/>
      <c r="O53" s="1149"/>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4"/>
      <c r="Q54" s="503"/>
    </row>
    <row r="55" spans="1:17" ht="15.75" thickTop="1">
      <c r="A55" s="533"/>
      <c r="B55" s="658">
        <f>B11</f>
        <v>111</v>
      </c>
      <c r="C55" s="548"/>
      <c r="D55" s="548"/>
      <c r="E55" s="548"/>
      <c r="F55" s="548"/>
      <c r="G55" s="548"/>
      <c r="H55" s="548"/>
      <c r="I55" s="548"/>
      <c r="J55" s="548"/>
      <c r="K55" s="549"/>
      <c r="L55" s="550"/>
      <c r="M55" s="551"/>
      <c r="N55" s="1149"/>
      <c r="O55" s="1149"/>
      <c r="P55" s="44"/>
      <c r="Q55" s="503"/>
    </row>
    <row r="56" spans="1:17" ht="15.75" thickBot="1">
      <c r="A56" s="533"/>
      <c r="B56" s="534"/>
      <c r="C56" s="559"/>
      <c r="D56" s="535"/>
      <c r="E56" s="535"/>
      <c r="F56" s="535"/>
      <c r="G56" s="535"/>
      <c r="H56" s="535"/>
      <c r="I56" s="535"/>
      <c r="J56" s="535"/>
      <c r="K56" s="535"/>
      <c r="L56" s="535"/>
      <c r="M56" s="536"/>
      <c r="N56" s="1150"/>
      <c r="O56" s="1150"/>
      <c r="P56" s="44"/>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4"/>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49"/>
      <c r="O63" s="1149"/>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4"/>
      <c r="Q64" s="503"/>
    </row>
    <row r="65" spans="1:17" ht="15.75" thickTop="1">
      <c r="A65" s="533"/>
      <c r="B65" s="545" t="s">
        <v>2687</v>
      </c>
      <c r="C65" s="658" t="s">
        <v>2673</v>
      </c>
      <c r="D65" s="658" t="s">
        <v>2674</v>
      </c>
      <c r="E65" s="658" t="s">
        <v>2675</v>
      </c>
      <c r="F65" s="658" t="s">
        <v>2676</v>
      </c>
      <c r="G65" s="658" t="s">
        <v>2677</v>
      </c>
      <c r="H65" s="538"/>
      <c r="I65" s="538"/>
      <c r="J65" s="538"/>
      <c r="K65" s="538"/>
      <c r="L65" s="538"/>
      <c r="M65" s="1377"/>
      <c r="N65" s="1150"/>
      <c r="O65" s="1150"/>
      <c r="P65" s="44"/>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0"/>
      <c r="O66" s="1150"/>
      <c r="P66" s="44"/>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49"/>
      <c r="O67" s="1149"/>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4"/>
      <c r="Q68" s="503"/>
    </row>
    <row r="69" spans="1:17" ht="15.75" thickTop="1">
      <c r="A69" s="533"/>
      <c r="B69" s="537" t="s">
        <v>2727</v>
      </c>
      <c r="C69" s="553"/>
      <c r="D69" s="553"/>
      <c r="E69" s="553"/>
      <c r="F69" s="553"/>
      <c r="G69" s="553"/>
      <c r="H69" s="582"/>
      <c r="I69" s="582"/>
      <c r="J69" s="582"/>
      <c r="K69" s="583"/>
      <c r="L69" s="584"/>
      <c r="M69" s="585"/>
      <c r="N69" s="1149"/>
      <c r="O69" s="1149"/>
      <c r="P69" s="44"/>
      <c r="Q69" s="503"/>
    </row>
    <row r="70" spans="1:17" ht="15.75" thickBot="1">
      <c r="A70" s="533"/>
      <c r="B70" s="542"/>
      <c r="C70" s="543">
        <v>100</v>
      </c>
      <c r="D70" s="543">
        <f>C70-$K22</f>
        <v>100</v>
      </c>
      <c r="E70" s="543"/>
      <c r="F70" s="543"/>
      <c r="G70" s="543"/>
      <c r="H70" s="543"/>
      <c r="I70" s="543"/>
      <c r="J70" s="543"/>
      <c r="K70" s="543"/>
      <c r="L70" s="543"/>
      <c r="M70" s="544"/>
      <c r="N70" s="1150"/>
      <c r="O70" s="1150"/>
      <c r="P70" s="44"/>
      <c r="Q70" s="503"/>
    </row>
    <row r="71" spans="1:17" s="116" customFormat="1" ht="15.75" thickTop="1">
      <c r="A71" s="578"/>
      <c r="B71" s="537">
        <f>B23</f>
        <v>111</v>
      </c>
      <c r="C71" s="548"/>
      <c r="D71" s="548"/>
      <c r="E71" s="548"/>
      <c r="F71" s="548"/>
      <c r="G71" s="553"/>
      <c r="H71" s="553"/>
      <c r="I71" s="553"/>
      <c r="J71" s="553"/>
      <c r="K71" s="553"/>
      <c r="L71" s="579"/>
      <c r="M71" s="580"/>
      <c r="N71" s="1148"/>
      <c r="O71" s="1148"/>
      <c r="P71" s="44"/>
      <c r="Q71" s="503"/>
    </row>
    <row r="72" spans="1:17" s="116" customFormat="1" ht="15.75" thickBot="1">
      <c r="A72" s="578"/>
      <c r="B72" s="542"/>
      <c r="C72" s="559"/>
      <c r="D72" s="535"/>
      <c r="E72" s="535"/>
      <c r="F72" s="535"/>
      <c r="G72" s="535"/>
      <c r="H72" s="535"/>
      <c r="I72" s="535"/>
      <c r="J72" s="535"/>
      <c r="K72" s="535"/>
      <c r="L72" s="535"/>
      <c r="M72" s="536"/>
      <c r="N72" s="1150"/>
      <c r="O72" s="1150"/>
      <c r="P72" s="44"/>
      <c r="Q72" s="503"/>
    </row>
    <row r="73" spans="1:17" s="116" customFormat="1" ht="15.75" thickTop="1">
      <c r="A73" s="578"/>
      <c r="B73" s="537">
        <f>B24</f>
        <v>111</v>
      </c>
      <c r="C73" s="548"/>
      <c r="D73" s="548"/>
      <c r="E73" s="548"/>
      <c r="F73" s="548"/>
      <c r="G73" s="553"/>
      <c r="H73" s="553"/>
      <c r="I73" s="553"/>
      <c r="J73" s="553"/>
      <c r="K73" s="553"/>
      <c r="L73" s="553"/>
      <c r="M73" s="580"/>
      <c r="N73" s="1148"/>
      <c r="O73" s="1148"/>
      <c r="P73" s="44"/>
      <c r="Q73" s="503"/>
    </row>
    <row r="74" spans="1:17" s="116" customFormat="1" ht="15.75" thickBot="1">
      <c r="A74" s="578"/>
      <c r="B74" s="542"/>
      <c r="C74" s="559"/>
      <c r="D74" s="535"/>
      <c r="E74" s="535"/>
      <c r="F74" s="535"/>
      <c r="G74" s="535"/>
      <c r="H74" s="535"/>
      <c r="I74" s="535"/>
      <c r="J74" s="535"/>
      <c r="K74" s="535"/>
      <c r="L74" s="535"/>
      <c r="M74" s="536"/>
      <c r="N74" s="1150"/>
      <c r="O74" s="1150"/>
      <c r="P74" s="44"/>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2561</v>
      </c>
      <c r="B77" s="527" t="s">
        <v>2614</v>
      </c>
      <c r="C77" s="553"/>
      <c r="D77" s="553"/>
      <c r="E77" s="529"/>
      <c r="F77" s="529"/>
      <c r="G77" s="529"/>
      <c r="H77" s="529"/>
      <c r="I77" s="529"/>
      <c r="J77" s="529"/>
      <c r="K77" s="530"/>
      <c r="L77" s="531"/>
      <c r="M77" s="532"/>
      <c r="N77" s="1149"/>
      <c r="O77" s="1149"/>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4"/>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4"/>
      <c r="Q79" s="503"/>
    </row>
    <row r="80" spans="1:17" ht="15">
      <c r="A80" s="533"/>
      <c r="B80" s="545"/>
      <c r="C80" s="602">
        <v>0.5</v>
      </c>
      <c r="D80" s="602">
        <v>0.6</v>
      </c>
      <c r="E80" s="602">
        <v>0.7</v>
      </c>
      <c r="F80" s="602">
        <v>0.8</v>
      </c>
      <c r="G80" s="602">
        <v>0.9</v>
      </c>
      <c r="H80" s="602">
        <v>1.0001</v>
      </c>
      <c r="I80" s="658"/>
      <c r="J80" s="658"/>
      <c r="K80" s="666"/>
      <c r="L80" s="667"/>
      <c r="M80" s="668"/>
      <c r="N80" s="1148"/>
      <c r="O80" s="1148"/>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2731</v>
      </c>
      <c r="C82" s="553"/>
      <c r="D82" s="553"/>
      <c r="E82" s="582"/>
      <c r="F82" s="582"/>
      <c r="G82" s="582"/>
      <c r="H82" s="582"/>
      <c r="I82" s="582"/>
      <c r="J82" s="582"/>
      <c r="K82" s="583"/>
      <c r="L82" s="584"/>
      <c r="M82" s="585"/>
      <c r="N82" s="1149"/>
      <c r="O82" s="1149"/>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4"/>
      <c r="Q83" s="503"/>
    </row>
    <row r="84" spans="1:17" ht="15" thickTop="1">
      <c r="A84" s="598"/>
      <c r="B84" s="537" t="s">
        <v>2739</v>
      </c>
      <c r="C84" s="553"/>
      <c r="D84" s="553"/>
      <c r="E84" s="553"/>
      <c r="F84" s="553"/>
      <c r="G84" s="553"/>
      <c r="H84" s="553"/>
      <c r="I84" s="582"/>
      <c r="J84" s="582"/>
      <c r="K84" s="583"/>
      <c r="L84" s="584"/>
      <c r="M84" s="585"/>
      <c r="N84" s="1149"/>
      <c r="O84" s="1149"/>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4"/>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49"/>
      <c r="O86" s="1149"/>
      <c r="P86" s="44"/>
      <c r="Q86" s="503"/>
    </row>
    <row r="87" spans="1:17">
      <c r="A87" s="598"/>
      <c r="B87" s="545"/>
      <c r="C87" s="594"/>
      <c r="D87" s="594"/>
      <c r="E87" s="594"/>
      <c r="F87" s="594"/>
      <c r="G87" s="594"/>
      <c r="H87" s="594"/>
      <c r="I87" s="594"/>
      <c r="J87" s="595"/>
      <c r="K87" s="595"/>
      <c r="L87" s="596"/>
      <c r="M87" s="597"/>
      <c r="N87" s="1149"/>
      <c r="O87" s="1149"/>
      <c r="P87" s="44"/>
      <c r="Q87" s="503"/>
    </row>
    <row r="88" spans="1:17" ht="15.75" thickBot="1">
      <c r="A88" s="533"/>
      <c r="B88" s="542"/>
      <c r="C88" s="559"/>
      <c r="D88" s="535"/>
      <c r="E88" s="535"/>
      <c r="F88" s="535"/>
      <c r="G88" s="535"/>
      <c r="H88" s="535"/>
      <c r="I88" s="535"/>
      <c r="J88" s="535"/>
      <c r="K88" s="535"/>
      <c r="L88" s="535"/>
      <c r="M88" s="535"/>
      <c r="N88" s="1150"/>
      <c r="O88" s="1150"/>
      <c r="P88" s="44"/>
      <c r="Q88" s="503"/>
    </row>
    <row r="89" spans="1:17" s="470" customFormat="1" ht="15" thickTop="1">
      <c r="A89" s="592"/>
      <c r="B89" s="537" t="s">
        <v>2741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4"/>
      <c r="Q91" s="503"/>
    </row>
    <row r="92" spans="1:17" ht="15.75" thickBot="1">
      <c r="A92" s="533"/>
      <c r="B92" s="542"/>
      <c r="C92" s="559"/>
      <c r="D92" s="535"/>
      <c r="E92" s="535"/>
      <c r="F92" s="535"/>
      <c r="G92" s="559"/>
      <c r="H92" s="561"/>
      <c r="I92" s="561"/>
      <c r="J92" s="561"/>
      <c r="K92" s="561"/>
      <c r="L92" s="561"/>
      <c r="M92" s="562"/>
      <c r="N92" s="1150"/>
      <c r="O92" s="1150"/>
      <c r="P92" s="44"/>
      <c r="Q92" s="503"/>
    </row>
    <row r="93" spans="1:17" ht="15" thickTop="1">
      <c r="A93" s="598"/>
      <c r="B93" s="537">
        <f>B33</f>
        <v>111</v>
      </c>
      <c r="C93" s="548"/>
      <c r="D93" s="548"/>
      <c r="E93" s="548"/>
      <c r="F93" s="548"/>
      <c r="G93" s="553"/>
      <c r="H93" s="554"/>
      <c r="I93" s="554"/>
      <c r="J93" s="554"/>
      <c r="K93" s="554"/>
      <c r="L93" s="555"/>
      <c r="M93" s="556"/>
      <c r="N93" s="1149"/>
      <c r="O93" s="1149"/>
      <c r="P93" s="44"/>
      <c r="Q93" s="503"/>
    </row>
    <row r="94" spans="1:17" ht="15.75" thickBot="1">
      <c r="A94" s="533"/>
      <c r="B94" s="542"/>
      <c r="C94" s="559"/>
      <c r="D94" s="535"/>
      <c r="E94" s="535"/>
      <c r="F94" s="535"/>
      <c r="G94" s="559"/>
      <c r="H94" s="561"/>
      <c r="I94" s="561"/>
      <c r="J94" s="561"/>
      <c r="K94" s="561"/>
      <c r="L94" s="561"/>
      <c r="M94" s="562"/>
      <c r="N94" s="1150"/>
      <c r="O94" s="1150"/>
      <c r="P94" s="44"/>
      <c r="Q94" s="503"/>
    </row>
    <row r="95" spans="1:17" ht="15" thickTop="1">
      <c r="A95" s="598"/>
      <c r="B95" s="634">
        <f>B34</f>
        <v>111</v>
      </c>
      <c r="C95" s="548"/>
      <c r="D95" s="548"/>
      <c r="E95" s="548"/>
      <c r="F95" s="548"/>
      <c r="G95" s="553"/>
      <c r="H95" s="554"/>
      <c r="I95" s="554"/>
      <c r="J95" s="554"/>
      <c r="K95" s="554"/>
      <c r="L95" s="555"/>
      <c r="M95" s="556"/>
      <c r="N95" s="1150"/>
      <c r="O95" s="1150"/>
      <c r="P95" s="635"/>
      <c r="Q95" s="636"/>
    </row>
    <row r="96" spans="1:17" ht="15.75" thickBot="1">
      <c r="A96" s="533"/>
      <c r="B96" s="542"/>
      <c r="C96" s="559"/>
      <c r="D96" s="559"/>
      <c r="E96" s="559"/>
      <c r="F96" s="559"/>
      <c r="G96" s="559"/>
      <c r="H96" s="561"/>
      <c r="I96" s="561"/>
      <c r="J96" s="561"/>
      <c r="K96" s="561"/>
      <c r="L96" s="561"/>
      <c r="M96" s="562"/>
      <c r="N96" s="1150"/>
      <c r="O96" s="1150"/>
      <c r="P96" s="44"/>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c r="AD1" s="396"/>
    </row>
    <row r="2" spans="1:30" s="397" customFormat="1" ht="28.5" customHeight="1">
      <c r="A2" s="244" t="s">
        <v>2325</v>
      </c>
      <c r="B2" s="669" t="e">
        <f>F66</f>
        <v>#DIV/0!</v>
      </c>
      <c r="C2" s="1121"/>
      <c r="D2" s="1121"/>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c r="AD2" s="396"/>
    </row>
    <row r="3" spans="1:30" s="397" customFormat="1" ht="28.5" customHeight="1" thickBot="1">
      <c r="A3" s="246" t="s">
        <v>2327</v>
      </c>
      <c r="B3" s="608" t="e">
        <f>ROUND(IF(D3="",B2*10000/'数据-汇总表'!E3,B2*10000/D3),0)</f>
        <v>#DIV/0!</v>
      </c>
      <c r="C3" s="246" t="s">
        <v>2744</v>
      </c>
      <c r="D3" s="1578"/>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30"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2" t="s">
        <v>2646</v>
      </c>
      <c r="AC4" s="3271" t="s">
        <v>2647</v>
      </c>
    </row>
    <row r="5" spans="1:30" ht="15">
      <c r="A5" s="403"/>
      <c r="B5" s="404"/>
      <c r="C5" s="3348" t="s">
        <v>2540</v>
      </c>
      <c r="D5" s="3284"/>
      <c r="E5" s="3347" t="s">
        <v>2541</v>
      </c>
      <c r="F5" s="3282"/>
      <c r="G5" s="3348" t="s">
        <v>2542</v>
      </c>
      <c r="H5" s="3284"/>
      <c r="I5" s="3348" t="s">
        <v>2543</v>
      </c>
      <c r="J5" s="3284"/>
      <c r="K5" s="609"/>
      <c r="L5" s="1127"/>
      <c r="M5" s="1128"/>
      <c r="N5" s="1128"/>
      <c r="O5" s="1128"/>
      <c r="P5" s="3296"/>
      <c r="Q5" s="3297"/>
      <c r="R5" s="3279"/>
      <c r="S5" s="3280"/>
      <c r="T5" s="3279"/>
      <c r="U5" s="3280"/>
      <c r="V5" s="3274"/>
      <c r="W5" s="3274"/>
      <c r="X5" s="1808"/>
      <c r="Y5" s="3279"/>
      <c r="Z5" s="3280"/>
      <c r="AA5" s="3272"/>
      <c r="AB5" s="3272"/>
      <c r="AC5" s="3272"/>
    </row>
    <row r="6" spans="1:30" ht="15.75" thickBot="1">
      <c r="A6" s="405"/>
      <c r="B6" s="406"/>
      <c r="C6" s="3349" t="s">
        <v>2544</v>
      </c>
      <c r="D6" s="3286"/>
      <c r="E6" s="3350" t="s">
        <v>2544</v>
      </c>
      <c r="F6" s="3288"/>
      <c r="G6" s="3349" t="s">
        <v>2544</v>
      </c>
      <c r="H6" s="3286"/>
      <c r="I6" s="3349" t="s">
        <v>2544</v>
      </c>
      <c r="J6" s="3286"/>
      <c r="K6" s="609" t="s">
        <v>2545</v>
      </c>
      <c r="L6" s="1127"/>
      <c r="M6" s="1128"/>
      <c r="N6" s="1128"/>
      <c r="O6" s="1128"/>
      <c r="P6" s="3298"/>
      <c r="Q6" s="3299"/>
      <c r="R6" s="3279"/>
      <c r="S6" s="3280"/>
      <c r="T6" s="3300"/>
      <c r="U6" s="3301"/>
      <c r="V6" s="3274"/>
      <c r="W6" s="3274"/>
      <c r="X6" s="1808"/>
      <c r="Y6" s="3300"/>
      <c r="Z6" s="3301"/>
      <c r="AA6" s="3273"/>
      <c r="AB6" s="3273"/>
      <c r="AC6" s="3273"/>
    </row>
    <row r="7" spans="1:30" s="116" customFormat="1" ht="15.75" thickBot="1">
      <c r="A7" s="407" t="s">
        <v>2546</v>
      </c>
      <c r="B7" s="408"/>
      <c r="C7" s="409">
        <f>'数据-取费表'!B2</f>
        <v>43209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75" t="s">
        <v>2547</v>
      </c>
      <c r="Q7" s="3302"/>
      <c r="R7" s="764" t="s">
        <v>17</v>
      </c>
      <c r="S7" s="765">
        <f t="shared" ref="S7:S15" si="0">F7</f>
        <v>0</v>
      </c>
      <c r="T7" s="764" t="s">
        <v>17</v>
      </c>
      <c r="U7" s="765">
        <f t="shared" ref="U7:U15" si="1">H7</f>
        <v>0</v>
      </c>
      <c r="V7" s="764" t="s">
        <v>17</v>
      </c>
      <c r="W7" s="765">
        <f t="shared" ref="W7:W15" si="2">J7</f>
        <v>0</v>
      </c>
      <c r="X7" s="766"/>
      <c r="Y7" s="3275" t="s">
        <v>2547</v>
      </c>
      <c r="Z7" s="3276"/>
      <c r="AA7" s="767" t="e">
        <f>D7/F7</f>
        <v>#DIV/0!</v>
      </c>
      <c r="AB7" s="767" t="e">
        <f>D7/H7</f>
        <v>#DIV/0!</v>
      </c>
      <c r="AC7" s="767"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75" t="s">
        <v>2550</v>
      </c>
      <c r="Q8" s="3276"/>
      <c r="R8" s="764" t="s">
        <v>17</v>
      </c>
      <c r="S8" s="765">
        <f t="shared" si="0"/>
        <v>0</v>
      </c>
      <c r="T8" s="764" t="s">
        <v>17</v>
      </c>
      <c r="U8" s="765">
        <f t="shared" si="1"/>
        <v>0</v>
      </c>
      <c r="V8" s="764" t="s">
        <v>17</v>
      </c>
      <c r="W8" s="765">
        <f t="shared" si="2"/>
        <v>0</v>
      </c>
      <c r="X8" s="766"/>
      <c r="Y8" s="3275" t="s">
        <v>2550</v>
      </c>
      <c r="Z8" s="3276"/>
      <c r="AA8" s="767" t="e">
        <f t="shared" ref="AA8:AA45" si="3">D8/F8</f>
        <v>#DIV/0!</v>
      </c>
      <c r="AB8" s="767" t="e">
        <f t="shared" ref="AB8:AB45" si="4">D8/H8</f>
        <v>#DIV/0!</v>
      </c>
      <c r="AC8" s="767" t="e">
        <f t="shared" ref="AC8:AC45" si="5">D8/J8</f>
        <v>#DIV/0!</v>
      </c>
    </row>
    <row r="9" spans="1:30" s="116" customFormat="1">
      <c r="A9" s="414" t="s">
        <v>2551</v>
      </c>
      <c r="B9" s="70" t="s">
        <v>2552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312"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767">
        <f t="shared" si="5"/>
        <v>1</v>
      </c>
    </row>
    <row r="10" spans="1:30" s="426" customFormat="1" ht="27">
      <c r="A10" s="420"/>
      <c r="B10" s="421" t="s">
        <v>2555</v>
      </c>
      <c r="C10" s="431"/>
      <c r="D10" s="135">
        <v>100</v>
      </c>
      <c r="E10" s="464"/>
      <c r="F10" s="135">
        <f>ROUND(100/'数据-取费表'!G16,0)</f>
        <v>120</v>
      </c>
      <c r="G10" s="462"/>
      <c r="H10" s="135">
        <f>ROUND(100/'数据-取费表'!G16,0)</f>
        <v>120</v>
      </c>
      <c r="I10" s="462"/>
      <c r="J10" s="135">
        <f>ROUND(100/'数据-取费表'!G16,0)</f>
        <v>120</v>
      </c>
      <c r="K10" s="670"/>
      <c r="L10" s="1132"/>
      <c r="M10" s="1133"/>
      <c r="N10" s="1133"/>
      <c r="O10" s="1134"/>
      <c r="P10" s="3312"/>
      <c r="Q10" s="1790" t="str">
        <f t="shared" si="6"/>
        <v>土地使用年限（年）</v>
      </c>
      <c r="R10" s="764" t="s">
        <v>17</v>
      </c>
      <c r="S10" s="765">
        <f t="shared" si="0"/>
        <v>120</v>
      </c>
      <c r="T10" s="764" t="s">
        <v>17</v>
      </c>
      <c r="U10" s="765">
        <f t="shared" si="1"/>
        <v>120</v>
      </c>
      <c r="V10" s="764" t="s">
        <v>17</v>
      </c>
      <c r="W10" s="765">
        <f t="shared" si="2"/>
        <v>120</v>
      </c>
      <c r="X10" s="766"/>
      <c r="Y10" s="3151"/>
      <c r="Z10" s="54" t="str">
        <f t="shared" si="7"/>
        <v>土地使用年限（年）</v>
      </c>
      <c r="AA10" s="767">
        <f t="shared" si="3"/>
        <v>0.83333333333333337</v>
      </c>
      <c r="AB10" s="767">
        <f t="shared" si="4"/>
        <v>0.83333333333333337</v>
      </c>
      <c r="AC10" s="767">
        <f t="shared" si="5"/>
        <v>0.83333333333333337</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1"/>
      <c r="L11" s="1135"/>
      <c r="M11" s="1128"/>
      <c r="N11" s="1128"/>
      <c r="O11" s="1136"/>
      <c r="P11" s="3312"/>
      <c r="Q11" s="1790" t="str">
        <f t="shared" si="6"/>
        <v>容积率</v>
      </c>
      <c r="R11" s="764" t="s">
        <v>17</v>
      </c>
      <c r="S11" s="765" t="e">
        <f t="shared" si="0"/>
        <v>#N/A</v>
      </c>
      <c r="T11" s="764" t="s">
        <v>17</v>
      </c>
      <c r="U11" s="765" t="e">
        <f t="shared" si="1"/>
        <v>#N/A</v>
      </c>
      <c r="V11" s="764" t="s">
        <v>17</v>
      </c>
      <c r="W11" s="765" t="e">
        <f t="shared" si="2"/>
        <v>#N/A</v>
      </c>
      <c r="X11" s="766"/>
      <c r="Y11" s="3151"/>
      <c r="Z11" s="54" t="str">
        <f t="shared" si="7"/>
        <v>容积率</v>
      </c>
      <c r="AA11" s="767" t="e">
        <f t="shared" si="3"/>
        <v>#N/A</v>
      </c>
      <c r="AB11" s="767" t="e">
        <f t="shared" si="4"/>
        <v>#N/A</v>
      </c>
      <c r="AC11" s="767" t="e">
        <f t="shared" si="5"/>
        <v>#N/A</v>
      </c>
    </row>
    <row r="12" spans="1:30" s="116" customFormat="1" ht="15">
      <c r="A12" s="430"/>
      <c r="B12" s="2593" t="s">
        <v>2745</v>
      </c>
      <c r="C12" s="431"/>
      <c r="D12" s="432">
        <v>100</v>
      </c>
      <c r="E12" s="464"/>
      <c r="F12" s="135">
        <f>SUMIF(82:82,E12,83:83)-SUMIF(82:82,C12,83:83)+100</f>
        <v>100</v>
      </c>
      <c r="G12" s="462"/>
      <c r="H12" s="135">
        <f>SUMIF(82:82,G12,83:83)-SUMIF(82:82,C12,83:83)+100</f>
        <v>100</v>
      </c>
      <c r="I12" s="464"/>
      <c r="J12" s="135">
        <f>SUMIF(82:82,I12,83:83)-SUMIF(82:82,C12,83:83)+100</f>
        <v>100</v>
      </c>
      <c r="K12" s="670"/>
      <c r="L12" s="1129"/>
      <c r="M12" s="1130"/>
      <c r="N12" s="1130"/>
      <c r="O12" s="1131"/>
      <c r="P12" s="3312"/>
      <c r="Q12" s="1790" t="str">
        <f t="shared" si="6"/>
        <v>配建</v>
      </c>
      <c r="R12" s="764" t="s">
        <v>17</v>
      </c>
      <c r="S12" s="765">
        <f t="shared" si="0"/>
        <v>100</v>
      </c>
      <c r="T12" s="764" t="s">
        <v>17</v>
      </c>
      <c r="U12" s="765">
        <f t="shared" si="1"/>
        <v>100</v>
      </c>
      <c r="V12" s="764" t="s">
        <v>17</v>
      </c>
      <c r="W12" s="765">
        <f t="shared" si="2"/>
        <v>100</v>
      </c>
      <c r="X12" s="766"/>
      <c r="Y12" s="3151"/>
      <c r="Z12" s="54" t="str">
        <f t="shared" si="7"/>
        <v>配建</v>
      </c>
      <c r="AA12" s="767">
        <f>D12/F12</f>
        <v>1</v>
      </c>
      <c r="AB12" s="767">
        <f>D12/H12</f>
        <v>1</v>
      </c>
      <c r="AC12" s="767">
        <f>D12/J12</f>
        <v>1</v>
      </c>
    </row>
    <row r="13" spans="1:30" ht="15">
      <c r="A13" s="427"/>
      <c r="B13" s="2593">
        <v>111</v>
      </c>
      <c r="C13" s="433"/>
      <c r="D13" s="434">
        <v>100</v>
      </c>
      <c r="E13" s="548"/>
      <c r="F13" s="135">
        <f>SUMIF(84:84,E13,85:85)-SUMIF(84:84,C13,85:85)+100</f>
        <v>100</v>
      </c>
      <c r="G13" s="672"/>
      <c r="H13" s="434">
        <f>SUMIF(84:84,G13,85:85)-SUMIF(84:84,C13,85:85)+100</f>
        <v>100</v>
      </c>
      <c r="I13" s="672"/>
      <c r="J13" s="434">
        <f>SUMIF(84:84,I13,85:85)-SUMIF(84:84,C13,85:85)+100</f>
        <v>100</v>
      </c>
      <c r="K13" s="670"/>
      <c r="L13" s="1137"/>
      <c r="M13" s="1128"/>
      <c r="N13" s="1128"/>
      <c r="O13" s="1136"/>
      <c r="P13" s="3312"/>
      <c r="Q13" s="1790">
        <f t="shared" si="6"/>
        <v>111</v>
      </c>
      <c r="R13" s="764" t="s">
        <v>17</v>
      </c>
      <c r="S13" s="765">
        <f t="shared" si="0"/>
        <v>100</v>
      </c>
      <c r="T13" s="764" t="s">
        <v>17</v>
      </c>
      <c r="U13" s="765">
        <f t="shared" si="1"/>
        <v>100</v>
      </c>
      <c r="V13" s="764" t="s">
        <v>17</v>
      </c>
      <c r="W13" s="765">
        <f t="shared" si="2"/>
        <v>100</v>
      </c>
      <c r="X13" s="766"/>
      <c r="Y13" s="3151"/>
      <c r="Z13" s="54">
        <f t="shared" si="7"/>
        <v>111</v>
      </c>
      <c r="AA13" s="767">
        <f>D13/F13</f>
        <v>1</v>
      </c>
      <c r="AB13" s="767">
        <f>D13/H13</f>
        <v>1</v>
      </c>
      <c r="AC13" s="767">
        <f>D13/J13</f>
        <v>1</v>
      </c>
    </row>
    <row r="14" spans="1:30" ht="15.75" thickBot="1">
      <c r="A14" s="435"/>
      <c r="B14" s="2595">
        <v>111</v>
      </c>
      <c r="C14" s="436"/>
      <c r="D14" s="437">
        <v>100</v>
      </c>
      <c r="E14" s="548"/>
      <c r="F14" s="437">
        <f>SUMIF(86:86,E14,87:87)-SUMIF(86:86,C14,87:87)+100</f>
        <v>100</v>
      </c>
      <c r="G14" s="672"/>
      <c r="H14" s="437">
        <f>SUMIF(86:86,G14,87:87)-SUMIF(86:86,C14,87:87)+100</f>
        <v>100</v>
      </c>
      <c r="I14" s="672"/>
      <c r="J14" s="437">
        <f>SUMIF(86:86,I14,87:87)-SUMIF(86:86,C14,87:87)+100</f>
        <v>100</v>
      </c>
      <c r="K14" s="670"/>
      <c r="L14" s="1137"/>
      <c r="M14" s="1128"/>
      <c r="N14" s="1128"/>
      <c r="O14" s="1136"/>
      <c r="P14" s="3312"/>
      <c r="Q14" s="1790">
        <f t="shared" si="6"/>
        <v>111</v>
      </c>
      <c r="R14" s="764" t="s">
        <v>17</v>
      </c>
      <c r="S14" s="765">
        <f t="shared" si="0"/>
        <v>100</v>
      </c>
      <c r="T14" s="764" t="s">
        <v>17</v>
      </c>
      <c r="U14" s="765">
        <f t="shared" si="1"/>
        <v>100</v>
      </c>
      <c r="V14" s="764" t="s">
        <v>17</v>
      </c>
      <c r="W14" s="765">
        <f t="shared" si="2"/>
        <v>100</v>
      </c>
      <c r="X14" s="766"/>
      <c r="Y14" s="3151"/>
      <c r="Z14" s="54">
        <f t="shared" si="7"/>
        <v>111</v>
      </c>
      <c r="AA14" s="767">
        <f>D14/F14</f>
        <v>1</v>
      </c>
      <c r="AB14" s="767">
        <f>D14/H14</f>
        <v>1</v>
      </c>
      <c r="AC14" s="767">
        <f>D14/J14</f>
        <v>1</v>
      </c>
    </row>
    <row r="15" spans="1:30" ht="99.75">
      <c r="A15" s="439" t="s">
        <v>2557</v>
      </c>
      <c r="B15" s="68" t="s">
        <v>2082</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1"/>
      <c r="L15" s="1137"/>
      <c r="M15" s="1128"/>
      <c r="N15" s="1128"/>
      <c r="O15" s="1136"/>
      <c r="P15" s="3305" t="s">
        <v>2558</v>
      </c>
      <c r="Q15" s="1805" t="str">
        <f t="shared" si="6"/>
        <v>居住社区成熟度</v>
      </c>
      <c r="R15" s="768" t="s">
        <v>17</v>
      </c>
      <c r="S15" s="769">
        <f t="shared" si="0"/>
        <v>100</v>
      </c>
      <c r="T15" s="768" t="s">
        <v>17</v>
      </c>
      <c r="U15" s="769">
        <f t="shared" si="1"/>
        <v>100</v>
      </c>
      <c r="V15" s="768" t="s">
        <v>17</v>
      </c>
      <c r="W15" s="769">
        <f t="shared" si="2"/>
        <v>100</v>
      </c>
      <c r="X15" s="1808"/>
      <c r="Y15" s="3305" t="s">
        <v>2558</v>
      </c>
      <c r="Z15" s="1809" t="str">
        <f t="shared" si="7"/>
        <v>居住社区成熟度</v>
      </c>
      <c r="AA15" s="1806">
        <f t="shared" si="3"/>
        <v>1</v>
      </c>
      <c r="AB15" s="1806">
        <f t="shared" si="4"/>
        <v>1</v>
      </c>
      <c r="AC15" s="1806">
        <f t="shared" si="5"/>
        <v>1</v>
      </c>
    </row>
    <row r="16" spans="1:30" ht="15">
      <c r="A16" s="427"/>
      <c r="B16" s="445"/>
      <c r="C16" s="446"/>
      <c r="D16" s="447"/>
      <c r="E16" s="2598"/>
      <c r="F16" s="447"/>
      <c r="G16" s="2598"/>
      <c r="H16" s="449"/>
      <c r="I16" s="2597"/>
      <c r="J16" s="447"/>
      <c r="K16" s="670"/>
      <c r="L16" s="1137"/>
      <c r="M16" s="1128"/>
      <c r="N16" s="1128"/>
      <c r="O16" s="1136"/>
      <c r="P16" s="3306"/>
      <c r="Q16" s="1805"/>
      <c r="R16" s="768"/>
      <c r="S16" s="769"/>
      <c r="T16" s="768"/>
      <c r="U16" s="769"/>
      <c r="V16" s="768"/>
      <c r="W16" s="769"/>
      <c r="X16" s="1808"/>
      <c r="Y16" s="3306"/>
      <c r="Z16" s="1809"/>
      <c r="AA16" s="1806">
        <v>1</v>
      </c>
      <c r="AB16" s="1806">
        <v>1</v>
      </c>
      <c r="AC16" s="1806">
        <v>1</v>
      </c>
    </row>
    <row r="17" spans="1:29" ht="71.25">
      <c r="A17" s="427"/>
      <c r="B17" s="450" t="s">
        <v>2651</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1"/>
      <c r="L17" s="1137"/>
      <c r="M17" s="1128"/>
      <c r="N17" s="1128"/>
      <c r="O17" s="1136"/>
      <c r="P17" s="3306"/>
      <c r="Q17" s="1805" t="str">
        <f>B17</f>
        <v>商业繁华度</v>
      </c>
      <c r="R17" s="768" t="s">
        <v>17</v>
      </c>
      <c r="S17" s="769">
        <f>F17</f>
        <v>100</v>
      </c>
      <c r="T17" s="768" t="s">
        <v>17</v>
      </c>
      <c r="U17" s="769">
        <f>H17</f>
        <v>100</v>
      </c>
      <c r="V17" s="768" t="s">
        <v>17</v>
      </c>
      <c r="W17" s="769">
        <f>J17</f>
        <v>100</v>
      </c>
      <c r="X17" s="1808"/>
      <c r="Y17" s="3306"/>
      <c r="Z17" s="1809" t="str">
        <f>Q17</f>
        <v>商业繁华度</v>
      </c>
      <c r="AA17" s="1806">
        <f t="shared" si="3"/>
        <v>1</v>
      </c>
      <c r="AB17" s="1806">
        <f t="shared" si="4"/>
        <v>1</v>
      </c>
      <c r="AC17" s="1806">
        <f t="shared" si="5"/>
        <v>1</v>
      </c>
    </row>
    <row r="18" spans="1:29" ht="15">
      <c r="A18" s="427"/>
      <c r="B18" s="455"/>
      <c r="C18" s="2601"/>
      <c r="D18" s="449"/>
      <c r="E18" s="2603"/>
      <c r="F18" s="449"/>
      <c r="G18" s="2603"/>
      <c r="H18" s="447"/>
      <c r="I18" s="2602"/>
      <c r="J18" s="447"/>
      <c r="K18" s="670"/>
      <c r="L18" s="1137"/>
      <c r="M18" s="1128"/>
      <c r="N18" s="1128"/>
      <c r="O18" s="1136"/>
      <c r="P18" s="3306"/>
      <c r="Q18" s="1805"/>
      <c r="R18" s="768"/>
      <c r="S18" s="769"/>
      <c r="T18" s="768"/>
      <c r="U18" s="769"/>
      <c r="V18" s="768"/>
      <c r="W18" s="769"/>
      <c r="X18" s="1808"/>
      <c r="Y18" s="3306"/>
      <c r="Z18" s="1809"/>
      <c r="AA18" s="1806">
        <v>1</v>
      </c>
      <c r="AB18" s="1806">
        <v>1</v>
      </c>
      <c r="AC18" s="1806">
        <v>1</v>
      </c>
    </row>
    <row r="19" spans="1:29" ht="71.25">
      <c r="A19" s="427"/>
      <c r="B19" s="450" t="s">
        <v>2685</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1"/>
      <c r="L19" s="1137"/>
      <c r="M19" s="1128"/>
      <c r="N19" s="1128"/>
      <c r="O19" s="1136"/>
      <c r="P19" s="3306"/>
      <c r="Q19" s="1805" t="str">
        <f>B19</f>
        <v>办公集聚程度</v>
      </c>
      <c r="R19" s="768" t="s">
        <v>17</v>
      </c>
      <c r="S19" s="769">
        <f>F19</f>
        <v>100</v>
      </c>
      <c r="T19" s="768" t="s">
        <v>17</v>
      </c>
      <c r="U19" s="769">
        <f>H19</f>
        <v>100</v>
      </c>
      <c r="V19" s="768" t="s">
        <v>17</v>
      </c>
      <c r="W19" s="769">
        <f>J19</f>
        <v>100</v>
      </c>
      <c r="X19" s="1808"/>
      <c r="Y19" s="3306"/>
      <c r="Z19" s="1809" t="str">
        <f>Q19</f>
        <v>办公集聚程度</v>
      </c>
      <c r="AA19" s="1806">
        <f t="shared" si="3"/>
        <v>1</v>
      </c>
      <c r="AB19" s="1806">
        <f t="shared" si="4"/>
        <v>1</v>
      </c>
      <c r="AC19" s="1806">
        <f t="shared" si="5"/>
        <v>1</v>
      </c>
    </row>
    <row r="20" spans="1:29" ht="15">
      <c r="A20" s="427"/>
      <c r="B20" s="455"/>
      <c r="C20" s="446"/>
      <c r="D20" s="447"/>
      <c r="E20" s="2598"/>
      <c r="F20" s="447"/>
      <c r="G20" s="2598"/>
      <c r="H20" s="447"/>
      <c r="I20" s="2597"/>
      <c r="J20" s="447"/>
      <c r="K20" s="670"/>
      <c r="L20" s="1137"/>
      <c r="M20" s="1128"/>
      <c r="N20" s="1128"/>
      <c r="O20" s="1136"/>
      <c r="P20" s="3306"/>
      <c r="Q20" s="1805"/>
      <c r="R20" s="768"/>
      <c r="S20" s="769"/>
      <c r="T20" s="768"/>
      <c r="U20" s="769"/>
      <c r="V20" s="768"/>
      <c r="W20" s="769"/>
      <c r="X20" s="1808"/>
      <c r="Y20" s="3306"/>
      <c r="Z20" s="1809"/>
      <c r="AA20" s="1806">
        <v>1</v>
      </c>
      <c r="AB20" s="1806">
        <v>1</v>
      </c>
      <c r="AC20" s="1806">
        <v>1</v>
      </c>
    </row>
    <row r="21" spans="1:29" ht="85.5">
      <c r="A21" s="427"/>
      <c r="B21" s="450" t="s">
        <v>2707</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1"/>
      <c r="L21" s="1137"/>
      <c r="M21" s="1128"/>
      <c r="N21" s="1128"/>
      <c r="O21" s="1136"/>
      <c r="P21" s="3306"/>
      <c r="Q21" s="1805" t="str">
        <f>B21</f>
        <v>交通便捷度</v>
      </c>
      <c r="R21" s="768" t="s">
        <v>17</v>
      </c>
      <c r="S21" s="769">
        <f>F21</f>
        <v>100</v>
      </c>
      <c r="T21" s="768" t="s">
        <v>17</v>
      </c>
      <c r="U21" s="769">
        <f>H21</f>
        <v>100</v>
      </c>
      <c r="V21" s="768" t="s">
        <v>17</v>
      </c>
      <c r="W21" s="769">
        <f>J21</f>
        <v>100</v>
      </c>
      <c r="X21" s="1808"/>
      <c r="Y21" s="3306"/>
      <c r="Z21" s="1809" t="str">
        <f>Q21</f>
        <v>交通便捷度</v>
      </c>
      <c r="AA21" s="1806">
        <f t="shared" si="3"/>
        <v>1</v>
      </c>
      <c r="AB21" s="1806">
        <f t="shared" si="4"/>
        <v>1</v>
      </c>
      <c r="AC21" s="1806">
        <f t="shared" si="5"/>
        <v>1</v>
      </c>
    </row>
    <row r="22" spans="1:29" ht="15">
      <c r="A22" s="427"/>
      <c r="B22" s="1379"/>
      <c r="C22" s="446"/>
      <c r="D22" s="449"/>
      <c r="E22" s="2598"/>
      <c r="F22" s="447"/>
      <c r="G22" s="2598"/>
      <c r="H22" s="447"/>
      <c r="I22" s="2597"/>
      <c r="J22" s="447"/>
      <c r="K22" s="670"/>
      <c r="L22" s="1137"/>
      <c r="M22" s="1128"/>
      <c r="N22" s="1128"/>
      <c r="O22" s="1136"/>
      <c r="P22" s="3306"/>
      <c r="Q22" s="1805"/>
      <c r="R22" s="768"/>
      <c r="S22" s="769"/>
      <c r="T22" s="768"/>
      <c r="U22" s="769"/>
      <c r="V22" s="768"/>
      <c r="W22" s="769"/>
      <c r="X22" s="1808"/>
      <c r="Y22" s="3306"/>
      <c r="Z22" s="1809"/>
      <c r="AA22" s="1806">
        <v>1</v>
      </c>
      <c r="AB22" s="1806">
        <v>1</v>
      </c>
      <c r="AC22" s="1806">
        <v>1</v>
      </c>
    </row>
    <row r="23" spans="1:29" ht="15">
      <c r="A23" s="403"/>
      <c r="B23" s="450" t="s">
        <v>2746</v>
      </c>
      <c r="C23" s="1384">
        <f>估价对象房地状况!C19</f>
        <v>0</v>
      </c>
      <c r="D23" s="454">
        <v>100</v>
      </c>
      <c r="E23" s="451"/>
      <c r="F23" s="454">
        <f>SUMIF(96:96,E24,97:97)-SUMIF(96:96,C24,97:97)+100</f>
        <v>100</v>
      </c>
      <c r="G23" s="453"/>
      <c r="H23" s="454">
        <f>SUMIF(96:96,G24,97:97)-SUMIF(96:96,C24,97:97)+100</f>
        <v>100</v>
      </c>
      <c r="I23" s="453"/>
      <c r="J23" s="454">
        <f>SUMIF(96:96,I24,97:97)-SUMIF(96:96,C24,97:97)+100</f>
        <v>100</v>
      </c>
      <c r="K23" s="671"/>
      <c r="L23" s="1137"/>
      <c r="M23" s="1128"/>
      <c r="N23" s="1128"/>
      <c r="O23" s="1136"/>
      <c r="P23" s="3306"/>
      <c r="Q23" s="1805" t="str">
        <f t="shared" ref="Q23:Q37" si="8">B23</f>
        <v>区域土地利用方向</v>
      </c>
      <c r="R23" s="768" t="s">
        <v>17</v>
      </c>
      <c r="S23" s="769">
        <f>F23</f>
        <v>100</v>
      </c>
      <c r="T23" s="768" t="s">
        <v>17</v>
      </c>
      <c r="U23" s="769">
        <f>H23</f>
        <v>100</v>
      </c>
      <c r="V23" s="768" t="s">
        <v>17</v>
      </c>
      <c r="W23" s="769">
        <f>J23</f>
        <v>100</v>
      </c>
      <c r="X23" s="1808"/>
      <c r="Y23" s="3306"/>
      <c r="Z23" s="1809" t="str">
        <f>Q23</f>
        <v>区域土地利用方向</v>
      </c>
      <c r="AA23" s="1806">
        <f t="shared" si="3"/>
        <v>1</v>
      </c>
      <c r="AB23" s="1806">
        <f t="shared" si="4"/>
        <v>1</v>
      </c>
      <c r="AC23" s="1806">
        <f t="shared" si="5"/>
        <v>1</v>
      </c>
    </row>
    <row r="24" spans="1:29" ht="15">
      <c r="A24" s="403"/>
      <c r="B24" s="455"/>
      <c r="C24" s="615"/>
      <c r="D24" s="447"/>
      <c r="E24" s="2598"/>
      <c r="F24" s="447"/>
      <c r="G24" s="2597"/>
      <c r="H24" s="447"/>
      <c r="I24" s="2597"/>
      <c r="J24" s="447"/>
      <c r="K24" s="806"/>
      <c r="L24" s="1137"/>
      <c r="M24" s="1128"/>
      <c r="N24" s="1128"/>
      <c r="O24" s="1136"/>
      <c r="P24" s="3306"/>
      <c r="Q24" s="1805"/>
      <c r="R24" s="768"/>
      <c r="S24" s="769"/>
      <c r="T24" s="768"/>
      <c r="U24" s="769"/>
      <c r="V24" s="768"/>
      <c r="W24" s="769"/>
      <c r="X24" s="1808"/>
      <c r="Y24" s="3306"/>
      <c r="Z24" s="1809"/>
      <c r="AA24" s="1806"/>
      <c r="AB24" s="1806"/>
      <c r="AC24" s="1806"/>
    </row>
    <row r="25" spans="1:29" ht="57">
      <c r="A25" s="403"/>
      <c r="B25" s="1379" t="s">
        <v>2747</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1"/>
      <c r="L25" s="1137"/>
      <c r="M25" s="1128"/>
      <c r="N25" s="1128"/>
      <c r="O25" s="1136"/>
      <c r="P25" s="3306"/>
      <c r="Q25" s="1805" t="str">
        <f t="shared" si="8"/>
        <v>自然及人文环境状况</v>
      </c>
      <c r="R25" s="768" t="s">
        <v>17</v>
      </c>
      <c r="S25" s="769">
        <f>F25</f>
        <v>100</v>
      </c>
      <c r="T25" s="768" t="s">
        <v>17</v>
      </c>
      <c r="U25" s="769">
        <f>H25</f>
        <v>100</v>
      </c>
      <c r="V25" s="768" t="s">
        <v>17</v>
      </c>
      <c r="W25" s="769">
        <f>J25</f>
        <v>100</v>
      </c>
      <c r="X25" s="1808"/>
      <c r="Y25" s="3306"/>
      <c r="Z25" s="1809" t="str">
        <f>Q25</f>
        <v>自然及人文环境状况</v>
      </c>
      <c r="AA25" s="1806">
        <f t="shared" si="3"/>
        <v>1</v>
      </c>
      <c r="AB25" s="1806">
        <f t="shared" si="4"/>
        <v>1</v>
      </c>
      <c r="AC25" s="1806">
        <f t="shared" si="5"/>
        <v>1</v>
      </c>
    </row>
    <row r="26" spans="1:29" ht="15">
      <c r="A26" s="403"/>
      <c r="B26" s="455"/>
      <c r="C26" s="446"/>
      <c r="D26" s="447"/>
      <c r="E26" s="2604"/>
      <c r="F26" s="447"/>
      <c r="G26" s="2604"/>
      <c r="H26" s="447"/>
      <c r="I26" s="446"/>
      <c r="J26" s="447"/>
      <c r="K26" s="670"/>
      <c r="L26" s="1137"/>
      <c r="M26" s="1128"/>
      <c r="N26" s="1128"/>
      <c r="O26" s="1136"/>
      <c r="P26" s="3306"/>
      <c r="Q26" s="1805"/>
      <c r="R26" s="768"/>
      <c r="S26" s="769"/>
      <c r="T26" s="768"/>
      <c r="U26" s="769"/>
      <c r="V26" s="768"/>
      <c r="W26" s="769"/>
      <c r="X26" s="1808"/>
      <c r="Y26" s="3306"/>
      <c r="Z26" s="1809"/>
      <c r="AA26" s="1806">
        <v>1</v>
      </c>
      <c r="AB26" s="1806">
        <v>1</v>
      </c>
      <c r="AC26" s="1806">
        <v>1</v>
      </c>
    </row>
    <row r="27" spans="1:29" s="116" customFormat="1" ht="42.75">
      <c r="A27" s="647"/>
      <c r="B27" s="1379" t="s">
        <v>2652</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1"/>
      <c r="L27" s="1129"/>
      <c r="M27" s="1130"/>
      <c r="N27" s="1130"/>
      <c r="O27" s="1131"/>
      <c r="P27" s="3306"/>
      <c r="Q27" s="1790" t="str">
        <f t="shared" si="8"/>
        <v>公共配套设施</v>
      </c>
      <c r="R27" s="764" t="s">
        <v>17</v>
      </c>
      <c r="S27" s="765">
        <f>F27</f>
        <v>100</v>
      </c>
      <c r="T27" s="764" t="s">
        <v>17</v>
      </c>
      <c r="U27" s="765">
        <f>H27</f>
        <v>100</v>
      </c>
      <c r="V27" s="764" t="s">
        <v>17</v>
      </c>
      <c r="W27" s="765">
        <f>J27</f>
        <v>100</v>
      </c>
      <c r="X27" s="766"/>
      <c r="Y27" s="3306"/>
      <c r="Z27" s="54" t="str">
        <f>Q27</f>
        <v>公共配套设施</v>
      </c>
      <c r="AA27" s="1806">
        <f>D27/F27</f>
        <v>1</v>
      </c>
      <c r="AB27" s="1806">
        <f>D27/H27</f>
        <v>1</v>
      </c>
      <c r="AC27" s="1806">
        <f>D27/J27</f>
        <v>1</v>
      </c>
    </row>
    <row r="28" spans="1:29" s="116" customFormat="1" ht="15">
      <c r="A28" s="647"/>
      <c r="B28" s="455"/>
      <c r="C28" s="2693"/>
      <c r="D28" s="447"/>
      <c r="E28" s="2604"/>
      <c r="F28" s="447"/>
      <c r="G28" s="2604"/>
      <c r="H28" s="447"/>
      <c r="I28" s="446"/>
      <c r="J28" s="447"/>
      <c r="K28" s="670"/>
      <c r="L28" s="1129"/>
      <c r="M28" s="1130"/>
      <c r="N28" s="1130"/>
      <c r="O28" s="1131"/>
      <c r="P28" s="3306"/>
      <c r="Q28" s="1790"/>
      <c r="R28" s="764"/>
      <c r="S28" s="765"/>
      <c r="T28" s="764"/>
      <c r="U28" s="765"/>
      <c r="V28" s="764"/>
      <c r="W28" s="765"/>
      <c r="X28" s="766"/>
      <c r="Y28" s="3306"/>
      <c r="Z28" s="54"/>
      <c r="AA28" s="1806">
        <v>1</v>
      </c>
      <c r="AB28" s="1806">
        <v>1</v>
      </c>
      <c r="AC28" s="1806">
        <v>1</v>
      </c>
    </row>
    <row r="29" spans="1:29" s="116" customFormat="1" ht="28.5">
      <c r="A29" s="647"/>
      <c r="B29" s="1379" t="s">
        <v>2653</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1"/>
      <c r="L29" s="1129"/>
      <c r="M29" s="1130"/>
      <c r="N29" s="1130"/>
      <c r="O29" s="1131"/>
      <c r="P29" s="3306"/>
      <c r="Q29" s="1790" t="str">
        <f t="shared" ref="Q29" si="9">B29</f>
        <v>基础设施水平</v>
      </c>
      <c r="R29" s="764" t="s">
        <v>17</v>
      </c>
      <c r="S29" s="765">
        <f>F29</f>
        <v>100</v>
      </c>
      <c r="T29" s="764" t="s">
        <v>17</v>
      </c>
      <c r="U29" s="765">
        <f>H29</f>
        <v>100</v>
      </c>
      <c r="V29" s="764" t="s">
        <v>17</v>
      </c>
      <c r="W29" s="765">
        <f>J29</f>
        <v>100</v>
      </c>
      <c r="X29" s="766"/>
      <c r="Y29" s="3306"/>
      <c r="Z29" s="54" t="str">
        <f>Q29</f>
        <v>基础设施水平</v>
      </c>
      <c r="AA29" s="1806">
        <f>D29/F29</f>
        <v>1</v>
      </c>
      <c r="AB29" s="1806">
        <f>D29/H29</f>
        <v>1</v>
      </c>
      <c r="AC29" s="1806">
        <f>D29/J29</f>
        <v>1</v>
      </c>
    </row>
    <row r="30" spans="1:29" s="116" customFormat="1" ht="15">
      <c r="A30" s="647"/>
      <c r="B30" s="455"/>
      <c r="C30" s="2693"/>
      <c r="D30" s="447"/>
      <c r="E30" s="2694"/>
      <c r="F30" s="447"/>
      <c r="G30" s="2694"/>
      <c r="H30" s="447"/>
      <c r="I30" s="2694"/>
      <c r="J30" s="447"/>
      <c r="K30" s="670"/>
      <c r="L30" s="1129"/>
      <c r="M30" s="1130"/>
      <c r="N30" s="1130"/>
      <c r="O30" s="1131"/>
      <c r="P30" s="3306"/>
      <c r="Q30" s="1790"/>
      <c r="R30" s="764"/>
      <c r="S30" s="765"/>
      <c r="T30" s="764"/>
      <c r="U30" s="765"/>
      <c r="V30" s="764"/>
      <c r="W30" s="765"/>
      <c r="X30" s="766"/>
      <c r="Y30" s="3306"/>
      <c r="Z30" s="54"/>
      <c r="AA30" s="1806">
        <v>1</v>
      </c>
      <c r="AB30" s="1806">
        <v>1</v>
      </c>
      <c r="AC30" s="1806">
        <v>1</v>
      </c>
    </row>
    <row r="31" spans="1:29" ht="15">
      <c r="A31" s="427"/>
      <c r="B31" s="455" t="s">
        <v>2654</v>
      </c>
      <c r="C31" s="615"/>
      <c r="D31" s="434">
        <v>100</v>
      </c>
      <c r="E31" s="632"/>
      <c r="F31" s="434">
        <f>SUMIF(104:104,E31,105:105)-SUMIF(104:104,C31,105:105)+100</f>
        <v>100</v>
      </c>
      <c r="G31" s="632"/>
      <c r="H31" s="434">
        <f>SUMIF(104:104,G31,105:105)-SUMIF(104:104,C31,105:105)+100</f>
        <v>100</v>
      </c>
      <c r="I31" s="632"/>
      <c r="J31" s="434">
        <f>SUMIF(104:104,I31,105:105)-SUMIF(104:104,C31,105:105)+100</f>
        <v>100</v>
      </c>
      <c r="K31" s="671"/>
      <c r="L31" s="1137"/>
      <c r="M31" s="1128"/>
      <c r="N31" s="1128"/>
      <c r="O31" s="1136"/>
      <c r="P31" s="3306"/>
      <c r="Q31" s="1805" t="str">
        <f t="shared" si="8"/>
        <v>临街状况</v>
      </c>
      <c r="R31" s="768" t="s">
        <v>17</v>
      </c>
      <c r="S31" s="769">
        <f t="shared" ref="S31:S45" si="10">F31</f>
        <v>100</v>
      </c>
      <c r="T31" s="768" t="s">
        <v>17</v>
      </c>
      <c r="U31" s="769">
        <f t="shared" ref="U31:U45" si="11">H31</f>
        <v>100</v>
      </c>
      <c r="V31" s="768" t="s">
        <v>17</v>
      </c>
      <c r="W31" s="769">
        <f t="shared" ref="W31:W45" si="12">J31</f>
        <v>100</v>
      </c>
      <c r="X31" s="1808"/>
      <c r="Y31" s="3306"/>
      <c r="Z31" s="1809" t="str">
        <f t="shared" ref="Z31:Z45" si="13">Q31</f>
        <v>临街状况</v>
      </c>
      <c r="AA31" s="1806">
        <f t="shared" si="3"/>
        <v>1</v>
      </c>
      <c r="AB31" s="1806">
        <f t="shared" si="4"/>
        <v>1</v>
      </c>
      <c r="AC31" s="1806">
        <f t="shared" si="5"/>
        <v>1</v>
      </c>
    </row>
    <row r="32" spans="1:29" ht="27">
      <c r="A32" s="427"/>
      <c r="B32" s="1379"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1"/>
      <c r="L32" s="1137"/>
      <c r="M32" s="1128"/>
      <c r="N32" s="1128"/>
      <c r="O32" s="1136"/>
      <c r="P32" s="3306"/>
      <c r="Q32" s="1805" t="str">
        <f t="shared" si="8"/>
        <v>毗邻道路的类型与等级</v>
      </c>
      <c r="R32" s="768" t="s">
        <v>17</v>
      </c>
      <c r="S32" s="769">
        <f t="shared" si="10"/>
        <v>100</v>
      </c>
      <c r="T32" s="768" t="s">
        <v>17</v>
      </c>
      <c r="U32" s="769">
        <f t="shared" si="11"/>
        <v>100</v>
      </c>
      <c r="V32" s="768" t="s">
        <v>17</v>
      </c>
      <c r="W32" s="769">
        <f t="shared" si="12"/>
        <v>100</v>
      </c>
      <c r="X32" s="1808"/>
      <c r="Y32" s="3306"/>
      <c r="Z32" s="1809" t="str">
        <f t="shared" si="13"/>
        <v>毗邻道路的类型与等级</v>
      </c>
      <c r="AA32" s="1806">
        <f t="shared" si="3"/>
        <v>1</v>
      </c>
      <c r="AB32" s="1806">
        <f t="shared" si="4"/>
        <v>1</v>
      </c>
      <c r="AC32" s="1806">
        <f t="shared" si="5"/>
        <v>1</v>
      </c>
    </row>
    <row r="33" spans="1:29" ht="15">
      <c r="A33" s="427"/>
      <c r="B33" s="455"/>
      <c r="C33" s="446"/>
      <c r="D33" s="447"/>
      <c r="E33" s="2604"/>
      <c r="F33" s="447"/>
      <c r="G33" s="2604"/>
      <c r="H33" s="447"/>
      <c r="I33" s="446"/>
      <c r="J33" s="447"/>
      <c r="K33" s="612"/>
      <c r="L33" s="1137"/>
      <c r="M33" s="1128"/>
      <c r="N33" s="1128"/>
      <c r="O33" s="1136"/>
      <c r="P33" s="3306"/>
      <c r="Q33" s="1805"/>
      <c r="R33" s="768"/>
      <c r="S33" s="769"/>
      <c r="T33" s="768"/>
      <c r="U33" s="769"/>
      <c r="V33" s="768"/>
      <c r="W33" s="769"/>
      <c r="X33" s="1808"/>
      <c r="Y33" s="3306"/>
      <c r="Z33" s="1809"/>
      <c r="AA33" s="1806">
        <v>1</v>
      </c>
      <c r="AB33" s="1806">
        <v>1</v>
      </c>
      <c r="AC33" s="1806">
        <v>1</v>
      </c>
    </row>
    <row r="34" spans="1:29" ht="15">
      <c r="A34" s="427"/>
      <c r="B34" s="421" t="s">
        <v>2748</v>
      </c>
      <c r="C34" s="615"/>
      <c r="D34" s="434">
        <v>100</v>
      </c>
      <c r="E34" s="632"/>
      <c r="F34" s="434">
        <f>SUMIF(108:108,E34,109:109)-SUMIF(108:108,C34,109:109)+100</f>
        <v>100</v>
      </c>
      <c r="G34" s="632"/>
      <c r="H34" s="434">
        <f>SUMIF(108:108,G34,109:109)-SUMIF(108:108,C34,109:109)+100</f>
        <v>100</v>
      </c>
      <c r="I34" s="615"/>
      <c r="J34" s="434">
        <f>SUMIF(108:108,I34,109:109)-SUMIF(108:108,C34,109:109)+100</f>
        <v>100</v>
      </c>
      <c r="K34" s="611"/>
      <c r="L34" s="1137"/>
      <c r="M34" s="1128"/>
      <c r="N34" s="1128"/>
      <c r="O34" s="1136"/>
      <c r="P34" s="3306"/>
      <c r="Q34" s="1805" t="str">
        <f t="shared" si="8"/>
        <v>土地级别</v>
      </c>
      <c r="R34" s="768" t="s">
        <v>17</v>
      </c>
      <c r="S34" s="769">
        <f t="shared" si="10"/>
        <v>100</v>
      </c>
      <c r="T34" s="768" t="s">
        <v>17</v>
      </c>
      <c r="U34" s="769">
        <f t="shared" si="11"/>
        <v>100</v>
      </c>
      <c r="V34" s="768" t="s">
        <v>17</v>
      </c>
      <c r="W34" s="769">
        <f t="shared" si="12"/>
        <v>100</v>
      </c>
      <c r="X34" s="1808"/>
      <c r="Y34" s="3306"/>
      <c r="Z34" s="1809" t="str">
        <f t="shared" si="13"/>
        <v>土地级别</v>
      </c>
      <c r="AA34" s="1806">
        <f t="shared" si="3"/>
        <v>1</v>
      </c>
      <c r="AB34" s="1806">
        <f t="shared" si="4"/>
        <v>1</v>
      </c>
      <c r="AC34" s="1806">
        <f t="shared" si="5"/>
        <v>1</v>
      </c>
    </row>
    <row r="35" spans="1:29" ht="15">
      <c r="A35" s="403"/>
      <c r="B35" s="1381">
        <v>111</v>
      </c>
      <c r="C35" s="672"/>
      <c r="D35" s="434">
        <v>100</v>
      </c>
      <c r="E35" s="476"/>
      <c r="F35" s="434">
        <f>SUMIF(110:110,E35,111:111)-SUMIF(110:110,C35,111:111)+100</f>
        <v>100</v>
      </c>
      <c r="G35" s="476"/>
      <c r="H35" s="434">
        <f>SUMIF(110:110,G35,111:111)-SUMIF(110:110,C35,111:111)+100</f>
        <v>100</v>
      </c>
      <c r="I35" s="672"/>
      <c r="J35" s="434">
        <f>SUMIF(110:110,I35,111:111)-SUMIF(110:110,C35,111:111)+100</f>
        <v>100</v>
      </c>
      <c r="K35" s="612"/>
      <c r="L35" s="1137"/>
      <c r="M35" s="1128"/>
      <c r="N35" s="1128"/>
      <c r="O35" s="1136"/>
      <c r="P35" s="3306"/>
      <c r="Q35" s="1805">
        <f t="shared" si="8"/>
        <v>111</v>
      </c>
      <c r="R35" s="768" t="s">
        <v>17</v>
      </c>
      <c r="S35" s="769">
        <f t="shared" si="10"/>
        <v>100</v>
      </c>
      <c r="T35" s="768" t="s">
        <v>17</v>
      </c>
      <c r="U35" s="769">
        <f t="shared" si="11"/>
        <v>100</v>
      </c>
      <c r="V35" s="768" t="s">
        <v>17</v>
      </c>
      <c r="W35" s="769">
        <f t="shared" si="12"/>
        <v>100</v>
      </c>
      <c r="X35" s="1808"/>
      <c r="Y35" s="3306"/>
      <c r="Z35" s="1809">
        <f t="shared" si="13"/>
        <v>111</v>
      </c>
      <c r="AA35" s="1806">
        <f t="shared" si="3"/>
        <v>1</v>
      </c>
      <c r="AB35" s="1806">
        <f t="shared" si="4"/>
        <v>1</v>
      </c>
      <c r="AC35" s="1806">
        <f t="shared" si="5"/>
        <v>1</v>
      </c>
    </row>
    <row r="36" spans="1:29" ht="15">
      <c r="A36" s="673"/>
      <c r="B36" s="1382">
        <v>111</v>
      </c>
      <c r="C36" s="672"/>
      <c r="D36" s="434">
        <v>100</v>
      </c>
      <c r="E36" s="476"/>
      <c r="F36" s="434">
        <f>SUMIF(112:112,E37,113:113)-SUMIF(112:112,C37,113:113)+100</f>
        <v>100</v>
      </c>
      <c r="G36" s="476"/>
      <c r="H36" s="434">
        <f>SUMIF(112:112,G36,113:113)-SUMIF(112:112,C36,113:113)+100</f>
        <v>100</v>
      </c>
      <c r="I36" s="672"/>
      <c r="J36" s="434">
        <f>SUMIF(112:112,I36,113:113)-SUMIF(112:112,C36,113:113)+100</f>
        <v>100</v>
      </c>
      <c r="K36" s="612"/>
      <c r="L36" s="1137"/>
      <c r="M36" s="1128"/>
      <c r="N36" s="1128"/>
      <c r="O36" s="1136"/>
      <c r="P36" s="3366" t="s">
        <v>2563</v>
      </c>
      <c r="Q36" s="1805">
        <f t="shared" si="8"/>
        <v>111</v>
      </c>
      <c r="R36" s="768" t="s">
        <v>17</v>
      </c>
      <c r="S36" s="769">
        <f t="shared" si="10"/>
        <v>100</v>
      </c>
      <c r="T36" s="768" t="s">
        <v>17</v>
      </c>
      <c r="U36" s="769">
        <f t="shared" si="11"/>
        <v>100</v>
      </c>
      <c r="V36" s="768" t="s">
        <v>17</v>
      </c>
      <c r="W36" s="769">
        <f t="shared" si="12"/>
        <v>100</v>
      </c>
      <c r="X36" s="1808"/>
      <c r="Y36" s="3310" t="s">
        <v>2563</v>
      </c>
      <c r="Z36" s="1809">
        <f t="shared" si="13"/>
        <v>111</v>
      </c>
      <c r="AA36" s="1806">
        <f t="shared" si="3"/>
        <v>1</v>
      </c>
      <c r="AB36" s="1806">
        <f t="shared" si="4"/>
        <v>1</v>
      </c>
      <c r="AC36" s="1806">
        <f t="shared" si="5"/>
        <v>1</v>
      </c>
    </row>
    <row r="37" spans="1:29" s="470" customFormat="1" ht="15.75" thickBot="1">
      <c r="A37" s="674"/>
      <c r="B37" s="1383">
        <v>111</v>
      </c>
      <c r="C37" s="676"/>
      <c r="D37" s="136">
        <v>100</v>
      </c>
      <c r="E37" s="699"/>
      <c r="F37" s="437">
        <f>SUMIF(114:114,E37,115:115)-SUMIF(114:114,C37,115:115)+100</f>
        <v>100</v>
      </c>
      <c r="G37" s="699"/>
      <c r="H37" s="437">
        <f>SUMIF(114:114,G37,115:115)-SUMIF(114:114,C37,115:115)+100</f>
        <v>100</v>
      </c>
      <c r="I37" s="676"/>
      <c r="J37" s="437">
        <f>SUMIF(114:114,I37,115:115)-SUMIF(114:114,C37,115:115)+100</f>
        <v>100</v>
      </c>
      <c r="K37" s="612"/>
      <c r="L37" s="1135"/>
      <c r="M37" s="1138"/>
      <c r="N37" s="1138"/>
      <c r="O37" s="1139"/>
      <c r="P37" s="3310"/>
      <c r="Q37" s="1805">
        <f t="shared" si="8"/>
        <v>111</v>
      </c>
      <c r="R37" s="771" t="s">
        <v>17</v>
      </c>
      <c r="S37" s="772">
        <f t="shared" si="10"/>
        <v>100</v>
      </c>
      <c r="T37" s="771" t="s">
        <v>17</v>
      </c>
      <c r="U37" s="772">
        <f t="shared" si="11"/>
        <v>100</v>
      </c>
      <c r="V37" s="771" t="s">
        <v>17</v>
      </c>
      <c r="W37" s="772">
        <f t="shared" si="12"/>
        <v>100</v>
      </c>
      <c r="X37" s="773"/>
      <c r="Y37" s="3310"/>
      <c r="Z37" s="774">
        <f t="shared" si="13"/>
        <v>111</v>
      </c>
      <c r="AA37" s="1806">
        <f t="shared" si="3"/>
        <v>1</v>
      </c>
      <c r="AB37" s="1806">
        <f t="shared" si="4"/>
        <v>1</v>
      </c>
      <c r="AC37" s="1806">
        <f t="shared" si="5"/>
        <v>1</v>
      </c>
    </row>
    <row r="38" spans="1:29" ht="15">
      <c r="A38" s="471" t="s">
        <v>2561</v>
      </c>
      <c r="B38" s="455" t="s">
        <v>2749</v>
      </c>
      <c r="C38" s="677"/>
      <c r="D38" s="466">
        <v>100</v>
      </c>
      <c r="E38" s="677"/>
      <c r="F38" s="466" t="e">
        <f>LOOKUP(E38,117:117,118:118)-LOOKUP(C38,117:117,118:118)+100</f>
        <v>#N/A</v>
      </c>
      <c r="G38" s="677"/>
      <c r="H38" s="466" t="e">
        <f>LOOKUP(G38,117:117,118:118)-LOOKUP(C38,117:117,118:118)+100</f>
        <v>#N/A</v>
      </c>
      <c r="I38" s="529"/>
      <c r="J38" s="466" t="e">
        <f>LOOKUP(I38,117:117,118:118)-LOOKUP(C38,117:117,118:118)+100</f>
        <v>#N/A</v>
      </c>
      <c r="K38" s="612"/>
      <c r="L38" s="1137"/>
      <c r="M38" s="1128"/>
      <c r="N38" s="1128"/>
      <c r="O38" s="1136"/>
      <c r="P38" s="3310"/>
      <c r="Q38" s="1805" t="str">
        <f>B38</f>
        <v>宗地面积</v>
      </c>
      <c r="R38" s="768" t="s">
        <v>17</v>
      </c>
      <c r="S38" s="769" t="e">
        <f t="shared" si="10"/>
        <v>#N/A</v>
      </c>
      <c r="T38" s="768" t="s">
        <v>17</v>
      </c>
      <c r="U38" s="769" t="e">
        <f t="shared" si="11"/>
        <v>#N/A</v>
      </c>
      <c r="V38" s="768" t="s">
        <v>17</v>
      </c>
      <c r="W38" s="769" t="e">
        <f t="shared" si="12"/>
        <v>#N/A</v>
      </c>
      <c r="X38" s="1808"/>
      <c r="Y38" s="3310"/>
      <c r="Z38" s="1809" t="str">
        <f t="shared" si="13"/>
        <v>宗地面积</v>
      </c>
      <c r="AA38" s="1806" t="e">
        <f t="shared" si="3"/>
        <v>#N/A</v>
      </c>
      <c r="AB38" s="1806" t="e">
        <f t="shared" si="4"/>
        <v>#N/A</v>
      </c>
      <c r="AC38" s="1806" t="e">
        <f t="shared" si="5"/>
        <v>#N/A</v>
      </c>
    </row>
    <row r="39" spans="1:29" ht="15">
      <c r="A39" s="471"/>
      <c r="B39" s="421" t="s">
        <v>2750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310"/>
      <c r="Q39" s="1805" t="str">
        <f t="shared" ref="Q39:Q45" si="14">B39</f>
        <v>宗地形状</v>
      </c>
      <c r="R39" s="768" t="s">
        <v>17</v>
      </c>
      <c r="S39" s="769">
        <f t="shared" si="10"/>
        <v>100</v>
      </c>
      <c r="T39" s="768" t="s">
        <v>17</v>
      </c>
      <c r="U39" s="769">
        <f t="shared" si="11"/>
        <v>100</v>
      </c>
      <c r="V39" s="768" t="s">
        <v>17</v>
      </c>
      <c r="W39" s="769">
        <f t="shared" si="12"/>
        <v>100</v>
      </c>
      <c r="X39" s="1808"/>
      <c r="Y39" s="3310"/>
      <c r="Z39" s="1809" t="str">
        <f t="shared" si="13"/>
        <v>宗地形状</v>
      </c>
      <c r="AA39" s="1806">
        <f t="shared" si="3"/>
        <v>1</v>
      </c>
      <c r="AB39" s="1806">
        <f t="shared" si="4"/>
        <v>1</v>
      </c>
      <c r="AC39" s="1806">
        <f t="shared" si="5"/>
        <v>1</v>
      </c>
    </row>
    <row r="40" spans="1:29" ht="15">
      <c r="A40" s="471"/>
      <c r="B40" s="421" t="s">
        <v>2751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310"/>
      <c r="Q40" s="1805" t="str">
        <f t="shared" si="14"/>
        <v>临街宽度及深度</v>
      </c>
      <c r="R40" s="768" t="s">
        <v>17</v>
      </c>
      <c r="S40" s="769">
        <f t="shared" si="10"/>
        <v>100</v>
      </c>
      <c r="T40" s="768" t="s">
        <v>17</v>
      </c>
      <c r="U40" s="769">
        <f t="shared" si="11"/>
        <v>100</v>
      </c>
      <c r="V40" s="768" t="s">
        <v>17</v>
      </c>
      <c r="W40" s="769">
        <f t="shared" si="12"/>
        <v>100</v>
      </c>
      <c r="X40" s="1808"/>
      <c r="Y40" s="3310"/>
      <c r="Z40" s="1809" t="str">
        <f t="shared" si="13"/>
        <v>临街宽度及深度</v>
      </c>
      <c r="AA40" s="1806">
        <f t="shared" si="3"/>
        <v>1</v>
      </c>
      <c r="AB40" s="1806">
        <f t="shared" si="4"/>
        <v>1</v>
      </c>
      <c r="AC40" s="1806">
        <f t="shared" si="5"/>
        <v>1</v>
      </c>
    </row>
    <row r="41" spans="1:29" s="116" customFormat="1" ht="15">
      <c r="A41" s="472"/>
      <c r="B41" s="421" t="s">
        <v>2752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310"/>
      <c r="Q41" s="1805" t="str">
        <f t="shared" si="14"/>
        <v>宗地开发程度</v>
      </c>
      <c r="R41" s="764" t="s">
        <v>17</v>
      </c>
      <c r="S41" s="765">
        <f t="shared" si="10"/>
        <v>100</v>
      </c>
      <c r="T41" s="764" t="s">
        <v>17</v>
      </c>
      <c r="U41" s="765">
        <f t="shared" si="11"/>
        <v>100</v>
      </c>
      <c r="V41" s="764" t="s">
        <v>17</v>
      </c>
      <c r="W41" s="765">
        <f t="shared" si="12"/>
        <v>100</v>
      </c>
      <c r="X41" s="766"/>
      <c r="Y41" s="3310"/>
      <c r="Z41" s="54" t="str">
        <f t="shared" si="13"/>
        <v>宗地开发程度</v>
      </c>
      <c r="AA41" s="767">
        <f t="shared" si="3"/>
        <v>1</v>
      </c>
      <c r="AB41" s="767">
        <f t="shared" si="4"/>
        <v>1</v>
      </c>
      <c r="AC41" s="767">
        <f t="shared" si="5"/>
        <v>1</v>
      </c>
    </row>
    <row r="42" spans="1:29" ht="15">
      <c r="A42" s="471"/>
      <c r="B42" s="421" t="s">
        <v>2753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310" t="s">
        <v>2563</v>
      </c>
      <c r="Q42" s="1805" t="str">
        <f t="shared" si="14"/>
        <v>工程地质条件</v>
      </c>
      <c r="R42" s="768" t="s">
        <v>17</v>
      </c>
      <c r="S42" s="769">
        <f t="shared" si="10"/>
        <v>100</v>
      </c>
      <c r="T42" s="768" t="s">
        <v>17</v>
      </c>
      <c r="U42" s="769">
        <f t="shared" si="11"/>
        <v>100</v>
      </c>
      <c r="V42" s="768" t="s">
        <v>17</v>
      </c>
      <c r="W42" s="769">
        <f t="shared" si="12"/>
        <v>100</v>
      </c>
      <c r="X42" s="1808"/>
      <c r="Y42" s="3310" t="s">
        <v>2563</v>
      </c>
      <c r="Z42" s="1809" t="str">
        <f t="shared" si="13"/>
        <v>工程地质条件</v>
      </c>
      <c r="AA42" s="1806">
        <f t="shared" si="3"/>
        <v>1</v>
      </c>
      <c r="AB42" s="1806">
        <f t="shared" si="4"/>
        <v>1</v>
      </c>
      <c r="AC42" s="1806">
        <f t="shared" si="5"/>
        <v>1</v>
      </c>
    </row>
    <row r="43" spans="1:29" ht="15">
      <c r="A43" s="471"/>
      <c r="B43" s="1382">
        <v>111</v>
      </c>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37"/>
      <c r="M43" s="1128"/>
      <c r="N43" s="1128"/>
      <c r="O43" s="1136"/>
      <c r="P43" s="3310"/>
      <c r="Q43" s="1805">
        <f t="shared" si="14"/>
        <v>111</v>
      </c>
      <c r="R43" s="768" t="s">
        <v>17</v>
      </c>
      <c r="S43" s="769">
        <f t="shared" si="10"/>
        <v>100</v>
      </c>
      <c r="T43" s="768" t="s">
        <v>17</v>
      </c>
      <c r="U43" s="769">
        <f t="shared" si="11"/>
        <v>100</v>
      </c>
      <c r="V43" s="768" t="s">
        <v>17</v>
      </c>
      <c r="W43" s="769">
        <f t="shared" si="12"/>
        <v>100</v>
      </c>
      <c r="X43" s="1808"/>
      <c r="Y43" s="3310"/>
      <c r="Z43" s="1809">
        <f t="shared" si="13"/>
        <v>111</v>
      </c>
      <c r="AA43" s="1806">
        <f t="shared" si="3"/>
        <v>1</v>
      </c>
      <c r="AB43" s="1806">
        <f t="shared" si="4"/>
        <v>1</v>
      </c>
      <c r="AC43" s="1806">
        <f t="shared" si="5"/>
        <v>1</v>
      </c>
    </row>
    <row r="44" spans="1:29" ht="15">
      <c r="A44" s="471"/>
      <c r="B44" s="1382">
        <v>111</v>
      </c>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37"/>
      <c r="M44" s="1128"/>
      <c r="N44" s="1128"/>
      <c r="O44" s="1136"/>
      <c r="P44" s="3310"/>
      <c r="Q44" s="1805">
        <f t="shared" si="14"/>
        <v>111</v>
      </c>
      <c r="R44" s="768" t="s">
        <v>17</v>
      </c>
      <c r="S44" s="769">
        <f t="shared" si="10"/>
        <v>100</v>
      </c>
      <c r="T44" s="768" t="s">
        <v>17</v>
      </c>
      <c r="U44" s="769">
        <f t="shared" si="11"/>
        <v>100</v>
      </c>
      <c r="V44" s="768" t="s">
        <v>17</v>
      </c>
      <c r="W44" s="769">
        <f t="shared" si="12"/>
        <v>100</v>
      </c>
      <c r="X44" s="1808"/>
      <c r="Y44" s="3310"/>
      <c r="Z44" s="1809">
        <f t="shared" si="13"/>
        <v>111</v>
      </c>
      <c r="AA44" s="1806">
        <f t="shared" si="3"/>
        <v>1</v>
      </c>
      <c r="AB44" s="1806">
        <f t="shared" si="4"/>
        <v>1</v>
      </c>
      <c r="AC44" s="1806">
        <f t="shared" si="5"/>
        <v>1</v>
      </c>
    </row>
    <row r="45" spans="1:29" s="470" customFormat="1" ht="15.75" thickBot="1">
      <c r="A45" s="467"/>
      <c r="B45" s="1382">
        <v>111</v>
      </c>
      <c r="C45" s="2696"/>
      <c r="D45" s="678">
        <v>100</v>
      </c>
      <c r="E45" s="672"/>
      <c r="F45" s="437">
        <f>SUMIF(131:131,E45,132:132)-SUMIF(131:131,C45,132:132)+100</f>
        <v>100</v>
      </c>
      <c r="G45" s="672"/>
      <c r="H45" s="437">
        <f>SUMIF(131:131,G45,132:132)-SUMIF(131:131,C45,132:132)+100</f>
        <v>100</v>
      </c>
      <c r="I45" s="672"/>
      <c r="J45" s="437">
        <f>SUMIF(131:131,I45,132:132)-SUMIF(131:131,C45,132:132)+100</f>
        <v>100</v>
      </c>
      <c r="K45" s="679"/>
      <c r="L45" s="1135"/>
      <c r="M45" s="1138"/>
      <c r="N45" s="1138"/>
      <c r="O45" s="1139"/>
      <c r="P45" s="3310"/>
      <c r="Q45" s="1805">
        <f t="shared" si="14"/>
        <v>111</v>
      </c>
      <c r="R45" s="771" t="s">
        <v>17</v>
      </c>
      <c r="S45" s="772">
        <f t="shared" si="10"/>
        <v>100</v>
      </c>
      <c r="T45" s="771" t="s">
        <v>17</v>
      </c>
      <c r="U45" s="772">
        <f t="shared" si="11"/>
        <v>100</v>
      </c>
      <c r="V45" s="771" t="s">
        <v>17</v>
      </c>
      <c r="W45" s="772">
        <f t="shared" si="12"/>
        <v>100</v>
      </c>
      <c r="X45" s="773"/>
      <c r="Y45" s="3310"/>
      <c r="Z45" s="774">
        <f t="shared" si="13"/>
        <v>111</v>
      </c>
      <c r="AA45" s="1806">
        <f t="shared" si="3"/>
        <v>1</v>
      </c>
      <c r="AB45" s="1806">
        <f t="shared" si="4"/>
        <v>1</v>
      </c>
      <c r="AC45" s="1806">
        <f t="shared" si="5"/>
        <v>1</v>
      </c>
    </row>
    <row r="46" spans="1:29" ht="15">
      <c r="A46" s="478" t="s">
        <v>2718</v>
      </c>
      <c r="B46" s="2697" t="s">
        <v>2754</v>
      </c>
      <c r="C46" s="680" t="s">
        <v>1</v>
      </c>
      <c r="D46" s="480"/>
      <c r="E46" s="481"/>
      <c r="F46" s="482"/>
      <c r="G46" s="483"/>
      <c r="H46" s="484"/>
      <c r="I46" s="481"/>
      <c r="J46" s="484"/>
      <c r="K46" s="777"/>
      <c r="L46" s="1140"/>
      <c r="M46" s="1141"/>
      <c r="N46" s="1128"/>
      <c r="O46" s="1141"/>
      <c r="P46" s="3312" t="str">
        <f>A46</f>
        <v>成交单价</v>
      </c>
      <c r="Q46" s="3312"/>
      <c r="R46" s="3274">
        <f>E46</f>
        <v>0</v>
      </c>
      <c r="S46" s="3274"/>
      <c r="T46" s="3274">
        <f>G46</f>
        <v>0</v>
      </c>
      <c r="U46" s="3274"/>
      <c r="V46" s="3274">
        <f>I46</f>
        <v>0</v>
      </c>
      <c r="W46" s="3274"/>
      <c r="X46" s="753"/>
      <c r="Y46" s="775"/>
      <c r="Z46" s="753"/>
      <c r="AA46" s="753"/>
      <c r="AB46" s="753"/>
      <c r="AC46" s="753"/>
    </row>
    <row r="47" spans="1:29" ht="15.75" thickBot="1">
      <c r="A47" s="485" t="s">
        <v>2667</v>
      </c>
      <c r="B47" s="681"/>
      <c r="C47" s="489" t="e">
        <f>R48</f>
        <v>#DIV/0!</v>
      </c>
      <c r="D47" s="488"/>
      <c r="E47" s="489" t="e">
        <f>R47</f>
        <v>#DIV/0!</v>
      </c>
      <c r="F47" s="490"/>
      <c r="G47" s="487" t="e">
        <f>T47</f>
        <v>#DIV/0!</v>
      </c>
      <c r="H47" s="488"/>
      <c r="I47" s="489" t="e">
        <f>V47</f>
        <v>#DIV/0!</v>
      </c>
      <c r="J47" s="488"/>
      <c r="K47" s="778"/>
      <c r="L47" s="1140"/>
      <c r="M47" s="1141"/>
      <c r="N47" s="1141"/>
      <c r="O47" s="1141"/>
      <c r="P47" s="3312" t="str">
        <f>A47</f>
        <v>比较价值（元/平方米）</v>
      </c>
      <c r="Q47" s="3312"/>
      <c r="R47" s="3367" t="e">
        <f>ROUND(PRODUCT(R46,AA7:AA45),0)</f>
        <v>#DIV/0!</v>
      </c>
      <c r="S47" s="3367"/>
      <c r="T47" s="3367" t="e">
        <f>ROUND(PRODUCT(T46,AB7:AB45),0)</f>
        <v>#DIV/0!</v>
      </c>
      <c r="U47" s="3367"/>
      <c r="V47" s="3367" t="e">
        <f>ROUND(PRODUCT(V46,AC7:AC45),0)</f>
        <v>#DIV/0!</v>
      </c>
      <c r="W47" s="3367"/>
      <c r="X47" s="753"/>
      <c r="Y47" s="753"/>
      <c r="Z47" s="753"/>
      <c r="AA47" s="753"/>
      <c r="AB47" s="753"/>
      <c r="AC47" s="753"/>
    </row>
    <row r="48" spans="1:29" ht="15.75" thickBot="1">
      <c r="A48" s="491" t="s">
        <v>2755</v>
      </c>
      <c r="B48" s="492"/>
      <c r="C48" s="493" t="e">
        <f>R48</f>
        <v>#DIV/0!</v>
      </c>
      <c r="D48" s="493"/>
      <c r="E48" s="493"/>
      <c r="F48" s="493"/>
      <c r="G48" s="493"/>
      <c r="H48" s="493"/>
      <c r="I48" s="493"/>
      <c r="J48" s="493"/>
      <c r="K48" s="779"/>
      <c r="L48" s="1140"/>
      <c r="M48" s="1141"/>
      <c r="N48" s="1141"/>
      <c r="O48" s="1141"/>
      <c r="P48" s="3314" t="str">
        <f>A48</f>
        <v>估价对象XX用房的比较价值（楼面单价，元/平方米）</v>
      </c>
      <c r="Q48" s="3315"/>
      <c r="R48" s="3368" t="e">
        <f>ROUND(AVERAGE(R47:V47),0)</f>
        <v>#DIV/0!</v>
      </c>
      <c r="S48" s="3368"/>
      <c r="T48" s="3368"/>
      <c r="U48" s="3368"/>
      <c r="V48" s="3368"/>
      <c r="W48" s="3368"/>
      <c r="X48" s="753"/>
      <c r="Y48" s="753"/>
      <c r="Z48" s="753"/>
      <c r="AA48" s="753"/>
      <c r="AB48" s="753"/>
      <c r="AC48" s="753"/>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6"/>
      <c r="D54" s="754"/>
      <c r="E54" s="754"/>
      <c r="F54" s="754"/>
      <c r="G54" s="754"/>
      <c r="H54" s="754"/>
      <c r="I54" s="754"/>
      <c r="J54" s="754"/>
      <c r="K54" s="1145"/>
      <c r="L54" s="1146"/>
      <c r="M54" s="1142"/>
      <c r="N54" s="1142"/>
      <c r="O54" s="1142"/>
    </row>
    <row r="55" spans="1:15" ht="27" customHeight="1">
      <c r="A55" s="682" t="s">
        <v>2756</v>
      </c>
      <c r="B55" s="683" t="s">
        <v>2757</v>
      </c>
      <c r="C55" s="2698" t="s">
        <v>2758</v>
      </c>
      <c r="D55" s="2699" t="s">
        <v>2759</v>
      </c>
      <c r="E55" s="684" t="s">
        <v>2760</v>
      </c>
      <c r="F55" s="1104" t="s">
        <v>2761</v>
      </c>
      <c r="G55" s="3290" t="s">
        <v>2762</v>
      </c>
      <c r="H55" s="3369"/>
      <c r="I55" s="143" t="s">
        <v>2763</v>
      </c>
      <c r="J55" s="2700" t="str">
        <f>项目基本情况!F35</f>
        <v>湖北省武汉市</v>
      </c>
      <c r="K55" s="2701" t="s">
        <v>2764</v>
      </c>
      <c r="L55" s="1103"/>
      <c r="M55" s="1141"/>
      <c r="N55" s="1141"/>
      <c r="O55" s="1141"/>
    </row>
    <row r="56" spans="1:15" s="690" customFormat="1">
      <c r="A56" s="686" t="s">
        <v>2765</v>
      </c>
      <c r="B56" s="687" t="e">
        <f>C48</f>
        <v>#DIV/0!</v>
      </c>
      <c r="C56" s="688">
        <v>1</v>
      </c>
      <c r="D56" s="1160">
        <v>1</v>
      </c>
      <c r="E56" s="688">
        <f>'数据-汇总表'!E8+'数据-汇总表'!E9</f>
        <v>14099.390000000001</v>
      </c>
      <c r="F56" s="1100" t="e">
        <f t="shared" ref="F56:F65" si="15">ROUND(B56*E56/10000,0)</f>
        <v>#DIV/0!</v>
      </c>
      <c r="G56" s="3289"/>
      <c r="H56" s="3312"/>
      <c r="I56" s="1105">
        <v>1</v>
      </c>
      <c r="J56" s="1108">
        <v>1</v>
      </c>
      <c r="K56" s="1142"/>
      <c r="L56" s="938"/>
      <c r="M56" s="938"/>
      <c r="N56" s="938"/>
      <c r="O56" s="938"/>
    </row>
    <row r="57" spans="1:15" s="690" customFormat="1">
      <c r="A57" s="691" t="s">
        <v>2766</v>
      </c>
      <c r="B57" s="261" t="e">
        <f>ROUND($C$48*C57*D57,0)</f>
        <v>#DIV/0!</v>
      </c>
      <c r="C57" s="199">
        <f t="shared" ref="C57:C65" si="16">IF($C$55="北京市系数",I57,J57)</f>
        <v>0.8</v>
      </c>
      <c r="D57" s="1161">
        <v>0.25</v>
      </c>
      <c r="E57" s="692"/>
      <c r="F57" s="1100" t="e">
        <f t="shared" si="15"/>
        <v>#DIV/0!</v>
      </c>
      <c r="G57" s="3370" t="s">
        <v>2767</v>
      </c>
      <c r="H57" s="1101" t="str">
        <f>项目基本情况!B37</f>
        <v>一级</v>
      </c>
      <c r="I57" s="1105">
        <f>SUMIF(修正!A45:A56,H57,修正!B45:B56)</f>
        <v>0.8</v>
      </c>
      <c r="J57" s="1109"/>
      <c r="K57" s="1141"/>
      <c r="L57" s="938"/>
      <c r="M57" s="938"/>
      <c r="N57" s="938"/>
      <c r="O57" s="938"/>
    </row>
    <row r="58" spans="1:15" s="690" customFormat="1">
      <c r="A58" s="691" t="s">
        <v>2768</v>
      </c>
      <c r="B58" s="261" t="e">
        <f t="shared" ref="B58:B65" si="17">ROUND($C$48*C58*D58,0)</f>
        <v>#DIV/0!</v>
      </c>
      <c r="C58" s="199">
        <f t="shared" si="16"/>
        <v>0.5</v>
      </c>
      <c r="D58" s="1161">
        <v>0.25</v>
      </c>
      <c r="E58" s="692"/>
      <c r="F58" s="1100" t="e">
        <f t="shared" si="15"/>
        <v>#DIV/0!</v>
      </c>
      <c r="G58" s="3370"/>
      <c r="H58" s="1101" t="str">
        <f>项目基本情况!B37</f>
        <v>一级</v>
      </c>
      <c r="I58" s="1105">
        <f>SUMIF(修正!A45:A56,H58,修正!C45:C56)</f>
        <v>0.5</v>
      </c>
      <c r="J58" s="1109"/>
      <c r="K58" s="1142"/>
      <c r="L58" s="938"/>
      <c r="M58" s="938"/>
      <c r="N58" s="938"/>
      <c r="O58" s="938"/>
    </row>
    <row r="59" spans="1:15" s="690" customFormat="1">
      <c r="A59" s="691" t="s">
        <v>2769</v>
      </c>
      <c r="B59" s="261" t="e">
        <f t="shared" si="17"/>
        <v>#DIV/0!</v>
      </c>
      <c r="C59" s="199">
        <f t="shared" si="16"/>
        <v>0.36</v>
      </c>
      <c r="D59" s="1161">
        <v>0.25</v>
      </c>
      <c r="E59" s="692"/>
      <c r="F59" s="1100" t="e">
        <f t="shared" si="15"/>
        <v>#DIV/0!</v>
      </c>
      <c r="G59" s="3370"/>
      <c r="H59" s="1101" t="str">
        <f>项目基本情况!B37</f>
        <v>一级</v>
      </c>
      <c r="I59" s="1105">
        <f>SUMIF(修正!A45:A56,H59,修正!D45:D56)</f>
        <v>0.36</v>
      </c>
      <c r="J59" s="1109"/>
      <c r="K59" s="1141"/>
      <c r="L59" s="938"/>
      <c r="M59" s="938"/>
      <c r="N59" s="938"/>
      <c r="O59" s="938"/>
    </row>
    <row r="60" spans="1:15" s="690" customFormat="1">
      <c r="A60" s="691" t="s">
        <v>2770</v>
      </c>
      <c r="B60" s="261" t="e">
        <f t="shared" si="17"/>
        <v>#DIV/0!</v>
      </c>
      <c r="C60" s="199">
        <f t="shared" si="16"/>
        <v>0.3</v>
      </c>
      <c r="D60" s="1161">
        <v>0.25</v>
      </c>
      <c r="E60" s="692"/>
      <c r="F60" s="1100" t="e">
        <f t="shared" si="15"/>
        <v>#DIV/0!</v>
      </c>
      <c r="G60" s="3370"/>
      <c r="H60" s="1101" t="str">
        <f>项目基本情况!B37</f>
        <v>一级</v>
      </c>
      <c r="I60" s="1105">
        <f>SUMIF(修正!A45:A56,H60,修正!E45:E56)</f>
        <v>0.3</v>
      </c>
      <c r="J60" s="1109"/>
      <c r="K60" s="1142"/>
      <c r="L60" s="938"/>
      <c r="M60" s="938"/>
      <c r="N60" s="938"/>
      <c r="O60" s="938"/>
    </row>
    <row r="61" spans="1:15" s="690" customFormat="1">
      <c r="A61" s="691" t="s">
        <v>2771</v>
      </c>
      <c r="B61" s="261" t="e">
        <f t="shared" si="17"/>
        <v>#DIV/0!</v>
      </c>
      <c r="C61" s="199">
        <f t="shared" si="16"/>
        <v>0</v>
      </c>
      <c r="D61" s="1161">
        <v>0.25</v>
      </c>
      <c r="E61" s="260">
        <f>'数据-汇总表'!E11</f>
        <v>0</v>
      </c>
      <c r="F61" s="1100" t="e">
        <f t="shared" si="15"/>
        <v>#DIV/0!</v>
      </c>
      <c r="G61" s="2702" t="s">
        <v>2772</v>
      </c>
      <c r="H61" s="1101">
        <f>项目基本情况!C37</f>
        <v>0</v>
      </c>
      <c r="I61" s="1105">
        <f>SUMIF(修正!A45:A56,H61,修正!F45:F56)</f>
        <v>0</v>
      </c>
      <c r="J61" s="1109"/>
      <c r="K61" s="1141"/>
      <c r="L61" s="938"/>
      <c r="M61" s="938"/>
      <c r="N61" s="938"/>
      <c r="O61" s="938"/>
    </row>
    <row r="62" spans="1:15" s="690" customFormat="1">
      <c r="A62" s="691" t="s">
        <v>2773</v>
      </c>
      <c r="B62" s="261" t="e">
        <f t="shared" si="17"/>
        <v>#DIV/0!</v>
      </c>
      <c r="C62" s="199">
        <f t="shared" si="16"/>
        <v>0</v>
      </c>
      <c r="D62" s="1161">
        <v>0.25</v>
      </c>
      <c r="E62" s="260">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2775</v>
      </c>
      <c r="B63" s="261" t="e">
        <f t="shared" si="17"/>
        <v>#DIV/0!</v>
      </c>
      <c r="C63" s="199">
        <f t="shared" si="16"/>
        <v>0</v>
      </c>
      <c r="D63" s="1161">
        <v>0.25</v>
      </c>
      <c r="E63" s="260">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2777</v>
      </c>
      <c r="B64" s="261" t="e">
        <f t="shared" si="17"/>
        <v>#DIV/0!</v>
      </c>
      <c r="C64" s="199">
        <f t="shared" si="16"/>
        <v>0.25</v>
      </c>
      <c r="D64" s="1161">
        <v>0.25</v>
      </c>
      <c r="E64" s="260">
        <f>'数据-汇总表'!E14</f>
        <v>0</v>
      </c>
      <c r="F64" s="1100" t="e">
        <f t="shared" si="15"/>
        <v>#DIV/0!</v>
      </c>
      <c r="G64" s="2702" t="s">
        <v>2767</v>
      </c>
      <c r="H64" s="1101" t="str">
        <f>项目基本情况!B37</f>
        <v>一级</v>
      </c>
      <c r="I64" s="1105">
        <f>SUMIF(修正!A45:A56,H64,修正!H45:H56)</f>
        <v>0.25</v>
      </c>
      <c r="J64" s="1109"/>
      <c r="K64" s="1142"/>
      <c r="L64" s="938"/>
      <c r="M64" s="938"/>
      <c r="N64" s="938"/>
      <c r="O64" s="938"/>
    </row>
    <row r="65" spans="1:17" s="690" customFormat="1" ht="15" thickBot="1">
      <c r="A65" s="691" t="s">
        <v>2778</v>
      </c>
      <c r="B65" s="261" t="e">
        <f t="shared" si="17"/>
        <v>#DIV/0!</v>
      </c>
      <c r="C65" s="199">
        <f t="shared" si="16"/>
        <v>0</v>
      </c>
      <c r="D65" s="1161">
        <v>0.25</v>
      </c>
      <c r="E65" s="260">
        <f>'数据-汇总表'!E15</f>
        <v>0</v>
      </c>
      <c r="F65" s="1100" t="e">
        <f t="shared" si="15"/>
        <v>#DIV/0!</v>
      </c>
      <c r="G65" s="2703" t="s">
        <v>2772</v>
      </c>
      <c r="H65" s="1111">
        <f>项目基本情况!C37</f>
        <v>0</v>
      </c>
      <c r="I65" s="1107">
        <f>SUMIF(修正!A45:A56,H65,修正!H45:H56)</f>
        <v>0</v>
      </c>
      <c r="J65" s="1110"/>
      <c r="K65" s="1141"/>
      <c r="L65" s="938"/>
      <c r="M65" s="938"/>
      <c r="N65" s="938"/>
      <c r="O65" s="938"/>
    </row>
    <row r="66" spans="1:17" s="690" customFormat="1" ht="13.5" thickBot="1">
      <c r="A66" s="693" t="s">
        <v>2779</v>
      </c>
      <c r="B66" s="694" t="s">
        <v>28</v>
      </c>
      <c r="C66" s="694" t="s">
        <v>29</v>
      </c>
      <c r="D66" s="694" t="s">
        <v>1029</v>
      </c>
      <c r="E66" s="694">
        <f>IF(B46="楼面地价",SUM(E56:E65),'数据-汇总表'!D3)</f>
        <v>14099.390000000001</v>
      </c>
      <c r="F66" s="695" t="e">
        <f>IF(B46="楼面地价",SUM(F56:F65),ROUND(C48*E66/10000,0))</f>
        <v>#DIV/0!</v>
      </c>
      <c r="G66" s="781"/>
      <c r="H66" s="781"/>
      <c r="I66" s="781"/>
      <c r="J66" s="781"/>
      <c r="K66" s="1155"/>
      <c r="L66" s="938"/>
      <c r="M66" s="938"/>
      <c r="N66" s="938"/>
      <c r="O66" s="938"/>
    </row>
    <row r="67" spans="1:17">
      <c r="A67" s="753"/>
      <c r="B67" s="755"/>
      <c r="C67" s="756"/>
      <c r="D67" s="753"/>
      <c r="E67" s="753"/>
      <c r="F67" s="753"/>
      <c r="G67" s="753"/>
      <c r="H67" s="753"/>
      <c r="I67" s="753"/>
      <c r="J67" s="1141"/>
      <c r="K67" s="1102"/>
      <c r="L67" s="1103"/>
      <c r="M67" s="1141"/>
      <c r="N67" s="1141"/>
      <c r="O67" s="1141"/>
    </row>
    <row r="68" spans="1:17">
      <c r="A68" s="753"/>
      <c r="B68" s="755"/>
      <c r="C68" s="755" t="str">
        <f>YEAR(C7)&amp;"-"&amp;MONTH(C7)&amp;"-1"</f>
        <v>2018-4-1</v>
      </c>
      <c r="D68" s="755">
        <f>EDATE(C68,-3)</f>
        <v>43101</v>
      </c>
      <c r="E68" s="755">
        <f>EDATE(D68,-3)</f>
        <v>43009</v>
      </c>
      <c r="F68" s="755">
        <f t="shared" ref="F68:O68" si="18">EDATE(E68,-3)</f>
        <v>42917</v>
      </c>
      <c r="G68" s="755">
        <f t="shared" si="18"/>
        <v>42826</v>
      </c>
      <c r="H68" s="755">
        <f t="shared" si="18"/>
        <v>42736</v>
      </c>
      <c r="I68" s="755">
        <f t="shared" si="18"/>
        <v>42644</v>
      </c>
      <c r="J68" s="755">
        <f t="shared" si="18"/>
        <v>42552</v>
      </c>
      <c r="K68" s="755">
        <f t="shared" si="18"/>
        <v>42461</v>
      </c>
      <c r="L68" s="755">
        <f t="shared" si="18"/>
        <v>42370</v>
      </c>
      <c r="M68" s="755">
        <f t="shared" si="18"/>
        <v>42278</v>
      </c>
      <c r="N68" s="755">
        <f t="shared" si="18"/>
        <v>42186</v>
      </c>
      <c r="O68" s="755">
        <f t="shared" si="18"/>
        <v>42095</v>
      </c>
    </row>
    <row r="69" spans="1:17" ht="21.75" thickBot="1">
      <c r="A69" s="757" t="s">
        <v>2672</v>
      </c>
      <c r="B69" s="753"/>
      <c r="C69" s="758"/>
      <c r="D69" s="758"/>
      <c r="E69" s="758"/>
      <c r="F69" s="759"/>
      <c r="G69" s="759"/>
      <c r="H69" s="758"/>
      <c r="I69" s="758"/>
      <c r="J69" s="1156"/>
      <c r="K69" s="1157"/>
      <c r="L69" s="1158"/>
      <c r="M69" s="1156"/>
      <c r="N69" s="1156"/>
      <c r="O69" s="1156"/>
      <c r="P69" s="502"/>
      <c r="Q69" s="503"/>
    </row>
    <row r="70" spans="1:17" s="507" customFormat="1" ht="15">
      <c r="A70" s="2704" t="s">
        <v>2780</v>
      </c>
      <c r="B70" s="1354"/>
      <c r="C70" s="1567" t="str">
        <f>YEAR(C68)&amp;"-"&amp;ROUNDUP(MONTH(C68)/3,0)</f>
        <v>2018-2</v>
      </c>
      <c r="D70" s="1567" t="str">
        <f>YEAR(D68)&amp;"-"&amp;ROUNDUP(MONTH(D68)/3,0)</f>
        <v>2018-1</v>
      </c>
      <c r="E70" s="1567" t="str">
        <f t="shared" ref="E70:O70" si="19">YEAR(E68)&amp;"-"&amp;ROUNDUP(MONTH(E68)/3,0)</f>
        <v>2017-4</v>
      </c>
      <c r="F70" s="1567" t="str">
        <f t="shared" si="19"/>
        <v>2017-3</v>
      </c>
      <c r="G70" s="1567" t="str">
        <f t="shared" si="19"/>
        <v>2017-2</v>
      </c>
      <c r="H70" s="1567" t="str">
        <f t="shared" si="19"/>
        <v>2017-1</v>
      </c>
      <c r="I70" s="1567" t="str">
        <f t="shared" si="19"/>
        <v>2016-4</v>
      </c>
      <c r="J70" s="1567" t="str">
        <f t="shared" si="19"/>
        <v>2016-3</v>
      </c>
      <c r="K70" s="1567" t="str">
        <f t="shared" si="19"/>
        <v>2016-2</v>
      </c>
      <c r="L70" s="1567" t="str">
        <f t="shared" si="19"/>
        <v>2016-1</v>
      </c>
      <c r="M70" s="1567" t="str">
        <f t="shared" si="19"/>
        <v>2015-4</v>
      </c>
      <c r="N70" s="1567" t="str">
        <f t="shared" si="19"/>
        <v>2015-3</v>
      </c>
      <c r="O70" s="1567" t="str">
        <f t="shared" si="19"/>
        <v>2015-2</v>
      </c>
      <c r="P70" s="506"/>
    </row>
    <row r="71" spans="1:17" s="116" customFormat="1" ht="30" customHeight="1">
      <c r="A71" s="2705" t="s">
        <v>2781</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2"/>
      <c r="N71" s="594"/>
      <c r="O71" s="1563"/>
      <c r="P71" s="503"/>
    </row>
    <row r="72" spans="1:17" s="116" customFormat="1" ht="15.75" thickBot="1">
      <c r="A72" s="514" t="s">
        <v>2583</v>
      </c>
      <c r="B72" s="515"/>
      <c r="C72" s="516"/>
      <c r="D72" s="517"/>
      <c r="E72" s="517"/>
      <c r="F72" s="517"/>
      <c r="G72" s="517"/>
      <c r="H72" s="517"/>
      <c r="I72" s="517"/>
      <c r="J72" s="517"/>
      <c r="K72" s="517"/>
      <c r="L72" s="517"/>
      <c r="M72" s="518"/>
      <c r="N72" s="517"/>
      <c r="O72" s="1159"/>
      <c r="P72" s="503"/>
      <c r="Q72" s="503"/>
    </row>
    <row r="73" spans="1:17" s="116" customFormat="1" ht="15">
      <c r="A73" s="520" t="s">
        <v>2548</v>
      </c>
      <c r="B73" s="509"/>
      <c r="C73" s="521" t="s">
        <v>2650</v>
      </c>
      <c r="D73" s="522"/>
      <c r="E73" s="522"/>
      <c r="F73" s="522"/>
      <c r="G73" s="522"/>
      <c r="H73" s="522"/>
      <c r="I73" s="522"/>
      <c r="J73" s="522"/>
      <c r="K73" s="522"/>
      <c r="L73" s="523"/>
      <c r="M73" s="524"/>
      <c r="N73" s="1148"/>
      <c r="O73" s="1148"/>
      <c r="P73" s="525"/>
      <c r="Q73" s="503"/>
    </row>
    <row r="74" spans="1:17" s="116" customFormat="1" ht="15.75" thickBot="1">
      <c r="A74" s="520"/>
      <c r="B74" s="509"/>
      <c r="C74" s="637">
        <v>100</v>
      </c>
      <c r="D74" s="511"/>
      <c r="E74" s="511"/>
      <c r="F74" s="511"/>
      <c r="G74" s="511"/>
      <c r="H74" s="511"/>
      <c r="I74" s="511"/>
      <c r="J74" s="511"/>
      <c r="K74" s="511"/>
      <c r="L74" s="511"/>
      <c r="M74" s="513"/>
      <c r="N74" s="1148"/>
      <c r="O74" s="1148"/>
      <c r="P74" s="503"/>
      <c r="Q74" s="503"/>
    </row>
    <row r="75" spans="1:17">
      <c r="A75" s="526" t="s">
        <v>2586</v>
      </c>
      <c r="B75" s="527" t="s">
        <v>2552</v>
      </c>
      <c r="C75" s="529"/>
      <c r="D75" s="529"/>
      <c r="E75" s="529"/>
      <c r="F75" s="529"/>
      <c r="G75" s="529"/>
      <c r="H75" s="529"/>
      <c r="I75" s="529"/>
      <c r="J75" s="529"/>
      <c r="K75" s="530"/>
      <c r="L75" s="531"/>
      <c r="M75" s="532"/>
      <c r="N75" s="1149"/>
      <c r="O75" s="1149"/>
      <c r="P75" s="44"/>
      <c r="Q75" s="503"/>
    </row>
    <row r="76" spans="1:17" ht="15.75" thickBot="1">
      <c r="A76" s="533"/>
      <c r="B76" s="534"/>
      <c r="C76" s="535"/>
      <c r="D76" s="535"/>
      <c r="E76" s="535"/>
      <c r="F76" s="535"/>
      <c r="G76" s="535"/>
      <c r="H76" s="535"/>
      <c r="I76" s="535"/>
      <c r="J76" s="535"/>
      <c r="K76" s="535"/>
      <c r="L76" s="535"/>
      <c r="M76" s="536"/>
      <c r="N76" s="1150"/>
      <c r="O76" s="1150"/>
      <c r="P76" s="44"/>
      <c r="Q76" s="503"/>
    </row>
    <row r="77" spans="1:17" ht="27.75" thickTop="1">
      <c r="A77" s="533"/>
      <c r="B77" s="537" t="s">
        <v>2555</v>
      </c>
      <c r="C77" s="538"/>
      <c r="D77" s="538"/>
      <c r="E77" s="538"/>
      <c r="F77" s="538"/>
      <c r="G77" s="538"/>
      <c r="H77" s="538"/>
      <c r="I77" s="538"/>
      <c r="J77" s="538"/>
      <c r="K77" s="539"/>
      <c r="L77" s="540"/>
      <c r="M77" s="541"/>
      <c r="N77" s="1149"/>
      <c r="O77" s="1149"/>
      <c r="P77" s="44"/>
      <c r="Q77" s="503"/>
    </row>
    <row r="78" spans="1:17" ht="15.75" thickBot="1">
      <c r="A78" s="533"/>
      <c r="B78" s="542"/>
      <c r="C78" s="543"/>
      <c r="D78" s="543"/>
      <c r="E78" s="543"/>
      <c r="F78" s="543"/>
      <c r="G78" s="543"/>
      <c r="H78" s="543"/>
      <c r="I78" s="543"/>
      <c r="J78" s="543"/>
      <c r="K78" s="543"/>
      <c r="L78" s="543"/>
      <c r="M78" s="544"/>
      <c r="N78" s="1150"/>
      <c r="O78" s="1150"/>
      <c r="P78" s="44"/>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4"/>
      <c r="Q79" s="503"/>
    </row>
    <row r="80" spans="1:17" ht="15">
      <c r="A80" s="533"/>
      <c r="B80" s="547"/>
      <c r="C80" s="548"/>
      <c r="D80" s="548"/>
      <c r="E80" s="548"/>
      <c r="F80" s="548"/>
      <c r="G80" s="548"/>
      <c r="H80" s="548"/>
      <c r="I80" s="548"/>
      <c r="J80" s="548"/>
      <c r="K80" s="549"/>
      <c r="L80" s="550"/>
      <c r="M80" s="551"/>
      <c r="N80" s="1149"/>
      <c r="O80" s="1149"/>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4"/>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4"/>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49"/>
      <c r="O90" s="1149"/>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4"/>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49"/>
      <c r="O92" s="1149"/>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4"/>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49"/>
      <c r="O94" s="1149"/>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4"/>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6"/>
      <c r="M96" s="620"/>
      <c r="N96" s="1148"/>
      <c r="O96" s="1148"/>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4"/>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0"/>
      <c r="N98" s="1148"/>
      <c r="O98" s="1148"/>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4"/>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2653</v>
      </c>
      <c r="C102" s="658" t="s">
        <v>2673</v>
      </c>
      <c r="D102" s="658" t="s">
        <v>2674</v>
      </c>
      <c r="E102" s="658" t="s">
        <v>2675</v>
      </c>
      <c r="F102" s="658" t="s">
        <v>2676</v>
      </c>
      <c r="G102" s="658" t="s">
        <v>2677</v>
      </c>
      <c r="H102" s="599"/>
      <c r="I102" s="599"/>
      <c r="J102" s="599"/>
      <c r="K102" s="599"/>
      <c r="L102" s="599"/>
      <c r="M102" s="1380"/>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0"/>
      <c r="N103" s="1151"/>
      <c r="O103" s="1151"/>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49"/>
      <c r="O104" s="1149"/>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4"/>
      <c r="Q105" s="503"/>
    </row>
    <row r="106" spans="1:17" ht="27.75" thickTop="1">
      <c r="A106" s="533"/>
      <c r="B106" s="537" t="s">
        <v>2689</v>
      </c>
      <c r="C106" s="553"/>
      <c r="D106" s="553"/>
      <c r="E106" s="553"/>
      <c r="F106" s="553"/>
      <c r="G106" s="553"/>
      <c r="H106" s="582"/>
      <c r="I106" s="582"/>
      <c r="J106" s="582"/>
      <c r="K106" s="583"/>
      <c r="L106" s="584"/>
      <c r="M106" s="585"/>
      <c r="N106" s="1149"/>
      <c r="O106" s="1149"/>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4"/>
      <c r="Q107" s="503"/>
    </row>
    <row r="108" spans="1:17" ht="15.75" thickTop="1">
      <c r="A108" s="533"/>
      <c r="B108" s="537" t="s">
        <v>2748</v>
      </c>
      <c r="C108" s="582"/>
      <c r="D108" s="582"/>
      <c r="E108" s="582"/>
      <c r="F108" s="582"/>
      <c r="G108" s="582"/>
      <c r="H108" s="582"/>
      <c r="I108" s="582"/>
      <c r="J108" s="582"/>
      <c r="K108" s="583"/>
      <c r="L108" s="584"/>
      <c r="M108" s="585"/>
      <c r="N108" s="1149"/>
      <c r="O108" s="1149"/>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4"/>
      <c r="Q109" s="503"/>
    </row>
    <row r="110" spans="1:17" ht="15.75" thickTop="1">
      <c r="A110" s="533"/>
      <c r="B110" s="545">
        <f>B35</f>
        <v>111</v>
      </c>
      <c r="C110" s="553"/>
      <c r="D110" s="553"/>
      <c r="E110" s="553"/>
      <c r="F110" s="553"/>
      <c r="G110" s="586"/>
      <c r="H110" s="586"/>
      <c r="I110" s="586"/>
      <c r="J110" s="586"/>
      <c r="K110" s="587"/>
      <c r="L110" s="588"/>
      <c r="M110" s="589"/>
      <c r="N110" s="1149"/>
      <c r="O110" s="1149"/>
      <c r="P110" s="44"/>
      <c r="Q110" s="503"/>
    </row>
    <row r="111" spans="1:17" ht="15.75" thickBot="1">
      <c r="A111" s="533"/>
      <c r="B111" s="568"/>
      <c r="C111" s="559"/>
      <c r="D111" s="559"/>
      <c r="E111" s="559"/>
      <c r="F111" s="559"/>
      <c r="G111" s="590"/>
      <c r="H111" s="590"/>
      <c r="I111" s="590"/>
      <c r="J111" s="590"/>
      <c r="K111" s="590"/>
      <c r="L111" s="590"/>
      <c r="M111" s="591"/>
      <c r="N111" s="1150"/>
      <c r="O111" s="1150"/>
      <c r="P111" s="44"/>
      <c r="Q111" s="503"/>
    </row>
    <row r="112" spans="1:17" ht="15" thickTop="1">
      <c r="A112" s="673"/>
      <c r="B112" s="537">
        <f>B36</f>
        <v>111</v>
      </c>
      <c r="C112" s="522"/>
      <c r="D112" s="522"/>
      <c r="E112" s="522"/>
      <c r="F112" s="522"/>
      <c r="G112" s="582"/>
      <c r="H112" s="582"/>
      <c r="I112" s="582"/>
      <c r="J112" s="582"/>
      <c r="K112" s="583"/>
      <c r="L112" s="584"/>
      <c r="M112" s="585"/>
      <c r="N112" s="1149"/>
      <c r="O112" s="1149"/>
      <c r="P112" s="44"/>
      <c r="Q112" s="503"/>
    </row>
    <row r="113" spans="1:17" ht="15.75" thickBot="1">
      <c r="A113" s="533"/>
      <c r="B113" s="542"/>
      <c r="C113" s="569"/>
      <c r="D113" s="569"/>
      <c r="E113" s="569"/>
      <c r="F113" s="569"/>
      <c r="G113" s="535"/>
      <c r="H113" s="535"/>
      <c r="I113" s="535"/>
      <c r="J113" s="535"/>
      <c r="K113" s="535"/>
      <c r="L113" s="535"/>
      <c r="M113" s="536"/>
      <c r="N113" s="1150"/>
      <c r="O113" s="1150"/>
      <c r="P113" s="44"/>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5"/>
      <c r="E115" s="675"/>
      <c r="F115" s="675"/>
      <c r="G115" s="675"/>
      <c r="H115" s="675"/>
      <c r="I115" s="675"/>
      <c r="J115" s="675"/>
      <c r="K115" s="675"/>
      <c r="L115" s="675"/>
      <c r="M115" s="697"/>
      <c r="N115" s="1150"/>
      <c r="O115" s="1150"/>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4"/>
      <c r="Q116" s="503"/>
    </row>
    <row r="117" spans="1:17" ht="15">
      <c r="A117" s="533"/>
      <c r="B117" s="545"/>
      <c r="C117" s="594"/>
      <c r="D117" s="594"/>
      <c r="E117" s="594"/>
      <c r="F117" s="594"/>
      <c r="G117" s="594"/>
      <c r="H117" s="594"/>
      <c r="I117" s="594"/>
      <c r="J117" s="595"/>
      <c r="K117" s="595"/>
      <c r="L117" s="596"/>
      <c r="M117" s="597"/>
      <c r="N117" s="1149"/>
      <c r="O117" s="1149"/>
      <c r="P117" s="44"/>
      <c r="Q117" s="503"/>
    </row>
    <row r="118" spans="1:17" ht="15.75" thickBot="1">
      <c r="A118" s="533"/>
      <c r="B118" s="542"/>
      <c r="C118" s="569"/>
      <c r="D118" s="590"/>
      <c r="E118" s="590"/>
      <c r="F118" s="590"/>
      <c r="G118" s="590"/>
      <c r="H118" s="590"/>
      <c r="I118" s="590"/>
      <c r="J118" s="590"/>
      <c r="K118" s="590"/>
      <c r="L118" s="590"/>
      <c r="M118" s="591"/>
      <c r="N118" s="1150"/>
      <c r="O118" s="1150"/>
      <c r="P118" s="44"/>
      <c r="Q118" s="503"/>
    </row>
    <row r="119" spans="1:17" ht="15" thickTop="1">
      <c r="A119" s="598"/>
      <c r="B119" s="537" t="s">
        <v>2790</v>
      </c>
      <c r="C119" s="582"/>
      <c r="D119" s="582"/>
      <c r="E119" s="582"/>
      <c r="F119" s="582"/>
      <c r="G119" s="582"/>
      <c r="H119" s="582"/>
      <c r="I119" s="582"/>
      <c r="J119" s="582"/>
      <c r="K119" s="583"/>
      <c r="L119" s="584"/>
      <c r="M119" s="585"/>
      <c r="N119" s="1149"/>
      <c r="O119" s="1149"/>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4"/>
      <c r="Q120" s="503"/>
    </row>
    <row r="121" spans="1:17" ht="15" thickTop="1">
      <c r="A121" s="598"/>
      <c r="B121" s="537" t="s">
        <v>2791</v>
      </c>
      <c r="C121" s="553"/>
      <c r="D121" s="553"/>
      <c r="E121" s="553"/>
      <c r="F121" s="582"/>
      <c r="G121" s="582"/>
      <c r="H121" s="582"/>
      <c r="I121" s="582"/>
      <c r="J121" s="582"/>
      <c r="K121" s="583"/>
      <c r="L121" s="584"/>
      <c r="M121" s="585"/>
      <c r="N121" s="1149"/>
      <c r="O121" s="1149"/>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4"/>
      <c r="Q122" s="503"/>
    </row>
    <row r="123" spans="1:17" s="470" customFormat="1" ht="15" thickTop="1">
      <c r="A123" s="592"/>
      <c r="B123" s="537" t="s">
        <v>2792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2793</v>
      </c>
      <c r="C125" s="553"/>
      <c r="D125" s="553"/>
      <c r="E125" s="582"/>
      <c r="F125" s="582"/>
      <c r="G125" s="582"/>
      <c r="H125" s="582"/>
      <c r="I125" s="582"/>
      <c r="J125" s="582"/>
      <c r="K125" s="583"/>
      <c r="L125" s="584"/>
      <c r="M125" s="585"/>
      <c r="N125" s="1149"/>
      <c r="O125" s="1149"/>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4"/>
      <c r="Q126" s="503"/>
    </row>
    <row r="127" spans="1:17" ht="15" thickTop="1">
      <c r="A127" s="598"/>
      <c r="B127" s="537">
        <f>B43</f>
        <v>111</v>
      </c>
      <c r="C127" s="553"/>
      <c r="D127" s="553"/>
      <c r="E127" s="553"/>
      <c r="F127" s="553"/>
      <c r="G127" s="553"/>
      <c r="H127" s="582"/>
      <c r="I127" s="582"/>
      <c r="J127" s="582"/>
      <c r="K127" s="583"/>
      <c r="L127" s="584"/>
      <c r="M127" s="585"/>
      <c r="N127" s="1149"/>
      <c r="O127" s="1149"/>
      <c r="P127" s="44"/>
      <c r="Q127" s="503"/>
    </row>
    <row r="128" spans="1:17" ht="15.75" thickBot="1">
      <c r="A128" s="533"/>
      <c r="B128" s="542"/>
      <c r="C128" s="559"/>
      <c r="D128" s="559"/>
      <c r="E128" s="559"/>
      <c r="F128" s="559"/>
      <c r="G128" s="535"/>
      <c r="H128" s="535"/>
      <c r="I128" s="535"/>
      <c r="J128" s="535"/>
      <c r="K128" s="535"/>
      <c r="L128" s="535"/>
      <c r="M128" s="536"/>
      <c r="N128" s="1150"/>
      <c r="O128" s="1150"/>
      <c r="P128" s="44"/>
      <c r="Q128" s="503"/>
    </row>
    <row r="129" spans="1:17" ht="15" thickTop="1">
      <c r="A129" s="598"/>
      <c r="B129" s="537">
        <f>B44</f>
        <v>111</v>
      </c>
      <c r="C129" s="522"/>
      <c r="D129" s="522"/>
      <c r="E129" s="522"/>
      <c r="F129" s="522"/>
      <c r="G129" s="582"/>
      <c r="H129" s="582"/>
      <c r="I129" s="582"/>
      <c r="J129" s="582"/>
      <c r="K129" s="583"/>
      <c r="L129" s="584"/>
      <c r="M129" s="585"/>
      <c r="N129" s="1149"/>
      <c r="O129" s="1149"/>
      <c r="P129" s="44"/>
      <c r="Q129" s="503"/>
    </row>
    <row r="130" spans="1:17" ht="15.75" thickBot="1">
      <c r="A130" s="533"/>
      <c r="B130" s="542"/>
      <c r="C130" s="569"/>
      <c r="D130" s="569"/>
      <c r="E130" s="569"/>
      <c r="F130" s="569"/>
      <c r="G130" s="535"/>
      <c r="H130" s="535"/>
      <c r="I130" s="535"/>
      <c r="J130" s="535"/>
      <c r="K130" s="535"/>
      <c r="L130" s="535"/>
      <c r="M130" s="536"/>
      <c r="N130" s="1150"/>
      <c r="O130" s="1150"/>
      <c r="P130" s="44"/>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8"/>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49"/>
      <c r="E1" s="749"/>
      <c r="F1" s="748" t="s">
        <v>2641</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7" customFormat="1" ht="28.5" customHeight="1">
      <c r="A2" s="244" t="s">
        <v>2325</v>
      </c>
      <c r="B2" s="669" t="e">
        <f>F61</f>
        <v>#DIV/0!</v>
      </c>
      <c r="C2" s="1122"/>
      <c r="D2" s="1122"/>
      <c r="E2" s="1122"/>
      <c r="F2" s="1123"/>
      <c r="G2" s="1122"/>
      <c r="H2" s="1122"/>
      <c r="I2" s="1122"/>
      <c r="J2" s="1122"/>
      <c r="K2" s="1124"/>
      <c r="L2" s="1125"/>
      <c r="M2" s="1126"/>
      <c r="N2" s="1126"/>
      <c r="O2" s="1126"/>
      <c r="P2" s="762"/>
      <c r="Q2" s="762"/>
      <c r="R2" s="762"/>
      <c r="S2" s="762"/>
      <c r="T2" s="762"/>
      <c r="U2" s="762"/>
      <c r="V2" s="762"/>
      <c r="W2" s="762"/>
      <c r="X2" s="762"/>
      <c r="Y2" s="762"/>
      <c r="Z2" s="762"/>
      <c r="AA2" s="762"/>
      <c r="AB2" s="762"/>
      <c r="AC2" s="763"/>
    </row>
    <row r="3" spans="1:29" s="397" customFormat="1" ht="28.5" customHeight="1" thickBot="1">
      <c r="A3" s="246" t="s">
        <v>2327</v>
      </c>
      <c r="B3" s="608" t="e">
        <f>ROUND(IF(D3="",B2*10000/'数据-汇总表'!E3,B2*10000/D3),0)</f>
        <v>#DIV/0!</v>
      </c>
      <c r="C3" s="246" t="s">
        <v>2744</v>
      </c>
      <c r="D3" s="1578"/>
      <c r="E3" s="1122"/>
      <c r="F3" s="1123"/>
      <c r="G3" s="1122"/>
      <c r="H3" s="1122"/>
      <c r="I3" s="1122"/>
      <c r="J3" s="1122"/>
      <c r="K3" s="1124"/>
      <c r="L3" s="1125"/>
      <c r="M3" s="1126"/>
      <c r="N3" s="1126"/>
      <c r="O3" s="1126"/>
      <c r="P3" s="762"/>
      <c r="Q3" s="762"/>
      <c r="R3" s="762"/>
      <c r="S3" s="762"/>
      <c r="T3" s="762"/>
      <c r="U3" s="762"/>
      <c r="V3" s="762"/>
      <c r="W3" s="762"/>
      <c r="X3" s="762"/>
      <c r="Y3" s="762"/>
      <c r="Z3" s="762"/>
      <c r="AA3" s="762"/>
      <c r="AB3" s="780"/>
      <c r="AC3" s="776"/>
    </row>
    <row r="4" spans="1:29" ht="15">
      <c r="A4" s="400" t="s">
        <v>2643</v>
      </c>
      <c r="B4" s="401"/>
      <c r="C4" s="3290" t="s">
        <v>2644</v>
      </c>
      <c r="D4" s="3291"/>
      <c r="E4" s="3292" t="s">
        <v>2645</v>
      </c>
      <c r="F4" s="3293"/>
      <c r="G4" s="3290" t="s">
        <v>2646</v>
      </c>
      <c r="H4" s="3291"/>
      <c r="I4" s="3290" t="s">
        <v>2647</v>
      </c>
      <c r="J4" s="3291"/>
      <c r="K4" s="609" t="s">
        <v>2648</v>
      </c>
      <c r="L4" s="1127"/>
      <c r="M4" s="1128"/>
      <c r="N4" s="1128"/>
      <c r="O4" s="1128"/>
      <c r="P4" s="3294" t="s">
        <v>2649</v>
      </c>
      <c r="Q4" s="3295"/>
      <c r="R4" s="3277" t="s">
        <v>2645</v>
      </c>
      <c r="S4" s="3278"/>
      <c r="T4" s="3277" t="s">
        <v>2646</v>
      </c>
      <c r="U4" s="3278"/>
      <c r="V4" s="3274" t="s">
        <v>2647</v>
      </c>
      <c r="W4" s="3274"/>
      <c r="X4" s="1808"/>
      <c r="Y4" s="3277" t="s">
        <v>2649</v>
      </c>
      <c r="Z4" s="3278"/>
      <c r="AA4" s="3271" t="s">
        <v>2645</v>
      </c>
      <c r="AB4" s="3272" t="s">
        <v>2646</v>
      </c>
      <c r="AC4" s="3271" t="s">
        <v>2647</v>
      </c>
    </row>
    <row r="5" spans="1:29" ht="15">
      <c r="A5" s="403"/>
      <c r="B5" s="404"/>
      <c r="C5" s="3348" t="s">
        <v>2540</v>
      </c>
      <c r="D5" s="3284"/>
      <c r="E5" s="3347" t="s">
        <v>2541</v>
      </c>
      <c r="F5" s="3282"/>
      <c r="G5" s="3348" t="s">
        <v>2542</v>
      </c>
      <c r="H5" s="3284"/>
      <c r="I5" s="3348" t="s">
        <v>2543</v>
      </c>
      <c r="J5" s="3284"/>
      <c r="K5" s="609"/>
      <c r="L5" s="1127"/>
      <c r="M5" s="1128"/>
      <c r="N5" s="1128"/>
      <c r="O5" s="1128"/>
      <c r="P5" s="3296"/>
      <c r="Q5" s="3297"/>
      <c r="R5" s="3279"/>
      <c r="S5" s="3280"/>
      <c r="T5" s="3279"/>
      <c r="U5" s="3280"/>
      <c r="V5" s="3274"/>
      <c r="W5" s="3274"/>
      <c r="X5" s="1808"/>
      <c r="Y5" s="3279"/>
      <c r="Z5" s="3280"/>
      <c r="AA5" s="3272"/>
      <c r="AB5" s="3272"/>
      <c r="AC5" s="3272"/>
    </row>
    <row r="6" spans="1:29" ht="15.75" thickBot="1">
      <c r="A6" s="405"/>
      <c r="B6" s="406"/>
      <c r="C6" s="3371" t="s">
        <v>2795</v>
      </c>
      <c r="D6" s="3372"/>
      <c r="E6" s="3373" t="s">
        <v>2795</v>
      </c>
      <c r="F6" s="3374"/>
      <c r="G6" s="3371" t="s">
        <v>2795</v>
      </c>
      <c r="H6" s="3372"/>
      <c r="I6" s="3371" t="s">
        <v>2795</v>
      </c>
      <c r="J6" s="3372"/>
      <c r="K6" s="609" t="s">
        <v>2545</v>
      </c>
      <c r="L6" s="1127"/>
      <c r="M6" s="1128"/>
      <c r="N6" s="1128"/>
      <c r="O6" s="1128"/>
      <c r="P6" s="3298"/>
      <c r="Q6" s="3299"/>
      <c r="R6" s="3279"/>
      <c r="S6" s="3280"/>
      <c r="T6" s="3300"/>
      <c r="U6" s="3301"/>
      <c r="V6" s="3274"/>
      <c r="W6" s="3274"/>
      <c r="X6" s="1808"/>
      <c r="Y6" s="3300"/>
      <c r="Z6" s="3301"/>
      <c r="AA6" s="3273"/>
      <c r="AB6" s="3273"/>
      <c r="AC6" s="3273"/>
    </row>
    <row r="7" spans="1:29" s="116" customFormat="1" ht="15.75" thickBot="1">
      <c r="A7" s="407" t="s">
        <v>2546</v>
      </c>
      <c r="B7" s="408"/>
      <c r="C7" s="409">
        <f>'数据-取费表'!B2</f>
        <v>43209</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75" t="s">
        <v>2547</v>
      </c>
      <c r="Q7" s="3302"/>
      <c r="R7" s="764" t="s">
        <v>17</v>
      </c>
      <c r="S7" s="765">
        <f t="shared" ref="S7:S15" si="0">F7</f>
        <v>0</v>
      </c>
      <c r="T7" s="764" t="s">
        <v>17</v>
      </c>
      <c r="U7" s="765">
        <f t="shared" ref="U7:U15" si="1">H7</f>
        <v>0</v>
      </c>
      <c r="V7" s="764" t="s">
        <v>17</v>
      </c>
      <c r="W7" s="765">
        <f t="shared" ref="W7:W15" si="2">J7</f>
        <v>0</v>
      </c>
      <c r="X7" s="766"/>
      <c r="Y7" s="3275" t="s">
        <v>2547</v>
      </c>
      <c r="Z7" s="3276"/>
      <c r="AA7" s="767" t="e">
        <f>D7/F7</f>
        <v>#DIV/0!</v>
      </c>
      <c r="AB7" s="767" t="e">
        <f>D7/H7</f>
        <v>#DIV/0!</v>
      </c>
      <c r="AC7" s="767"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75" t="s">
        <v>2550</v>
      </c>
      <c r="Q8" s="3276"/>
      <c r="R8" s="764" t="s">
        <v>17</v>
      </c>
      <c r="S8" s="765">
        <f t="shared" si="0"/>
        <v>0</v>
      </c>
      <c r="T8" s="764" t="s">
        <v>17</v>
      </c>
      <c r="U8" s="765">
        <f t="shared" si="1"/>
        <v>0</v>
      </c>
      <c r="V8" s="764" t="s">
        <v>17</v>
      </c>
      <c r="W8" s="765">
        <f t="shared" si="2"/>
        <v>0</v>
      </c>
      <c r="X8" s="766"/>
      <c r="Y8" s="3275" t="s">
        <v>2550</v>
      </c>
      <c r="Z8" s="3276"/>
      <c r="AA8" s="767" t="e">
        <f t="shared" ref="AA8:AA40" si="3">D8/F8</f>
        <v>#DIV/0!</v>
      </c>
      <c r="AB8" s="767" t="e">
        <f t="shared" ref="AB8:AB40" si="4">D8/H8</f>
        <v>#DIV/0!</v>
      </c>
      <c r="AC8" s="767" t="e">
        <f t="shared" ref="AC8:AC40" si="5">D8/J8</f>
        <v>#DIV/0!</v>
      </c>
    </row>
    <row r="9" spans="1:29" s="116" customFormat="1">
      <c r="A9" s="414" t="s">
        <v>2551</v>
      </c>
      <c r="B9" s="70" t="s">
        <v>2552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312" t="s">
        <v>2553</v>
      </c>
      <c r="Q9" s="1790" t="str">
        <f t="shared" ref="Q9:Q15" si="6">B9</f>
        <v>用途</v>
      </c>
      <c r="R9" s="764" t="s">
        <v>17</v>
      </c>
      <c r="S9" s="765">
        <f t="shared" si="0"/>
        <v>100</v>
      </c>
      <c r="T9" s="764" t="s">
        <v>17</v>
      </c>
      <c r="U9" s="765">
        <f t="shared" si="1"/>
        <v>100</v>
      </c>
      <c r="V9" s="764" t="s">
        <v>17</v>
      </c>
      <c r="W9" s="765">
        <f t="shared" si="2"/>
        <v>100</v>
      </c>
      <c r="X9" s="766"/>
      <c r="Y9" s="3151" t="s">
        <v>2554</v>
      </c>
      <c r="Z9" s="54" t="str">
        <f t="shared" ref="Z9:Z15" si="7">Q9</f>
        <v>用途</v>
      </c>
      <c r="AA9" s="767">
        <f t="shared" si="3"/>
        <v>1</v>
      </c>
      <c r="AB9" s="767">
        <f t="shared" si="4"/>
        <v>1</v>
      </c>
      <c r="AC9" s="767">
        <f t="shared" si="5"/>
        <v>1</v>
      </c>
    </row>
    <row r="10" spans="1:29" s="426" customFormat="1" ht="27">
      <c r="A10" s="420"/>
      <c r="B10" s="421" t="s">
        <v>2555</v>
      </c>
      <c r="C10" s="431"/>
      <c r="D10" s="135">
        <v>100</v>
      </c>
      <c r="E10" s="431"/>
      <c r="F10" s="135">
        <f>ROUND(100/'数据-取费表'!G16,0)</f>
        <v>120</v>
      </c>
      <c r="G10" s="431"/>
      <c r="H10" s="135">
        <f>ROUND(100/'数据-取费表'!G16,0)</f>
        <v>120</v>
      </c>
      <c r="I10" s="431"/>
      <c r="J10" s="135">
        <f>ROUND(100/'数据-取费表'!G16,0)</f>
        <v>120</v>
      </c>
      <c r="K10" s="670"/>
      <c r="L10" s="1132"/>
      <c r="M10" s="1133"/>
      <c r="N10" s="1133"/>
      <c r="O10" s="1134"/>
      <c r="P10" s="3312"/>
      <c r="Q10" s="1790" t="str">
        <f t="shared" si="6"/>
        <v>土地使用年限（年）</v>
      </c>
      <c r="R10" s="764" t="s">
        <v>17</v>
      </c>
      <c r="S10" s="765">
        <f t="shared" si="0"/>
        <v>120</v>
      </c>
      <c r="T10" s="764" t="s">
        <v>17</v>
      </c>
      <c r="U10" s="765">
        <f t="shared" si="1"/>
        <v>120</v>
      </c>
      <c r="V10" s="764" t="s">
        <v>17</v>
      </c>
      <c r="W10" s="765">
        <f t="shared" si="2"/>
        <v>120</v>
      </c>
      <c r="X10" s="766"/>
      <c r="Y10" s="3151"/>
      <c r="Z10" s="54" t="str">
        <f t="shared" si="7"/>
        <v>土地使用年限（年）</v>
      </c>
      <c r="AA10" s="767">
        <f t="shared" si="3"/>
        <v>0.83333333333333337</v>
      </c>
      <c r="AB10" s="767">
        <f t="shared" si="4"/>
        <v>0.83333333333333337</v>
      </c>
      <c r="AC10" s="767">
        <f t="shared" si="5"/>
        <v>0.83333333333333337</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1"/>
      <c r="L11" s="1135"/>
      <c r="M11" s="1128"/>
      <c r="N11" s="1128"/>
      <c r="O11" s="1136"/>
      <c r="P11" s="3312"/>
      <c r="Q11" s="1790" t="str">
        <f t="shared" si="6"/>
        <v>容积率</v>
      </c>
      <c r="R11" s="764" t="s">
        <v>17</v>
      </c>
      <c r="S11" s="765" t="e">
        <f t="shared" si="0"/>
        <v>#N/A</v>
      </c>
      <c r="T11" s="764" t="s">
        <v>17</v>
      </c>
      <c r="U11" s="765" t="e">
        <f t="shared" si="1"/>
        <v>#N/A</v>
      </c>
      <c r="V11" s="764" t="s">
        <v>17</v>
      </c>
      <c r="W11" s="765" t="e">
        <f t="shared" si="2"/>
        <v>#N/A</v>
      </c>
      <c r="X11" s="766"/>
      <c r="Y11" s="3151"/>
      <c r="Z11" s="54" t="str">
        <f t="shared" si="7"/>
        <v>容积率</v>
      </c>
      <c r="AA11" s="767" t="e">
        <f t="shared" si="3"/>
        <v>#N/A</v>
      </c>
      <c r="AB11" s="767" t="e">
        <f t="shared" si="4"/>
        <v>#N/A</v>
      </c>
      <c r="AC11" s="767" t="e">
        <f t="shared" si="5"/>
        <v>#N/A</v>
      </c>
    </row>
    <row r="12" spans="1:29" s="116" customFormat="1" ht="15">
      <c r="A12" s="430"/>
      <c r="B12" s="2593">
        <v>111</v>
      </c>
      <c r="C12" s="431"/>
      <c r="D12" s="432">
        <v>100</v>
      </c>
      <c r="E12" s="548"/>
      <c r="F12" s="135">
        <f>SUMIF(77:77,E12,78:78)-SUMIF(77:77,C12,78:78)+100</f>
        <v>100</v>
      </c>
      <c r="G12" s="672"/>
      <c r="H12" s="135">
        <f>SUMIF(77:77,G12,78:78)-SUMIF(77:77,C12,78:78)+100</f>
        <v>100</v>
      </c>
      <c r="I12" s="548"/>
      <c r="J12" s="135">
        <f>SUMIF(77:77,I12,78:78)-SUMIF(77:77,C12,78:78)+100</f>
        <v>100</v>
      </c>
      <c r="K12" s="670"/>
      <c r="L12" s="1129"/>
      <c r="M12" s="1130"/>
      <c r="N12" s="1130"/>
      <c r="O12" s="1131"/>
      <c r="P12" s="3312"/>
      <c r="Q12" s="1790">
        <f t="shared" si="6"/>
        <v>111</v>
      </c>
      <c r="R12" s="764" t="s">
        <v>17</v>
      </c>
      <c r="S12" s="765">
        <f t="shared" si="0"/>
        <v>100</v>
      </c>
      <c r="T12" s="764" t="s">
        <v>17</v>
      </c>
      <c r="U12" s="765">
        <f t="shared" si="1"/>
        <v>100</v>
      </c>
      <c r="V12" s="764" t="s">
        <v>17</v>
      </c>
      <c r="W12" s="765">
        <f t="shared" si="2"/>
        <v>100</v>
      </c>
      <c r="X12" s="766"/>
      <c r="Y12" s="3151"/>
      <c r="Z12" s="54">
        <f t="shared" si="7"/>
        <v>111</v>
      </c>
      <c r="AA12" s="767">
        <f>D12/F12</f>
        <v>1</v>
      </c>
      <c r="AB12" s="767">
        <f>D12/H12</f>
        <v>1</v>
      </c>
      <c r="AC12" s="767">
        <f>D12/J12</f>
        <v>1</v>
      </c>
    </row>
    <row r="13" spans="1:29" ht="15">
      <c r="A13" s="427"/>
      <c r="B13" s="2593">
        <v>111</v>
      </c>
      <c r="C13" s="433"/>
      <c r="D13" s="434">
        <v>100</v>
      </c>
      <c r="E13" s="548"/>
      <c r="F13" s="135">
        <f>SUMIF(79:79,E13,80:80)-SUMIF(79:79,C13,80:80)+100</f>
        <v>100</v>
      </c>
      <c r="G13" s="672"/>
      <c r="H13" s="434">
        <f>SUMIF(79:79,G13,80:80)-SUMIF(79:79,C13,80:80)+100</f>
        <v>100</v>
      </c>
      <c r="I13" s="548"/>
      <c r="J13" s="434">
        <f>SUMIF(79:79,I13,80:80)-SUMIF(79:79,C13,80:80)+100</f>
        <v>100</v>
      </c>
      <c r="K13" s="670"/>
      <c r="L13" s="1137"/>
      <c r="M13" s="1128"/>
      <c r="N13" s="1128"/>
      <c r="O13" s="1136"/>
      <c r="P13" s="3312"/>
      <c r="Q13" s="1790">
        <f t="shared" si="6"/>
        <v>111</v>
      </c>
      <c r="R13" s="764" t="s">
        <v>17</v>
      </c>
      <c r="S13" s="765">
        <f t="shared" si="0"/>
        <v>100</v>
      </c>
      <c r="T13" s="764" t="s">
        <v>17</v>
      </c>
      <c r="U13" s="765">
        <f t="shared" si="1"/>
        <v>100</v>
      </c>
      <c r="V13" s="764" t="s">
        <v>17</v>
      </c>
      <c r="W13" s="765">
        <f t="shared" si="2"/>
        <v>100</v>
      </c>
      <c r="X13" s="766"/>
      <c r="Y13" s="3151"/>
      <c r="Z13" s="54">
        <f t="shared" si="7"/>
        <v>111</v>
      </c>
      <c r="AA13" s="767">
        <f t="shared" si="3"/>
        <v>1</v>
      </c>
      <c r="AB13" s="767">
        <f t="shared" si="4"/>
        <v>1</v>
      </c>
      <c r="AC13" s="767">
        <f t="shared" si="5"/>
        <v>1</v>
      </c>
    </row>
    <row r="14" spans="1:29" ht="15.75" thickBot="1">
      <c r="A14" s="435"/>
      <c r="B14" s="2595">
        <v>111</v>
      </c>
      <c r="C14" s="436"/>
      <c r="D14" s="437">
        <v>100</v>
      </c>
      <c r="E14" s="548"/>
      <c r="F14" s="437">
        <f>SUMIF(81:81,E14,82:82)-SUMIF(81:81,C14,82:82)+100</f>
        <v>100</v>
      </c>
      <c r="G14" s="672"/>
      <c r="H14" s="437">
        <f>SUMIF(81:81,G14,82:82)-SUMIF(81:81,C14,82:82)+100</f>
        <v>100</v>
      </c>
      <c r="I14" s="548"/>
      <c r="J14" s="437">
        <f>SUMIF(81:81,I14,82:82)-SUMIF(81:81,C14,82:82)+100</f>
        <v>100</v>
      </c>
      <c r="K14" s="670"/>
      <c r="L14" s="1137"/>
      <c r="M14" s="1128"/>
      <c r="N14" s="1128"/>
      <c r="O14" s="1136"/>
      <c r="P14" s="3312"/>
      <c r="Q14" s="1790">
        <f t="shared" si="6"/>
        <v>111</v>
      </c>
      <c r="R14" s="764" t="s">
        <v>17</v>
      </c>
      <c r="S14" s="765">
        <f t="shared" si="0"/>
        <v>100</v>
      </c>
      <c r="T14" s="764" t="s">
        <v>17</v>
      </c>
      <c r="U14" s="765">
        <f t="shared" si="1"/>
        <v>100</v>
      </c>
      <c r="V14" s="764" t="s">
        <v>17</v>
      </c>
      <c r="W14" s="765">
        <f t="shared" si="2"/>
        <v>100</v>
      </c>
      <c r="X14" s="766"/>
      <c r="Y14" s="3151"/>
      <c r="Z14" s="54">
        <f t="shared" si="7"/>
        <v>111</v>
      </c>
      <c r="AA14" s="767">
        <f t="shared" si="3"/>
        <v>1</v>
      </c>
      <c r="AB14" s="767">
        <f t="shared" si="4"/>
        <v>1</v>
      </c>
      <c r="AC14" s="767">
        <f t="shared" si="5"/>
        <v>1</v>
      </c>
    </row>
    <row r="15" spans="1:29" ht="57">
      <c r="A15" s="439" t="s">
        <v>2557</v>
      </c>
      <c r="B15" s="627" t="s">
        <v>2796</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37"/>
      <c r="M15" s="1128"/>
      <c r="N15" s="1128"/>
      <c r="O15" s="1136"/>
      <c r="P15" s="3305" t="s">
        <v>2558</v>
      </c>
      <c r="Q15" s="1805" t="str">
        <f t="shared" si="6"/>
        <v>产业集聚程度</v>
      </c>
      <c r="R15" s="768" t="s">
        <v>17</v>
      </c>
      <c r="S15" s="769">
        <f t="shared" si="0"/>
        <v>100</v>
      </c>
      <c r="T15" s="768" t="s">
        <v>17</v>
      </c>
      <c r="U15" s="769">
        <f t="shared" si="1"/>
        <v>100</v>
      </c>
      <c r="V15" s="768" t="s">
        <v>17</v>
      </c>
      <c r="W15" s="769">
        <f t="shared" si="2"/>
        <v>100</v>
      </c>
      <c r="X15" s="1808"/>
      <c r="Y15" s="3305" t="s">
        <v>2558</v>
      </c>
      <c r="Z15" s="1809" t="str">
        <f t="shared" si="7"/>
        <v>产业集聚程度</v>
      </c>
      <c r="AA15" s="1806">
        <f t="shared" si="3"/>
        <v>1</v>
      </c>
      <c r="AB15" s="1806">
        <f t="shared" si="4"/>
        <v>1</v>
      </c>
      <c r="AC15" s="1806">
        <f t="shared" si="5"/>
        <v>1</v>
      </c>
    </row>
    <row r="16" spans="1:29" ht="15">
      <c r="A16" s="427"/>
      <c r="B16" s="628"/>
      <c r="C16" s="446"/>
      <c r="D16" s="447"/>
      <c r="E16" s="2604"/>
      <c r="F16" s="447"/>
      <c r="G16" s="2604"/>
      <c r="H16" s="449"/>
      <c r="I16" s="2604"/>
      <c r="J16" s="447"/>
      <c r="K16" s="670"/>
      <c r="L16" s="1137"/>
      <c r="M16" s="1128"/>
      <c r="N16" s="1128"/>
      <c r="O16" s="1136"/>
      <c r="P16" s="3306"/>
      <c r="Q16" s="1805"/>
      <c r="R16" s="768"/>
      <c r="S16" s="769"/>
      <c r="T16" s="768"/>
      <c r="U16" s="769"/>
      <c r="V16" s="768"/>
      <c r="W16" s="769"/>
      <c r="X16" s="1808"/>
      <c r="Y16" s="3306"/>
      <c r="Z16" s="1809"/>
      <c r="AA16" s="1806">
        <v>1</v>
      </c>
      <c r="AB16" s="1806">
        <v>1</v>
      </c>
      <c r="AC16" s="1806">
        <v>1</v>
      </c>
    </row>
    <row r="17" spans="1:29" ht="85.5">
      <c r="A17" s="427"/>
      <c r="B17" s="629" t="s">
        <v>2707</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37"/>
      <c r="M17" s="1128"/>
      <c r="N17" s="1128"/>
      <c r="O17" s="1136"/>
      <c r="P17" s="3306"/>
      <c r="Q17" s="1805" t="str">
        <f>B17</f>
        <v>交通便捷度</v>
      </c>
      <c r="R17" s="768" t="s">
        <v>17</v>
      </c>
      <c r="S17" s="769">
        <f>F17</f>
        <v>100</v>
      </c>
      <c r="T17" s="768" t="s">
        <v>17</v>
      </c>
      <c r="U17" s="769">
        <f>H17</f>
        <v>100</v>
      </c>
      <c r="V17" s="768" t="s">
        <v>17</v>
      </c>
      <c r="W17" s="769">
        <f>J17</f>
        <v>100</v>
      </c>
      <c r="X17" s="1808"/>
      <c r="Y17" s="3306"/>
      <c r="Z17" s="1809" t="str">
        <f>Q17</f>
        <v>交通便捷度</v>
      </c>
      <c r="AA17" s="1806">
        <f t="shared" si="3"/>
        <v>1</v>
      </c>
      <c r="AB17" s="1806">
        <f t="shared" si="4"/>
        <v>1</v>
      </c>
      <c r="AC17" s="1806">
        <f t="shared" si="5"/>
        <v>1</v>
      </c>
    </row>
    <row r="18" spans="1:29" ht="15">
      <c r="A18" s="427"/>
      <c r="B18" s="630"/>
      <c r="C18" s="446"/>
      <c r="D18" s="447"/>
      <c r="E18" s="2598"/>
      <c r="F18" s="447"/>
      <c r="G18" s="2598"/>
      <c r="H18" s="447"/>
      <c r="I18" s="2597"/>
      <c r="J18" s="447"/>
      <c r="K18" s="670"/>
      <c r="L18" s="1137"/>
      <c r="M18" s="1128"/>
      <c r="N18" s="1128"/>
      <c r="O18" s="1136"/>
      <c r="P18" s="3306"/>
      <c r="Q18" s="1805"/>
      <c r="R18" s="768"/>
      <c r="S18" s="769"/>
      <c r="T18" s="768"/>
      <c r="U18" s="769"/>
      <c r="V18" s="768"/>
      <c r="W18" s="769"/>
      <c r="X18" s="1808"/>
      <c r="Y18" s="3306"/>
      <c r="Z18" s="1809"/>
      <c r="AA18" s="1806">
        <v>1</v>
      </c>
      <c r="AB18" s="1806">
        <v>1</v>
      </c>
      <c r="AC18" s="1806">
        <v>1</v>
      </c>
    </row>
    <row r="19" spans="1:29" ht="15">
      <c r="A19" s="427"/>
      <c r="B19" s="629" t="s">
        <v>2746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37"/>
      <c r="M19" s="1128"/>
      <c r="N19" s="1128"/>
      <c r="O19" s="1136"/>
      <c r="P19" s="3306"/>
      <c r="Q19" s="1805" t="str">
        <f t="shared" ref="Q19:Q33" si="8">B19</f>
        <v>区域土地利用方向</v>
      </c>
      <c r="R19" s="768" t="s">
        <v>17</v>
      </c>
      <c r="S19" s="769">
        <f>F19</f>
        <v>100</v>
      </c>
      <c r="T19" s="768" t="s">
        <v>17</v>
      </c>
      <c r="U19" s="769">
        <f>H19</f>
        <v>100</v>
      </c>
      <c r="V19" s="768" t="s">
        <v>17</v>
      </c>
      <c r="W19" s="769">
        <f>J19</f>
        <v>100</v>
      </c>
      <c r="X19" s="1808"/>
      <c r="Y19" s="3306"/>
      <c r="Z19" s="1809" t="str">
        <f>Q19</f>
        <v>区域土地利用方向</v>
      </c>
      <c r="AA19" s="1806">
        <f t="shared" si="3"/>
        <v>1</v>
      </c>
      <c r="AB19" s="1806">
        <f t="shared" si="4"/>
        <v>1</v>
      </c>
      <c r="AC19" s="1806">
        <f t="shared" si="5"/>
        <v>1</v>
      </c>
    </row>
    <row r="20" spans="1:29" ht="15">
      <c r="A20" s="403"/>
      <c r="B20" s="630"/>
      <c r="C20" s="446"/>
      <c r="D20" s="447"/>
      <c r="E20" s="2598"/>
      <c r="F20" s="447"/>
      <c r="G20" s="2598"/>
      <c r="H20" s="447"/>
      <c r="I20" s="2598"/>
      <c r="J20" s="447"/>
      <c r="K20" s="806"/>
      <c r="L20" s="1137"/>
      <c r="M20" s="1128"/>
      <c r="N20" s="1128"/>
      <c r="O20" s="1136"/>
      <c r="P20" s="3306"/>
      <c r="Q20" s="1805"/>
      <c r="R20" s="768"/>
      <c r="S20" s="769"/>
      <c r="T20" s="768"/>
      <c r="U20" s="769"/>
      <c r="V20" s="768"/>
      <c r="W20" s="769"/>
      <c r="X20" s="1808"/>
      <c r="Y20" s="3306"/>
      <c r="Z20" s="1809"/>
      <c r="AA20" s="1806"/>
      <c r="AB20" s="1806"/>
      <c r="AC20" s="1806"/>
    </row>
    <row r="21" spans="1:29" ht="71.25">
      <c r="A21" s="403"/>
      <c r="B21" s="629" t="s">
        <v>2797</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37"/>
      <c r="M21" s="1128"/>
      <c r="N21" s="1128"/>
      <c r="O21" s="1136"/>
      <c r="P21" s="3306"/>
      <c r="Q21" s="1805" t="str">
        <f t="shared" si="8"/>
        <v>环境状况</v>
      </c>
      <c r="R21" s="768" t="s">
        <v>17</v>
      </c>
      <c r="S21" s="769">
        <f>F21</f>
        <v>100</v>
      </c>
      <c r="T21" s="768" t="s">
        <v>17</v>
      </c>
      <c r="U21" s="769">
        <f>H21</f>
        <v>100</v>
      </c>
      <c r="V21" s="768" t="s">
        <v>17</v>
      </c>
      <c r="W21" s="769">
        <f>J21</f>
        <v>100</v>
      </c>
      <c r="X21" s="1808"/>
      <c r="Y21" s="3306"/>
      <c r="Z21" s="1809" t="str">
        <f>Q21</f>
        <v>环境状况</v>
      </c>
      <c r="AA21" s="1806">
        <f t="shared" si="3"/>
        <v>1</v>
      </c>
      <c r="AB21" s="1806">
        <f t="shared" si="4"/>
        <v>1</v>
      </c>
      <c r="AC21" s="1806">
        <f t="shared" si="5"/>
        <v>1</v>
      </c>
    </row>
    <row r="22" spans="1:29" ht="15">
      <c r="A22" s="403"/>
      <c r="B22" s="630"/>
      <c r="C22" s="446"/>
      <c r="D22" s="447"/>
      <c r="E22" s="2604"/>
      <c r="F22" s="447"/>
      <c r="G22" s="2604"/>
      <c r="H22" s="447"/>
      <c r="I22" s="446"/>
      <c r="J22" s="447"/>
      <c r="K22" s="670"/>
      <c r="L22" s="1137"/>
      <c r="M22" s="1128"/>
      <c r="N22" s="1128"/>
      <c r="O22" s="1136"/>
      <c r="P22" s="3306"/>
      <c r="Q22" s="1805"/>
      <c r="R22" s="768"/>
      <c r="S22" s="769"/>
      <c r="T22" s="768"/>
      <c r="U22" s="769"/>
      <c r="V22" s="768"/>
      <c r="W22" s="769"/>
      <c r="X22" s="1808"/>
      <c r="Y22" s="3306"/>
      <c r="Z22" s="1809"/>
      <c r="AA22" s="1806">
        <v>1</v>
      </c>
      <c r="AB22" s="1806">
        <v>1</v>
      </c>
      <c r="AC22" s="1806">
        <v>1</v>
      </c>
    </row>
    <row r="23" spans="1:29" s="116" customFormat="1" ht="42.75">
      <c r="A23" s="647"/>
      <c r="B23" s="631" t="s">
        <v>2652</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29"/>
      <c r="M23" s="1130"/>
      <c r="N23" s="1130"/>
      <c r="O23" s="1131"/>
      <c r="P23" s="3306"/>
      <c r="Q23" s="1790" t="str">
        <f t="shared" si="8"/>
        <v>公共配套设施</v>
      </c>
      <c r="R23" s="764" t="s">
        <v>17</v>
      </c>
      <c r="S23" s="765">
        <f>F23</f>
        <v>100</v>
      </c>
      <c r="T23" s="764" t="s">
        <v>17</v>
      </c>
      <c r="U23" s="765">
        <f>H23</f>
        <v>100</v>
      </c>
      <c r="V23" s="764" t="s">
        <v>17</v>
      </c>
      <c r="W23" s="765">
        <f>J23</f>
        <v>100</v>
      </c>
      <c r="X23" s="766"/>
      <c r="Y23" s="3306"/>
      <c r="Z23" s="54" t="str">
        <f>Q23</f>
        <v>公共配套设施</v>
      </c>
      <c r="AA23" s="1806">
        <f>D23/F23</f>
        <v>1</v>
      </c>
      <c r="AB23" s="1806">
        <f>D23/H23</f>
        <v>1</v>
      </c>
      <c r="AC23" s="1806">
        <f>D23/J23</f>
        <v>1</v>
      </c>
    </row>
    <row r="24" spans="1:29" s="116" customFormat="1" ht="15">
      <c r="A24" s="647"/>
      <c r="B24" s="630"/>
      <c r="C24" s="2693"/>
      <c r="D24" s="447"/>
      <c r="E24" s="2604"/>
      <c r="F24" s="447"/>
      <c r="G24" s="2604"/>
      <c r="H24" s="447"/>
      <c r="I24" s="446"/>
      <c r="J24" s="447"/>
      <c r="K24" s="670"/>
      <c r="L24" s="1129"/>
      <c r="M24" s="1130"/>
      <c r="N24" s="1130"/>
      <c r="O24" s="1131"/>
      <c r="P24" s="3306"/>
      <c r="Q24" s="1790"/>
      <c r="R24" s="764"/>
      <c r="S24" s="765"/>
      <c r="T24" s="764"/>
      <c r="U24" s="765"/>
      <c r="V24" s="764"/>
      <c r="W24" s="765"/>
      <c r="X24" s="766"/>
      <c r="Y24" s="3306"/>
      <c r="Z24" s="54"/>
      <c r="AA24" s="767">
        <v>1</v>
      </c>
      <c r="AB24" s="767">
        <v>1</v>
      </c>
      <c r="AC24" s="767">
        <v>1</v>
      </c>
    </row>
    <row r="25" spans="1:29" s="116" customFormat="1" ht="28.5">
      <c r="A25" s="647"/>
      <c r="B25" s="631" t="s">
        <v>2653</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29"/>
      <c r="M25" s="1130"/>
      <c r="N25" s="1130"/>
      <c r="O25" s="1131"/>
      <c r="P25" s="3306"/>
      <c r="Q25" s="1790" t="str">
        <f t="shared" ref="Q25" si="9">B25</f>
        <v>基础设施水平</v>
      </c>
      <c r="R25" s="764" t="s">
        <v>17</v>
      </c>
      <c r="S25" s="765">
        <f>F25</f>
        <v>100</v>
      </c>
      <c r="T25" s="764" t="s">
        <v>17</v>
      </c>
      <c r="U25" s="765">
        <f>H25</f>
        <v>100</v>
      </c>
      <c r="V25" s="764" t="s">
        <v>17</v>
      </c>
      <c r="W25" s="765">
        <f>J25</f>
        <v>100</v>
      </c>
      <c r="X25" s="766"/>
      <c r="Y25" s="3306"/>
      <c r="Z25" s="54" t="str">
        <f>Q25</f>
        <v>基础设施水平</v>
      </c>
      <c r="AA25" s="1806">
        <f>D25/F25</f>
        <v>1</v>
      </c>
      <c r="AB25" s="1806">
        <f>D25/H25</f>
        <v>1</v>
      </c>
      <c r="AC25" s="1806">
        <f>D25/J25</f>
        <v>1</v>
      </c>
    </row>
    <row r="26" spans="1:29" s="116" customFormat="1" ht="15">
      <c r="A26" s="647"/>
      <c r="B26" s="630"/>
      <c r="C26" s="2693"/>
      <c r="D26" s="447"/>
      <c r="E26" s="2694"/>
      <c r="F26" s="447"/>
      <c r="G26" s="2694"/>
      <c r="H26" s="447"/>
      <c r="I26" s="2694"/>
      <c r="J26" s="447"/>
      <c r="K26" s="670"/>
      <c r="L26" s="1129"/>
      <c r="M26" s="1130"/>
      <c r="N26" s="1130"/>
      <c r="O26" s="1131"/>
      <c r="P26" s="3306"/>
      <c r="Q26" s="1790"/>
      <c r="R26" s="764"/>
      <c r="S26" s="765"/>
      <c r="T26" s="764"/>
      <c r="U26" s="765"/>
      <c r="V26" s="764"/>
      <c r="W26" s="765"/>
      <c r="X26" s="766"/>
      <c r="Y26" s="3306"/>
      <c r="Z26" s="54"/>
      <c r="AA26" s="767">
        <v>1</v>
      </c>
      <c r="AB26" s="767">
        <v>1</v>
      </c>
      <c r="AC26" s="767">
        <v>1</v>
      </c>
    </row>
    <row r="27" spans="1:29" ht="15">
      <c r="A27" s="427"/>
      <c r="B27" s="630" t="s">
        <v>2654</v>
      </c>
      <c r="C27" s="615"/>
      <c r="D27" s="434">
        <v>100</v>
      </c>
      <c r="E27" s="632"/>
      <c r="F27" s="434">
        <f>SUMIF(95:95,E27,96:96)-SUMIF(95:95,C27,96:96)+100</f>
        <v>100</v>
      </c>
      <c r="G27" s="632"/>
      <c r="H27" s="434">
        <f>SUMIF(95:95,G27,96:96)-SUMIF(95:95,C27,96:96)+100</f>
        <v>100</v>
      </c>
      <c r="I27" s="632"/>
      <c r="J27" s="434">
        <f>SUMIF(95:95,I27,96:96)-SUMIF(95:95,C27,96:96)+100</f>
        <v>100</v>
      </c>
      <c r="K27" s="671"/>
      <c r="L27" s="1137"/>
      <c r="M27" s="1128"/>
      <c r="N27" s="1128"/>
      <c r="O27" s="1136"/>
      <c r="P27" s="3306"/>
      <c r="Q27" s="1805" t="str">
        <f t="shared" si="8"/>
        <v>临街状况</v>
      </c>
      <c r="R27" s="768" t="s">
        <v>17</v>
      </c>
      <c r="S27" s="769">
        <f t="shared" ref="S27:S40" si="10">F27</f>
        <v>100</v>
      </c>
      <c r="T27" s="768" t="s">
        <v>17</v>
      </c>
      <c r="U27" s="769">
        <f t="shared" ref="U27:U40" si="11">H27</f>
        <v>100</v>
      </c>
      <c r="V27" s="768" t="s">
        <v>17</v>
      </c>
      <c r="W27" s="769">
        <f t="shared" ref="W27:W40" si="12">J27</f>
        <v>100</v>
      </c>
      <c r="X27" s="1808"/>
      <c r="Y27" s="3306"/>
      <c r="Z27" s="1809" t="str">
        <f t="shared" ref="Z27:Z40" si="13">Q27</f>
        <v>临街状况</v>
      </c>
      <c r="AA27" s="1806">
        <f t="shared" si="3"/>
        <v>1</v>
      </c>
      <c r="AB27" s="1806">
        <f t="shared" si="4"/>
        <v>1</v>
      </c>
      <c r="AC27" s="1806">
        <f t="shared" si="5"/>
        <v>1</v>
      </c>
    </row>
    <row r="28" spans="1:29" ht="27">
      <c r="A28" s="427"/>
      <c r="B28" s="631" t="s">
        <v>2689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37"/>
      <c r="M28" s="1128"/>
      <c r="N28" s="1128"/>
      <c r="O28" s="1136"/>
      <c r="P28" s="3306"/>
      <c r="Q28" s="1805" t="str">
        <f t="shared" si="8"/>
        <v>毗邻道路的类型与等级</v>
      </c>
      <c r="R28" s="768" t="s">
        <v>17</v>
      </c>
      <c r="S28" s="769">
        <f t="shared" si="10"/>
        <v>100</v>
      </c>
      <c r="T28" s="768" t="s">
        <v>17</v>
      </c>
      <c r="U28" s="769">
        <f t="shared" si="11"/>
        <v>100</v>
      </c>
      <c r="V28" s="768" t="s">
        <v>17</v>
      </c>
      <c r="W28" s="769">
        <f t="shared" si="12"/>
        <v>100</v>
      </c>
      <c r="X28" s="1808"/>
      <c r="Y28" s="3306"/>
      <c r="Z28" s="1809" t="str">
        <f t="shared" si="13"/>
        <v>毗邻道路的类型与等级</v>
      </c>
      <c r="AA28" s="1806">
        <f t="shared" si="3"/>
        <v>1</v>
      </c>
      <c r="AB28" s="1806">
        <f t="shared" si="4"/>
        <v>1</v>
      </c>
      <c r="AC28" s="1806">
        <f t="shared" si="5"/>
        <v>1</v>
      </c>
    </row>
    <row r="29" spans="1:29" ht="15">
      <c r="A29" s="427"/>
      <c r="B29" s="630"/>
      <c r="C29" s="446"/>
      <c r="D29" s="447"/>
      <c r="E29" s="2604"/>
      <c r="F29" s="447"/>
      <c r="G29" s="2604"/>
      <c r="H29" s="447"/>
      <c r="I29" s="2604"/>
      <c r="J29" s="447"/>
      <c r="K29" s="612"/>
      <c r="L29" s="1137"/>
      <c r="M29" s="1128"/>
      <c r="N29" s="1128"/>
      <c r="O29" s="1136"/>
      <c r="P29" s="3306"/>
      <c r="Q29" s="1805"/>
      <c r="R29" s="768"/>
      <c r="S29" s="769"/>
      <c r="T29" s="768"/>
      <c r="U29" s="769"/>
      <c r="V29" s="768"/>
      <c r="W29" s="769"/>
      <c r="X29" s="1808"/>
      <c r="Y29" s="3306"/>
      <c r="Z29" s="1809"/>
      <c r="AA29" s="1806">
        <v>1</v>
      </c>
      <c r="AB29" s="1806">
        <v>1</v>
      </c>
      <c r="AC29" s="1806">
        <v>1</v>
      </c>
    </row>
    <row r="30" spans="1:29" ht="15">
      <c r="A30" s="427"/>
      <c r="B30" s="652" t="s">
        <v>2748</v>
      </c>
      <c r="C30" s="1384">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37"/>
      <c r="M30" s="1128"/>
      <c r="N30" s="1128"/>
      <c r="O30" s="1136"/>
      <c r="P30" s="3306"/>
      <c r="Q30" s="1805" t="str">
        <f t="shared" si="8"/>
        <v>土地级别</v>
      </c>
      <c r="R30" s="768" t="s">
        <v>17</v>
      </c>
      <c r="S30" s="769">
        <f t="shared" si="10"/>
        <v>100</v>
      </c>
      <c r="T30" s="768" t="s">
        <v>17</v>
      </c>
      <c r="U30" s="769">
        <f t="shared" si="11"/>
        <v>100</v>
      </c>
      <c r="V30" s="768" t="s">
        <v>17</v>
      </c>
      <c r="W30" s="769">
        <f t="shared" si="12"/>
        <v>100</v>
      </c>
      <c r="X30" s="1808"/>
      <c r="Y30" s="3306"/>
      <c r="Z30" s="1809" t="str">
        <f t="shared" si="13"/>
        <v>土地级别</v>
      </c>
      <c r="AA30" s="1806">
        <f t="shared" si="3"/>
        <v>1</v>
      </c>
      <c r="AB30" s="1806">
        <f t="shared" si="4"/>
        <v>1</v>
      </c>
      <c r="AC30" s="1806">
        <f t="shared" si="5"/>
        <v>1</v>
      </c>
    </row>
    <row r="31" spans="1:29" ht="15">
      <c r="A31" s="403"/>
      <c r="B31" s="2671">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306"/>
      <c r="Q31" s="1805">
        <f t="shared" si="8"/>
        <v>111</v>
      </c>
      <c r="R31" s="768" t="s">
        <v>17</v>
      </c>
      <c r="S31" s="769">
        <f t="shared" si="10"/>
        <v>100</v>
      </c>
      <c r="T31" s="768" t="s">
        <v>17</v>
      </c>
      <c r="U31" s="769">
        <f t="shared" si="11"/>
        <v>100</v>
      </c>
      <c r="V31" s="768" t="s">
        <v>17</v>
      </c>
      <c r="W31" s="769">
        <f t="shared" si="12"/>
        <v>100</v>
      </c>
      <c r="X31" s="1808"/>
      <c r="Y31" s="3306"/>
      <c r="Z31" s="1809">
        <f t="shared" si="13"/>
        <v>111</v>
      </c>
      <c r="AA31" s="1806">
        <f t="shared" si="3"/>
        <v>1</v>
      </c>
      <c r="AB31" s="1806">
        <f t="shared" si="4"/>
        <v>1</v>
      </c>
      <c r="AC31" s="1806">
        <f t="shared" si="5"/>
        <v>1</v>
      </c>
    </row>
    <row r="32" spans="1:29" ht="15">
      <c r="A32" s="673"/>
      <c r="B32" s="2707">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37"/>
      <c r="M32" s="1128"/>
      <c r="N32" s="1128"/>
      <c r="O32" s="1136"/>
      <c r="P32" s="3366" t="s">
        <v>2563</v>
      </c>
      <c r="Q32" s="1805">
        <f t="shared" si="8"/>
        <v>111</v>
      </c>
      <c r="R32" s="768" t="s">
        <v>17</v>
      </c>
      <c r="S32" s="769">
        <f t="shared" si="10"/>
        <v>100</v>
      </c>
      <c r="T32" s="768" t="s">
        <v>17</v>
      </c>
      <c r="U32" s="769">
        <f t="shared" si="11"/>
        <v>100</v>
      </c>
      <c r="V32" s="768" t="s">
        <v>17</v>
      </c>
      <c r="W32" s="769">
        <f t="shared" si="12"/>
        <v>100</v>
      </c>
      <c r="X32" s="1808"/>
      <c r="Y32" s="3310" t="s">
        <v>2563</v>
      </c>
      <c r="Z32" s="1809">
        <f t="shared" si="13"/>
        <v>111</v>
      </c>
      <c r="AA32" s="1806">
        <f t="shared" si="3"/>
        <v>1</v>
      </c>
      <c r="AB32" s="1806">
        <f t="shared" si="4"/>
        <v>1</v>
      </c>
      <c r="AC32" s="1806">
        <f t="shared" si="5"/>
        <v>1</v>
      </c>
    </row>
    <row r="33" spans="1:29" s="470" customFormat="1" ht="15.75" thickBot="1">
      <c r="A33" s="674"/>
      <c r="B33" s="2708">
        <v>111</v>
      </c>
      <c r="C33" s="676"/>
      <c r="D33" s="136">
        <v>100</v>
      </c>
      <c r="E33" s="699"/>
      <c r="F33" s="437">
        <f>SUMIF(105:105,E33,106:106)-SUMIF(105:105,C33,106:106)+100</f>
        <v>100</v>
      </c>
      <c r="G33" s="699"/>
      <c r="H33" s="437">
        <f>SUMIF(105:105,G33,106:106)-SUMIF(105:105,C33,106:106)+100</f>
        <v>100</v>
      </c>
      <c r="I33" s="676"/>
      <c r="J33" s="437">
        <f>SUMIF(105:105,I33,106:106)-SUMIF(105:105,C33,106:106)+100</f>
        <v>100</v>
      </c>
      <c r="K33" s="612"/>
      <c r="L33" s="1135"/>
      <c r="M33" s="1138"/>
      <c r="N33" s="1138"/>
      <c r="O33" s="1139"/>
      <c r="P33" s="3310"/>
      <c r="Q33" s="1805">
        <f t="shared" si="8"/>
        <v>111</v>
      </c>
      <c r="R33" s="771" t="s">
        <v>17</v>
      </c>
      <c r="S33" s="772">
        <f t="shared" si="10"/>
        <v>100</v>
      </c>
      <c r="T33" s="771" t="s">
        <v>17</v>
      </c>
      <c r="U33" s="772">
        <f t="shared" si="11"/>
        <v>100</v>
      </c>
      <c r="V33" s="771" t="s">
        <v>17</v>
      </c>
      <c r="W33" s="772">
        <f t="shared" si="12"/>
        <v>100</v>
      </c>
      <c r="X33" s="773"/>
      <c r="Y33" s="3310"/>
      <c r="Z33" s="774">
        <f t="shared" si="13"/>
        <v>111</v>
      </c>
      <c r="AA33" s="1806">
        <f t="shared" si="3"/>
        <v>1</v>
      </c>
      <c r="AB33" s="1806">
        <f t="shared" si="4"/>
        <v>1</v>
      </c>
      <c r="AC33" s="1806">
        <f t="shared" si="5"/>
        <v>1</v>
      </c>
    </row>
    <row r="34" spans="1:29" ht="15">
      <c r="A34" s="439" t="s">
        <v>2561</v>
      </c>
      <c r="B34" s="455" t="s">
        <v>2749</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37"/>
      <c r="M34" s="1128"/>
      <c r="N34" s="1128"/>
      <c r="O34" s="1136"/>
      <c r="P34" s="3310"/>
      <c r="Q34" s="1805" t="str">
        <f>B34</f>
        <v>宗地面积</v>
      </c>
      <c r="R34" s="768" t="s">
        <v>17</v>
      </c>
      <c r="S34" s="769" t="e">
        <f t="shared" si="10"/>
        <v>#N/A</v>
      </c>
      <c r="T34" s="768" t="s">
        <v>17</v>
      </c>
      <c r="U34" s="769" t="e">
        <f t="shared" si="11"/>
        <v>#N/A</v>
      </c>
      <c r="V34" s="768" t="s">
        <v>17</v>
      </c>
      <c r="W34" s="769" t="e">
        <f t="shared" si="12"/>
        <v>#N/A</v>
      </c>
      <c r="X34" s="1808"/>
      <c r="Y34" s="3310"/>
      <c r="Z34" s="1809" t="str">
        <f t="shared" si="13"/>
        <v>宗地面积</v>
      </c>
      <c r="AA34" s="1806" t="e">
        <f t="shared" si="3"/>
        <v>#N/A</v>
      </c>
      <c r="AB34" s="1806" t="e">
        <f t="shared" si="4"/>
        <v>#N/A</v>
      </c>
      <c r="AC34" s="1806" t="e">
        <f t="shared" si="5"/>
        <v>#N/A</v>
      </c>
    </row>
    <row r="35" spans="1:29" ht="15">
      <c r="A35" s="471"/>
      <c r="B35" s="421" t="s">
        <v>2750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310"/>
      <c r="Q35" s="1805" t="str">
        <f t="shared" ref="Q35:Q40" si="14">B35</f>
        <v>宗地形状</v>
      </c>
      <c r="R35" s="768" t="s">
        <v>17</v>
      </c>
      <c r="S35" s="769">
        <f t="shared" si="10"/>
        <v>100</v>
      </c>
      <c r="T35" s="768" t="s">
        <v>17</v>
      </c>
      <c r="U35" s="769">
        <f t="shared" si="11"/>
        <v>100</v>
      </c>
      <c r="V35" s="768" t="s">
        <v>17</v>
      </c>
      <c r="W35" s="769">
        <f t="shared" si="12"/>
        <v>100</v>
      </c>
      <c r="X35" s="1808"/>
      <c r="Y35" s="3310"/>
      <c r="Z35" s="1809" t="str">
        <f t="shared" si="13"/>
        <v>宗地形状</v>
      </c>
      <c r="AA35" s="1806">
        <f t="shared" si="3"/>
        <v>1</v>
      </c>
      <c r="AB35" s="1806">
        <f t="shared" si="4"/>
        <v>1</v>
      </c>
      <c r="AC35" s="1806">
        <f t="shared" si="5"/>
        <v>1</v>
      </c>
    </row>
    <row r="36" spans="1:29" s="116" customFormat="1" ht="15">
      <c r="A36" s="472"/>
      <c r="B36" s="421" t="s">
        <v>2752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310"/>
      <c r="Q36" s="1805" t="str">
        <f t="shared" si="14"/>
        <v>宗地开发程度</v>
      </c>
      <c r="R36" s="764" t="s">
        <v>17</v>
      </c>
      <c r="S36" s="765">
        <f t="shared" si="10"/>
        <v>100</v>
      </c>
      <c r="T36" s="764" t="s">
        <v>17</v>
      </c>
      <c r="U36" s="765">
        <f t="shared" si="11"/>
        <v>100</v>
      </c>
      <c r="V36" s="764" t="s">
        <v>17</v>
      </c>
      <c r="W36" s="765">
        <f t="shared" si="12"/>
        <v>100</v>
      </c>
      <c r="X36" s="766"/>
      <c r="Y36" s="3310"/>
      <c r="Z36" s="54" t="str">
        <f t="shared" si="13"/>
        <v>宗地开发程度</v>
      </c>
      <c r="AA36" s="767">
        <f t="shared" si="3"/>
        <v>1</v>
      </c>
      <c r="AB36" s="767">
        <f t="shared" si="4"/>
        <v>1</v>
      </c>
      <c r="AC36" s="767">
        <f t="shared" si="5"/>
        <v>1</v>
      </c>
    </row>
    <row r="37" spans="1:29" ht="15">
      <c r="A37" s="471"/>
      <c r="B37" s="421" t="s">
        <v>2753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310" t="s">
        <v>2563</v>
      </c>
      <c r="Q37" s="1805" t="str">
        <f t="shared" si="14"/>
        <v>工程地质条件</v>
      </c>
      <c r="R37" s="768" t="s">
        <v>17</v>
      </c>
      <c r="S37" s="769">
        <f t="shared" si="10"/>
        <v>100</v>
      </c>
      <c r="T37" s="768" t="s">
        <v>17</v>
      </c>
      <c r="U37" s="769">
        <f t="shared" si="11"/>
        <v>100</v>
      </c>
      <c r="V37" s="768" t="s">
        <v>17</v>
      </c>
      <c r="W37" s="769">
        <f t="shared" si="12"/>
        <v>100</v>
      </c>
      <c r="X37" s="1808"/>
      <c r="Y37" s="3310" t="s">
        <v>2563</v>
      </c>
      <c r="Z37" s="1809" t="str">
        <f t="shared" si="13"/>
        <v>工程地质条件</v>
      </c>
      <c r="AA37" s="1806">
        <f t="shared" si="3"/>
        <v>1</v>
      </c>
      <c r="AB37" s="1806">
        <f t="shared" si="4"/>
        <v>1</v>
      </c>
      <c r="AC37" s="1806">
        <f t="shared" si="5"/>
        <v>1</v>
      </c>
    </row>
    <row r="38" spans="1:29" ht="15">
      <c r="A38" s="471"/>
      <c r="B38" s="1382">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37"/>
      <c r="M38" s="1128"/>
      <c r="N38" s="1128"/>
      <c r="O38" s="1136"/>
      <c r="P38" s="3310"/>
      <c r="Q38" s="1805">
        <f t="shared" si="14"/>
        <v>111</v>
      </c>
      <c r="R38" s="768" t="s">
        <v>17</v>
      </c>
      <c r="S38" s="769">
        <f t="shared" si="10"/>
        <v>100</v>
      </c>
      <c r="T38" s="768" t="s">
        <v>17</v>
      </c>
      <c r="U38" s="769">
        <f t="shared" si="11"/>
        <v>100</v>
      </c>
      <c r="V38" s="768" t="s">
        <v>17</v>
      </c>
      <c r="W38" s="769">
        <f t="shared" si="12"/>
        <v>100</v>
      </c>
      <c r="X38" s="1808"/>
      <c r="Y38" s="3310"/>
      <c r="Z38" s="1809">
        <f t="shared" si="13"/>
        <v>111</v>
      </c>
      <c r="AA38" s="1806">
        <f t="shared" si="3"/>
        <v>1</v>
      </c>
      <c r="AB38" s="1806">
        <f t="shared" si="4"/>
        <v>1</v>
      </c>
      <c r="AC38" s="1806">
        <f t="shared" si="5"/>
        <v>1</v>
      </c>
    </row>
    <row r="39" spans="1:29" ht="15">
      <c r="A39" s="471"/>
      <c r="B39" s="1382">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37"/>
      <c r="M39" s="1128"/>
      <c r="N39" s="1128"/>
      <c r="O39" s="1136"/>
      <c r="P39" s="3310"/>
      <c r="Q39" s="1805">
        <f t="shared" si="14"/>
        <v>111</v>
      </c>
      <c r="R39" s="768" t="s">
        <v>17</v>
      </c>
      <c r="S39" s="769">
        <f t="shared" si="10"/>
        <v>100</v>
      </c>
      <c r="T39" s="768" t="s">
        <v>17</v>
      </c>
      <c r="U39" s="769">
        <f t="shared" si="11"/>
        <v>100</v>
      </c>
      <c r="V39" s="768" t="s">
        <v>17</v>
      </c>
      <c r="W39" s="769">
        <f t="shared" si="12"/>
        <v>100</v>
      </c>
      <c r="X39" s="1808"/>
      <c r="Y39" s="3310"/>
      <c r="Z39" s="1809">
        <f t="shared" si="13"/>
        <v>111</v>
      </c>
      <c r="AA39" s="1806">
        <f t="shared" si="3"/>
        <v>1</v>
      </c>
      <c r="AB39" s="1806">
        <f t="shared" si="4"/>
        <v>1</v>
      </c>
      <c r="AC39" s="1806">
        <f t="shared" si="5"/>
        <v>1</v>
      </c>
    </row>
    <row r="40" spans="1:29" s="470" customFormat="1" ht="15.75" thickBot="1">
      <c r="A40" s="467"/>
      <c r="B40" s="1382">
        <v>111</v>
      </c>
      <c r="C40" s="2696"/>
      <c r="D40" s="136">
        <v>100</v>
      </c>
      <c r="E40" s="672"/>
      <c r="F40" s="437">
        <f>SUMIF(120:120,E40,121:121)-SUMIF(120:120,C40,121:121)+100</f>
        <v>100</v>
      </c>
      <c r="G40" s="672"/>
      <c r="H40" s="437">
        <f>SUMIF(120:120,G40,121:121)-SUMIF(120:120,C40,121:121)+100</f>
        <v>100</v>
      </c>
      <c r="I40" s="548"/>
      <c r="J40" s="437">
        <f>SUMIF(120:120,I40,121:121)-SUMIF(120:120,C40,121:121)+100</f>
        <v>100</v>
      </c>
      <c r="K40" s="679"/>
      <c r="L40" s="1135"/>
      <c r="M40" s="1138"/>
      <c r="N40" s="1138"/>
      <c r="O40" s="1139"/>
      <c r="P40" s="3310"/>
      <c r="Q40" s="1805">
        <f t="shared" si="14"/>
        <v>111</v>
      </c>
      <c r="R40" s="771" t="s">
        <v>17</v>
      </c>
      <c r="S40" s="772">
        <f t="shared" si="10"/>
        <v>100</v>
      </c>
      <c r="T40" s="771" t="s">
        <v>17</v>
      </c>
      <c r="U40" s="772">
        <f t="shared" si="11"/>
        <v>100</v>
      </c>
      <c r="V40" s="771" t="s">
        <v>17</v>
      </c>
      <c r="W40" s="772">
        <f t="shared" si="12"/>
        <v>100</v>
      </c>
      <c r="X40" s="773"/>
      <c r="Y40" s="3310"/>
      <c r="Z40" s="774">
        <f t="shared" si="13"/>
        <v>111</v>
      </c>
      <c r="AA40" s="1806">
        <f t="shared" si="3"/>
        <v>1</v>
      </c>
      <c r="AB40" s="1806">
        <f t="shared" si="4"/>
        <v>1</v>
      </c>
      <c r="AC40" s="1806">
        <f t="shared" si="5"/>
        <v>1</v>
      </c>
    </row>
    <row r="41" spans="1:29" ht="15">
      <c r="A41" s="478" t="s">
        <v>2718</v>
      </c>
      <c r="B41" s="2697" t="s">
        <v>2798</v>
      </c>
      <c r="C41" s="680" t="s">
        <v>1</v>
      </c>
      <c r="D41" s="480"/>
      <c r="E41" s="481"/>
      <c r="F41" s="482"/>
      <c r="G41" s="483"/>
      <c r="H41" s="484"/>
      <c r="I41" s="481"/>
      <c r="J41" s="484"/>
      <c r="K41" s="777"/>
      <c r="L41" s="1140"/>
      <c r="M41" s="1128"/>
      <c r="N41" s="1128"/>
      <c r="O41" s="1141"/>
      <c r="P41" s="3312" t="str">
        <f>A41</f>
        <v>成交单价</v>
      </c>
      <c r="Q41" s="3312"/>
      <c r="R41" s="3274">
        <f>E41</f>
        <v>0</v>
      </c>
      <c r="S41" s="3274"/>
      <c r="T41" s="3274">
        <f>G41</f>
        <v>0</v>
      </c>
      <c r="U41" s="3274"/>
      <c r="V41" s="3274">
        <f>I41</f>
        <v>0</v>
      </c>
      <c r="W41" s="3274"/>
      <c r="X41" s="753"/>
      <c r="Y41" s="775"/>
      <c r="Z41" s="753"/>
      <c r="AA41" s="753"/>
      <c r="AB41" s="753"/>
      <c r="AC41" s="753"/>
    </row>
    <row r="42" spans="1:29" ht="15.75" thickBot="1">
      <c r="A42" s="485" t="s">
        <v>2667</v>
      </c>
      <c r="B42" s="681"/>
      <c r="C42" s="489" t="e">
        <f>R43</f>
        <v>#DIV/0!</v>
      </c>
      <c r="D42" s="488"/>
      <c r="E42" s="489" t="e">
        <f>R42</f>
        <v>#DIV/0!</v>
      </c>
      <c r="F42" s="490"/>
      <c r="G42" s="487" t="e">
        <f>T42</f>
        <v>#DIV/0!</v>
      </c>
      <c r="H42" s="488"/>
      <c r="I42" s="489" t="e">
        <f>V42</f>
        <v>#DIV/0!</v>
      </c>
      <c r="J42" s="488"/>
      <c r="K42" s="778"/>
      <c r="L42" s="1140"/>
      <c r="M42" s="1128"/>
      <c r="N42" s="1128"/>
      <c r="O42" s="1141"/>
      <c r="P42" s="3312" t="str">
        <f>A42</f>
        <v>比较价值（元/平方米）</v>
      </c>
      <c r="Q42" s="3312"/>
      <c r="R42" s="3367" t="e">
        <f>ROUND(PRODUCT(R41,AA7:AA40),0)</f>
        <v>#DIV/0!</v>
      </c>
      <c r="S42" s="3367"/>
      <c r="T42" s="3367" t="e">
        <f>ROUND(PRODUCT(T41,AB7:AB40),0)</f>
        <v>#DIV/0!</v>
      </c>
      <c r="U42" s="3367"/>
      <c r="V42" s="3367" t="e">
        <f>ROUND(PRODUCT(V41,AC7:AC40),0)</f>
        <v>#DIV/0!</v>
      </c>
      <c r="W42" s="3367"/>
      <c r="X42" s="753"/>
      <c r="Y42" s="753"/>
      <c r="Z42" s="753"/>
      <c r="AA42" s="753"/>
      <c r="AB42" s="753"/>
      <c r="AC42" s="753"/>
    </row>
    <row r="43" spans="1:29" ht="15.75" thickBot="1">
      <c r="A43" s="491" t="s">
        <v>2668</v>
      </c>
      <c r="B43" s="492"/>
      <c r="C43" s="493" t="e">
        <f>R43</f>
        <v>#DIV/0!</v>
      </c>
      <c r="D43" s="493"/>
      <c r="E43" s="493"/>
      <c r="F43" s="493"/>
      <c r="G43" s="493"/>
      <c r="H43" s="493"/>
      <c r="I43" s="493"/>
      <c r="J43" s="493"/>
      <c r="K43" s="779"/>
      <c r="L43" s="1140"/>
      <c r="M43" s="1128"/>
      <c r="N43" s="1128"/>
      <c r="O43" s="1141"/>
      <c r="P43" s="3314" t="str">
        <f>A43</f>
        <v>估价对象XX用房的比较价值（楼面单价，元/平方米）</v>
      </c>
      <c r="Q43" s="3315"/>
      <c r="R43" s="3368" t="e">
        <f>ROUND(AVERAGE(R42:V42),0)</f>
        <v>#DIV/0!</v>
      </c>
      <c r="S43" s="3368"/>
      <c r="T43" s="3368"/>
      <c r="U43" s="3368"/>
      <c r="V43" s="3368"/>
      <c r="W43" s="3368"/>
      <c r="X43" s="753"/>
      <c r="Y43" s="753"/>
      <c r="Z43" s="753"/>
      <c r="AA43" s="753"/>
      <c r="AB43" s="753"/>
      <c r="AC43" s="753"/>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6"/>
      <c r="D49" s="754"/>
      <c r="E49" s="754"/>
      <c r="F49" s="754"/>
      <c r="G49" s="754"/>
      <c r="H49" s="754"/>
      <c r="I49" s="754"/>
      <c r="J49" s="754"/>
      <c r="K49" s="1145"/>
      <c r="L49" s="1146"/>
      <c r="M49" s="1142"/>
      <c r="N49" s="1142"/>
      <c r="O49" s="1142"/>
    </row>
    <row r="50" spans="1:17" ht="27">
      <c r="A50" s="682" t="s">
        <v>2756</v>
      </c>
      <c r="B50" s="683" t="s">
        <v>2757</v>
      </c>
      <c r="C50" s="2698" t="s">
        <v>2758</v>
      </c>
      <c r="D50" s="2699" t="s">
        <v>2759</v>
      </c>
      <c r="E50" s="684" t="s">
        <v>2760</v>
      </c>
      <c r="F50" s="685" t="s">
        <v>2761</v>
      </c>
      <c r="G50" s="3290" t="s">
        <v>2762</v>
      </c>
      <c r="H50" s="3369"/>
      <c r="I50" s="1809" t="s">
        <v>2799</v>
      </c>
      <c r="J50" s="1809" t="str">
        <f>项目基本情况!F35</f>
        <v>湖北省武汉市</v>
      </c>
      <c r="K50" s="2701" t="s">
        <v>2764</v>
      </c>
      <c r="L50" s="1103"/>
      <c r="M50" s="1141"/>
      <c r="N50" s="1141"/>
      <c r="O50" s="1141"/>
    </row>
    <row r="51" spans="1:17" s="690" customFormat="1">
      <c r="A51" s="686" t="s">
        <v>2765</v>
      </c>
      <c r="B51" s="687" t="e">
        <f>C43</f>
        <v>#DIV/0!</v>
      </c>
      <c r="C51" s="688">
        <v>1</v>
      </c>
      <c r="D51" s="1160">
        <v>1</v>
      </c>
      <c r="E51" s="688">
        <f>'数据-汇总表'!E8+'数据-汇总表'!E9</f>
        <v>14099.390000000001</v>
      </c>
      <c r="F51" s="689" t="e">
        <f t="shared" ref="F51:F60" si="15">ROUND(B51*E51/10000,0)</f>
        <v>#DIV/0!</v>
      </c>
      <c r="G51" s="3289"/>
      <c r="H51" s="3312"/>
      <c r="I51" s="939">
        <v>1</v>
      </c>
      <c r="J51" s="939">
        <v>1</v>
      </c>
      <c r="K51" s="1142"/>
      <c r="L51" s="938"/>
      <c r="M51" s="938"/>
      <c r="N51" s="938"/>
      <c r="O51" s="938"/>
    </row>
    <row r="52" spans="1:17" s="690" customFormat="1">
      <c r="A52" s="691" t="s">
        <v>2766</v>
      </c>
      <c r="B52" s="261" t="e">
        <f>ROUND($C$43*C52*D52,0)</f>
        <v>#DIV/0!</v>
      </c>
      <c r="C52" s="199">
        <f t="shared" ref="C52:C60" si="16">IF($C$50="北京市系数",I52,J52)</f>
        <v>0.8</v>
      </c>
      <c r="D52" s="1161">
        <v>0.25</v>
      </c>
      <c r="E52" s="692"/>
      <c r="F52" s="689" t="e">
        <f t="shared" si="15"/>
        <v>#DIV/0!</v>
      </c>
      <c r="G52" s="3370" t="s">
        <v>2767</v>
      </c>
      <c r="H52" s="1101" t="str">
        <f>项目基本情况!B37</f>
        <v>一级</v>
      </c>
      <c r="I52" s="939">
        <f>SUMIF(修正!A45:A56,H52,修正!B45:B56)</f>
        <v>0.8</v>
      </c>
      <c r="J52" s="940"/>
      <c r="K52" s="1141"/>
      <c r="L52" s="938"/>
      <c r="M52" s="938"/>
      <c r="N52" s="938"/>
      <c r="O52" s="938"/>
    </row>
    <row r="53" spans="1:17" s="690" customFormat="1">
      <c r="A53" s="691" t="s">
        <v>2768</v>
      </c>
      <c r="B53" s="261" t="e">
        <f t="shared" ref="B53:B60" si="17">ROUND($C$43*C53*D53,0)</f>
        <v>#DIV/0!</v>
      </c>
      <c r="C53" s="199">
        <f t="shared" si="16"/>
        <v>0.5</v>
      </c>
      <c r="D53" s="1161">
        <v>0.25</v>
      </c>
      <c r="E53" s="692"/>
      <c r="F53" s="689" t="e">
        <f t="shared" si="15"/>
        <v>#DIV/0!</v>
      </c>
      <c r="G53" s="3370"/>
      <c r="H53" s="1101" t="str">
        <f>项目基本情况!B37</f>
        <v>一级</v>
      </c>
      <c r="I53" s="939">
        <f>SUMIF(修正!A45:A56,H53,修正!C45:C56)</f>
        <v>0.5</v>
      </c>
      <c r="J53" s="940"/>
      <c r="K53" s="1142"/>
      <c r="L53" s="938"/>
      <c r="M53" s="938"/>
      <c r="N53" s="938"/>
      <c r="O53" s="938"/>
    </row>
    <row r="54" spans="1:17" s="690" customFormat="1">
      <c r="A54" s="691" t="s">
        <v>2769</v>
      </c>
      <c r="B54" s="261" t="e">
        <f t="shared" si="17"/>
        <v>#DIV/0!</v>
      </c>
      <c r="C54" s="199">
        <f t="shared" si="16"/>
        <v>0.36</v>
      </c>
      <c r="D54" s="1161">
        <v>0.25</v>
      </c>
      <c r="E54" s="692"/>
      <c r="F54" s="689" t="e">
        <f t="shared" si="15"/>
        <v>#DIV/0!</v>
      </c>
      <c r="G54" s="3370"/>
      <c r="H54" s="1101" t="str">
        <f>项目基本情况!B37</f>
        <v>一级</v>
      </c>
      <c r="I54" s="939">
        <f>SUMIF(修正!A45:A56,H54,修正!D45:D56)</f>
        <v>0.36</v>
      </c>
      <c r="J54" s="940"/>
      <c r="K54" s="1141"/>
      <c r="L54" s="938"/>
      <c r="M54" s="938"/>
      <c r="N54" s="938"/>
      <c r="O54" s="938"/>
    </row>
    <row r="55" spans="1:17" s="690" customFormat="1">
      <c r="A55" s="691" t="s">
        <v>2770</v>
      </c>
      <c r="B55" s="261" t="e">
        <f t="shared" si="17"/>
        <v>#DIV/0!</v>
      </c>
      <c r="C55" s="199">
        <f t="shared" si="16"/>
        <v>0.3</v>
      </c>
      <c r="D55" s="1161">
        <v>0.25</v>
      </c>
      <c r="E55" s="692"/>
      <c r="F55" s="689" t="e">
        <f t="shared" si="15"/>
        <v>#DIV/0!</v>
      </c>
      <c r="G55" s="3370"/>
      <c r="H55" s="1101" t="str">
        <f>项目基本情况!B37</f>
        <v>一级</v>
      </c>
      <c r="I55" s="939">
        <f>SUMIF(修正!A45:A56,H55,修正!E45:E56)</f>
        <v>0.3</v>
      </c>
      <c r="J55" s="940"/>
      <c r="K55" s="1142"/>
      <c r="L55" s="938"/>
      <c r="M55" s="938"/>
      <c r="N55" s="938"/>
      <c r="O55" s="938"/>
    </row>
    <row r="56" spans="1:17" s="690" customFormat="1">
      <c r="A56" s="691" t="s">
        <v>2771</v>
      </c>
      <c r="B56" s="261" t="e">
        <f t="shared" si="17"/>
        <v>#DIV/0!</v>
      </c>
      <c r="C56" s="199">
        <f t="shared" si="16"/>
        <v>0</v>
      </c>
      <c r="D56" s="1161">
        <v>0.25</v>
      </c>
      <c r="E56" s="260">
        <f>'数据-汇总表'!E11</f>
        <v>0</v>
      </c>
      <c r="F56" s="689" t="e">
        <f t="shared" si="15"/>
        <v>#DIV/0!</v>
      </c>
      <c r="G56" s="2702" t="s">
        <v>2772</v>
      </c>
      <c r="H56" s="1101">
        <f>项目基本情况!C37</f>
        <v>0</v>
      </c>
      <c r="I56" s="939">
        <f>SUMIF(修正!A45:A56,H56,修正!F45:F56)</f>
        <v>0</v>
      </c>
      <c r="J56" s="940"/>
      <c r="K56" s="1141"/>
      <c r="L56" s="938"/>
      <c r="M56" s="938"/>
      <c r="N56" s="938"/>
      <c r="O56" s="938"/>
    </row>
    <row r="57" spans="1:17" s="690" customFormat="1">
      <c r="A57" s="691" t="s">
        <v>2773</v>
      </c>
      <c r="B57" s="261" t="e">
        <f t="shared" si="17"/>
        <v>#DIV/0!</v>
      </c>
      <c r="C57" s="199">
        <f t="shared" si="16"/>
        <v>0</v>
      </c>
      <c r="D57" s="1161">
        <v>0.25</v>
      </c>
      <c r="E57" s="260">
        <f>'数据-汇总表'!E12</f>
        <v>0</v>
      </c>
      <c r="F57" s="689" t="e">
        <f t="shared" si="15"/>
        <v>#DIV/0!</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2775</v>
      </c>
      <c r="B58" s="261" t="e">
        <f t="shared" si="17"/>
        <v>#DIV/0!</v>
      </c>
      <c r="C58" s="199">
        <f t="shared" si="16"/>
        <v>0</v>
      </c>
      <c r="D58" s="1161">
        <v>0.25</v>
      </c>
      <c r="E58" s="260">
        <f>'数据-汇总表'!E13</f>
        <v>0</v>
      </c>
      <c r="F58" s="689" t="e">
        <f t="shared" si="15"/>
        <v>#DIV/0!</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2777</v>
      </c>
      <c r="B59" s="261" t="e">
        <f t="shared" si="17"/>
        <v>#DIV/0!</v>
      </c>
      <c r="C59" s="199">
        <f t="shared" si="16"/>
        <v>0.25</v>
      </c>
      <c r="D59" s="1161">
        <v>0.25</v>
      </c>
      <c r="E59" s="260">
        <f>'数据-汇总表'!E14</f>
        <v>0</v>
      </c>
      <c r="F59" s="689" t="e">
        <f t="shared" si="15"/>
        <v>#DIV/0!</v>
      </c>
      <c r="G59" s="2702" t="s">
        <v>2767</v>
      </c>
      <c r="H59" s="1101" t="str">
        <f>项目基本情况!B37</f>
        <v>一级</v>
      </c>
      <c r="I59" s="939">
        <f>SUMIF(修正!A45:A56,H59,修正!H45:H56)</f>
        <v>0.25</v>
      </c>
      <c r="J59" s="940"/>
      <c r="K59" s="1142"/>
      <c r="L59" s="938"/>
      <c r="M59" s="938"/>
      <c r="N59" s="938"/>
      <c r="O59" s="938"/>
    </row>
    <row r="60" spans="1:17" s="690" customFormat="1" ht="15" thickBot="1">
      <c r="A60" s="691" t="s">
        <v>2778</v>
      </c>
      <c r="B60" s="261" t="e">
        <f t="shared" si="17"/>
        <v>#DIV/0!</v>
      </c>
      <c r="C60" s="199">
        <f t="shared" si="16"/>
        <v>0</v>
      </c>
      <c r="D60" s="1161">
        <v>0.25</v>
      </c>
      <c r="E60" s="260">
        <f>'数据-汇总表'!E15</f>
        <v>0</v>
      </c>
      <c r="F60" s="689" t="e">
        <f t="shared" si="15"/>
        <v>#DIV/0!</v>
      </c>
      <c r="G60" s="2703" t="s">
        <v>2772</v>
      </c>
      <c r="H60" s="1111">
        <f>项目基本情况!C37</f>
        <v>0</v>
      </c>
      <c r="I60" s="939">
        <f>SUMIF(修正!A45:A56,H60,修正!H45:H56)</f>
        <v>0</v>
      </c>
      <c r="J60" s="940"/>
      <c r="K60" s="1141"/>
      <c r="L60" s="938"/>
      <c r="M60" s="938"/>
      <c r="N60" s="938"/>
      <c r="O60" s="938"/>
    </row>
    <row r="61" spans="1:17" s="690" customFormat="1" ht="15" thickBot="1">
      <c r="A61" s="693" t="s">
        <v>2779</v>
      </c>
      <c r="B61" s="694" t="s">
        <v>28</v>
      </c>
      <c r="C61" s="694" t="s">
        <v>29</v>
      </c>
      <c r="D61" s="694" t="s">
        <v>1029</v>
      </c>
      <c r="E61" s="694">
        <f>IF(B41="楼面地价",SUM(E51:E60),'数据-汇总表'!D3)</f>
        <v>1832.22</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5" t="str">
        <f>YEAR(C7)&amp;"-"&amp;MONTH(C7)&amp;"-1"</f>
        <v>2018-4-1</v>
      </c>
      <c r="D63" s="755">
        <f>EDATE(C63,-3)</f>
        <v>43101</v>
      </c>
      <c r="E63" s="755">
        <f>EDATE(D63,-3)</f>
        <v>43009</v>
      </c>
      <c r="F63" s="755">
        <f t="shared" ref="F63:O63" si="18">EDATE(E63,-3)</f>
        <v>42917</v>
      </c>
      <c r="G63" s="755">
        <f t="shared" si="18"/>
        <v>42826</v>
      </c>
      <c r="H63" s="755">
        <f t="shared" si="18"/>
        <v>42736</v>
      </c>
      <c r="I63" s="755">
        <f t="shared" si="18"/>
        <v>42644</v>
      </c>
      <c r="J63" s="755">
        <f t="shared" si="18"/>
        <v>42552</v>
      </c>
      <c r="K63" s="755">
        <f t="shared" si="18"/>
        <v>42461</v>
      </c>
      <c r="L63" s="755">
        <f t="shared" si="18"/>
        <v>42370</v>
      </c>
      <c r="M63" s="755">
        <f t="shared" si="18"/>
        <v>42278</v>
      </c>
      <c r="N63" s="755">
        <f t="shared" si="18"/>
        <v>42186</v>
      </c>
      <c r="O63" s="755">
        <f t="shared" si="18"/>
        <v>42095</v>
      </c>
    </row>
    <row r="64" spans="1:17" ht="21.75" thickBot="1">
      <c r="A64" s="757" t="s">
        <v>2672</v>
      </c>
      <c r="B64" s="753"/>
      <c r="C64" s="758"/>
      <c r="D64" s="758"/>
      <c r="E64" s="758"/>
      <c r="F64" s="759"/>
      <c r="G64" s="759"/>
      <c r="H64" s="758"/>
      <c r="I64" s="758"/>
      <c r="J64" s="758"/>
      <c r="K64" s="760"/>
      <c r="L64" s="761"/>
      <c r="M64" s="758"/>
      <c r="N64" s="758"/>
      <c r="O64" s="1156"/>
      <c r="P64" s="502"/>
      <c r="Q64" s="503"/>
    </row>
    <row r="65" spans="1:17" s="507" customFormat="1" ht="15">
      <c r="A65" s="2704" t="s">
        <v>2780</v>
      </c>
      <c r="B65" s="1354"/>
      <c r="C65" s="1567" t="str">
        <f>YEAR(C63)&amp;"-"&amp;ROUNDUP(MONTH(C63)/3,0)</f>
        <v>2018-2</v>
      </c>
      <c r="D65" s="1567" t="str">
        <f t="shared" ref="D65:O65" si="19">YEAR(D63)&amp;"-"&amp;ROUNDUP(MONTH(D63)/3,0)</f>
        <v>2018-1</v>
      </c>
      <c r="E65" s="1567" t="str">
        <f t="shared" si="19"/>
        <v>2017-4</v>
      </c>
      <c r="F65" s="1567" t="str">
        <f t="shared" si="19"/>
        <v>2017-3</v>
      </c>
      <c r="G65" s="1567" t="str">
        <f t="shared" si="19"/>
        <v>2017-2</v>
      </c>
      <c r="H65" s="1567" t="str">
        <f t="shared" si="19"/>
        <v>2017-1</v>
      </c>
      <c r="I65" s="1567" t="str">
        <f t="shared" si="19"/>
        <v>2016-4</v>
      </c>
      <c r="J65" s="1567" t="str">
        <f t="shared" si="19"/>
        <v>2016-3</v>
      </c>
      <c r="K65" s="1567" t="str">
        <f t="shared" si="19"/>
        <v>2016-2</v>
      </c>
      <c r="L65" s="1567" t="str">
        <f t="shared" si="19"/>
        <v>2016-1</v>
      </c>
      <c r="M65" s="1567" t="str">
        <f t="shared" si="19"/>
        <v>2015-4</v>
      </c>
      <c r="N65" s="1567" t="str">
        <f t="shared" si="19"/>
        <v>2015-3</v>
      </c>
      <c r="O65" s="1567" t="str">
        <f t="shared" si="19"/>
        <v>2015-2</v>
      </c>
      <c r="P65" s="506"/>
    </row>
    <row r="66" spans="1:17" s="116" customFormat="1" ht="30.75" customHeight="1">
      <c r="A66" s="2709" t="s">
        <v>2800</v>
      </c>
      <c r="B66" s="331" t="str">
        <f>"北京市平均增长率"&amp;TEXT(基准地价修正!P24,"0.00%")</f>
        <v>北京市平均增长率1.24%</v>
      </c>
      <c r="C66" s="602">
        <v>100</v>
      </c>
      <c r="D66" s="594"/>
      <c r="E66" s="594"/>
      <c r="F66" s="594"/>
      <c r="G66" s="594"/>
      <c r="H66" s="594"/>
      <c r="I66" s="594"/>
      <c r="J66" s="594"/>
      <c r="K66" s="594"/>
      <c r="L66" s="594"/>
      <c r="M66" s="1562"/>
      <c r="N66" s="1562"/>
      <c r="O66" s="1564"/>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48"/>
      <c r="O68" s="1148"/>
      <c r="P68" s="525"/>
      <c r="Q68" s="503"/>
    </row>
    <row r="69" spans="1:17" s="116" customFormat="1" ht="15.75" thickBot="1">
      <c r="A69" s="520"/>
      <c r="B69" s="509"/>
      <c r="C69" s="637">
        <v>100</v>
      </c>
      <c r="D69" s="511"/>
      <c r="E69" s="511"/>
      <c r="F69" s="511"/>
      <c r="G69" s="511"/>
      <c r="H69" s="511"/>
      <c r="I69" s="511"/>
      <c r="J69" s="511"/>
      <c r="K69" s="511"/>
      <c r="L69" s="511"/>
      <c r="M69" s="513"/>
      <c r="N69" s="1148"/>
      <c r="O69" s="1148"/>
      <c r="P69" s="503"/>
      <c r="Q69" s="503"/>
    </row>
    <row r="70" spans="1:17">
      <c r="A70" s="526" t="s">
        <v>2586</v>
      </c>
      <c r="B70" s="527" t="s">
        <v>2552</v>
      </c>
      <c r="C70" s="529"/>
      <c r="D70" s="529"/>
      <c r="E70" s="529"/>
      <c r="F70" s="529"/>
      <c r="G70" s="529"/>
      <c r="H70" s="529"/>
      <c r="I70" s="529"/>
      <c r="J70" s="529"/>
      <c r="K70" s="530"/>
      <c r="L70" s="531"/>
      <c r="M70" s="532"/>
      <c r="N70" s="1149"/>
      <c r="O70" s="1149"/>
      <c r="P70" s="44"/>
      <c r="Q70" s="503"/>
    </row>
    <row r="71" spans="1:17" ht="15.75" thickBot="1">
      <c r="A71" s="533"/>
      <c r="B71" s="534"/>
      <c r="C71" s="535"/>
      <c r="D71" s="535"/>
      <c r="E71" s="535"/>
      <c r="F71" s="535"/>
      <c r="G71" s="535"/>
      <c r="H71" s="535"/>
      <c r="I71" s="535"/>
      <c r="J71" s="535"/>
      <c r="K71" s="535"/>
      <c r="L71" s="535"/>
      <c r="M71" s="536"/>
      <c r="N71" s="1150"/>
      <c r="O71" s="1150"/>
      <c r="P71" s="44"/>
      <c r="Q71" s="503"/>
    </row>
    <row r="72" spans="1:17" ht="27.75" thickTop="1">
      <c r="A72" s="533"/>
      <c r="B72" s="537" t="s">
        <v>2555</v>
      </c>
      <c r="C72" s="538"/>
      <c r="D72" s="538"/>
      <c r="E72" s="538"/>
      <c r="F72" s="538"/>
      <c r="G72" s="538"/>
      <c r="H72" s="538"/>
      <c r="I72" s="538"/>
      <c r="J72" s="538"/>
      <c r="K72" s="539"/>
      <c r="L72" s="540"/>
      <c r="M72" s="541"/>
      <c r="N72" s="1149"/>
      <c r="O72" s="1149"/>
      <c r="P72" s="44"/>
      <c r="Q72" s="503"/>
    </row>
    <row r="73" spans="1:17" ht="15.75" thickBot="1">
      <c r="A73" s="533"/>
      <c r="B73" s="542"/>
      <c r="C73" s="543"/>
      <c r="D73" s="543"/>
      <c r="E73" s="543"/>
      <c r="F73" s="543"/>
      <c r="G73" s="543"/>
      <c r="H73" s="543"/>
      <c r="I73" s="543"/>
      <c r="J73" s="543"/>
      <c r="K73" s="543"/>
      <c r="L73" s="543"/>
      <c r="M73" s="544"/>
      <c r="N73" s="1150"/>
      <c r="O73" s="1150"/>
      <c r="P73" s="44"/>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4"/>
      <c r="Q74" s="503"/>
    </row>
    <row r="75" spans="1:17" ht="15">
      <c r="A75" s="533"/>
      <c r="B75" s="547"/>
      <c r="C75" s="548"/>
      <c r="D75" s="548"/>
      <c r="E75" s="548"/>
      <c r="F75" s="548"/>
      <c r="G75" s="548"/>
      <c r="H75" s="548"/>
      <c r="I75" s="548"/>
      <c r="J75" s="548"/>
      <c r="K75" s="549"/>
      <c r="L75" s="550"/>
      <c r="M75" s="551"/>
      <c r="N75" s="1149"/>
      <c r="O75" s="1149"/>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4"/>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4"/>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49"/>
      <c r="O85" s="1149"/>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4"/>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6"/>
      <c r="M87" s="620"/>
      <c r="N87" s="1148"/>
      <c r="O87" s="1148"/>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4"/>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0"/>
      <c r="N89" s="1148"/>
      <c r="O89" s="1148"/>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4"/>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2801</v>
      </c>
      <c r="C93" s="658" t="s">
        <v>2673</v>
      </c>
      <c r="D93" s="658" t="s">
        <v>2674</v>
      </c>
      <c r="E93" s="658" t="s">
        <v>2675</v>
      </c>
      <c r="F93" s="658" t="s">
        <v>2676</v>
      </c>
      <c r="G93" s="658" t="s">
        <v>2677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0"/>
      <c r="N94" s="1151"/>
      <c r="O94" s="1151"/>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49"/>
      <c r="O95" s="1149"/>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4"/>
      <c r="Q96" s="503"/>
    </row>
    <row r="97" spans="1:17" ht="27.75" thickTop="1">
      <c r="A97" s="533"/>
      <c r="B97" s="537" t="s">
        <v>2689</v>
      </c>
      <c r="C97" s="553"/>
      <c r="D97" s="553"/>
      <c r="E97" s="553"/>
      <c r="F97" s="553"/>
      <c r="G97" s="553"/>
      <c r="H97" s="582"/>
      <c r="I97" s="582"/>
      <c r="J97" s="582"/>
      <c r="K97" s="583"/>
      <c r="L97" s="584"/>
      <c r="M97" s="585"/>
      <c r="N97" s="1149"/>
      <c r="O97" s="1149"/>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4"/>
      <c r="Q98" s="503"/>
    </row>
    <row r="99" spans="1:17" ht="15.75" thickTop="1">
      <c r="A99" s="533"/>
      <c r="B99" s="537" t="s">
        <v>2748</v>
      </c>
      <c r="C99" s="582"/>
      <c r="D99" s="582"/>
      <c r="E99" s="582"/>
      <c r="F99" s="582"/>
      <c r="G99" s="582"/>
      <c r="H99" s="582"/>
      <c r="I99" s="582"/>
      <c r="J99" s="582"/>
      <c r="K99" s="583"/>
      <c r="L99" s="584"/>
      <c r="M99" s="585"/>
      <c r="N99" s="1149"/>
      <c r="O99" s="1149"/>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4"/>
      <c r="Q100" s="503"/>
    </row>
    <row r="101" spans="1:17" ht="15.75" thickTop="1">
      <c r="A101" s="533"/>
      <c r="B101" s="545">
        <f>B31</f>
        <v>111</v>
      </c>
      <c r="C101" s="553"/>
      <c r="D101" s="553"/>
      <c r="E101" s="553"/>
      <c r="F101" s="553"/>
      <c r="G101" s="586"/>
      <c r="H101" s="586"/>
      <c r="I101" s="586"/>
      <c r="J101" s="586"/>
      <c r="K101" s="587"/>
      <c r="L101" s="588"/>
      <c r="M101" s="589"/>
      <c r="N101" s="1149"/>
      <c r="O101" s="1149"/>
      <c r="P101" s="44"/>
      <c r="Q101" s="503"/>
    </row>
    <row r="102" spans="1:17" ht="15.75" thickBot="1">
      <c r="A102" s="533"/>
      <c r="B102" s="568"/>
      <c r="C102" s="559"/>
      <c r="D102" s="535"/>
      <c r="E102" s="535"/>
      <c r="F102" s="535"/>
      <c r="G102" s="590"/>
      <c r="H102" s="590"/>
      <c r="I102" s="590"/>
      <c r="J102" s="590"/>
      <c r="K102" s="590"/>
      <c r="L102" s="590"/>
      <c r="M102" s="591"/>
      <c r="N102" s="1150"/>
      <c r="O102" s="1150"/>
      <c r="P102" s="44"/>
      <c r="Q102" s="503"/>
    </row>
    <row r="103" spans="1:17" ht="15" thickTop="1">
      <c r="A103" s="673"/>
      <c r="B103" s="537">
        <f>B32</f>
        <v>111</v>
      </c>
      <c r="C103" s="553"/>
      <c r="D103" s="553"/>
      <c r="E103" s="553"/>
      <c r="F103" s="553"/>
      <c r="G103" s="582"/>
      <c r="H103" s="582"/>
      <c r="I103" s="582"/>
      <c r="J103" s="582"/>
      <c r="K103" s="583"/>
      <c r="L103" s="584"/>
      <c r="M103" s="585"/>
      <c r="N103" s="1149"/>
      <c r="O103" s="1149"/>
      <c r="P103" s="44"/>
      <c r="Q103" s="503"/>
    </row>
    <row r="104" spans="1:17" ht="15.75" thickBot="1">
      <c r="A104" s="533"/>
      <c r="B104" s="542"/>
      <c r="C104" s="559"/>
      <c r="D104" s="559"/>
      <c r="E104" s="559"/>
      <c r="F104" s="559"/>
      <c r="G104" s="535"/>
      <c r="H104" s="535"/>
      <c r="I104" s="535"/>
      <c r="J104" s="535"/>
      <c r="K104" s="535"/>
      <c r="L104" s="535"/>
      <c r="M104" s="536"/>
      <c r="N104" s="1150"/>
      <c r="O104" s="1150"/>
      <c r="P104" s="44"/>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5"/>
      <c r="H106" s="675"/>
      <c r="I106" s="675"/>
      <c r="J106" s="675"/>
      <c r="K106" s="675"/>
      <c r="L106" s="675"/>
      <c r="M106" s="697"/>
      <c r="N106" s="1150"/>
      <c r="O106" s="1150"/>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1" t="str">
        <f t="shared" si="25"/>
        <v>(含)-</v>
      </c>
      <c r="L107" s="1761" t="str">
        <f t="shared" si="25"/>
        <v>(含)-</v>
      </c>
      <c r="M107" s="1762" t="str">
        <f>M108&amp;"(含)"&amp;"-"&amp;P108</f>
        <v>(含)-</v>
      </c>
      <c r="N107" s="1149"/>
      <c r="O107" s="1149"/>
      <c r="P107" s="44"/>
      <c r="Q107" s="503"/>
    </row>
    <row r="108" spans="1:17" ht="15">
      <c r="A108" s="533"/>
      <c r="B108" s="545"/>
      <c r="C108" s="594"/>
      <c r="D108" s="594"/>
      <c r="E108" s="594"/>
      <c r="F108" s="594"/>
      <c r="G108" s="594"/>
      <c r="H108" s="594"/>
      <c r="I108" s="594"/>
      <c r="J108" s="595"/>
      <c r="K108" s="595"/>
      <c r="L108" s="596"/>
      <c r="M108" s="597"/>
      <c r="N108" s="1149"/>
      <c r="O108" s="1149"/>
      <c r="P108" s="44"/>
      <c r="Q108" s="503"/>
    </row>
    <row r="109" spans="1:17" ht="15.75" thickBot="1">
      <c r="A109" s="533"/>
      <c r="B109" s="542"/>
      <c r="C109" s="569"/>
      <c r="D109" s="590"/>
      <c r="E109" s="590"/>
      <c r="F109" s="590"/>
      <c r="G109" s="590"/>
      <c r="H109" s="590"/>
      <c r="I109" s="590"/>
      <c r="J109" s="590"/>
      <c r="K109" s="590"/>
      <c r="L109" s="590"/>
      <c r="M109" s="591"/>
      <c r="N109" s="1150"/>
      <c r="O109" s="1150"/>
      <c r="P109" s="44"/>
      <c r="Q109" s="503"/>
    </row>
    <row r="110" spans="1:17" ht="15" thickTop="1">
      <c r="A110" s="598"/>
      <c r="B110" s="537" t="s">
        <v>2790</v>
      </c>
      <c r="C110" s="582"/>
      <c r="D110" s="582"/>
      <c r="E110" s="582"/>
      <c r="F110" s="582"/>
      <c r="G110" s="582"/>
      <c r="H110" s="582"/>
      <c r="I110" s="582"/>
      <c r="J110" s="582"/>
      <c r="K110" s="583"/>
      <c r="L110" s="584"/>
      <c r="M110" s="585"/>
      <c r="N110" s="1149"/>
      <c r="O110" s="1149"/>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4"/>
      <c r="Q111" s="503"/>
    </row>
    <row r="112" spans="1:17" s="470" customFormat="1" ht="15" thickTop="1">
      <c r="A112" s="592"/>
      <c r="B112" s="537" t="s">
        <v>2792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2793</v>
      </c>
      <c r="C114" s="553"/>
      <c r="D114" s="553"/>
      <c r="E114" s="582"/>
      <c r="F114" s="582"/>
      <c r="G114" s="582"/>
      <c r="H114" s="582"/>
      <c r="I114" s="582"/>
      <c r="J114" s="582"/>
      <c r="K114" s="583"/>
      <c r="L114" s="584"/>
      <c r="M114" s="585"/>
      <c r="N114" s="1149"/>
      <c r="O114" s="1149"/>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4"/>
      <c r="Q115" s="503"/>
    </row>
    <row r="116" spans="1:17" ht="15" thickTop="1">
      <c r="A116" s="598"/>
      <c r="B116" s="537">
        <f>B38</f>
        <v>111</v>
      </c>
      <c r="C116" s="553"/>
      <c r="D116" s="553"/>
      <c r="E116" s="553"/>
      <c r="F116" s="553"/>
      <c r="G116" s="553"/>
      <c r="H116" s="582"/>
      <c r="I116" s="582"/>
      <c r="J116" s="582"/>
      <c r="K116" s="583"/>
      <c r="L116" s="584"/>
      <c r="M116" s="585"/>
      <c r="N116" s="1149"/>
      <c r="O116" s="1149"/>
      <c r="P116" s="44"/>
      <c r="Q116" s="503"/>
    </row>
    <row r="117" spans="1:17" ht="15.75" thickBot="1">
      <c r="A117" s="533"/>
      <c r="B117" s="542"/>
      <c r="C117" s="559"/>
      <c r="D117" s="535"/>
      <c r="E117" s="535"/>
      <c r="F117" s="535"/>
      <c r="G117" s="535"/>
      <c r="H117" s="535"/>
      <c r="I117" s="535"/>
      <c r="J117" s="535"/>
      <c r="K117" s="535"/>
      <c r="L117" s="535"/>
      <c r="M117" s="536"/>
      <c r="N117" s="1150"/>
      <c r="O117" s="1150"/>
      <c r="P117" s="44"/>
      <c r="Q117" s="503"/>
    </row>
    <row r="118" spans="1:17" ht="15" thickTop="1">
      <c r="A118" s="598"/>
      <c r="B118" s="537">
        <f>B39</f>
        <v>111</v>
      </c>
      <c r="C118" s="553"/>
      <c r="D118" s="553"/>
      <c r="E118" s="553"/>
      <c r="F118" s="553"/>
      <c r="G118" s="582"/>
      <c r="H118" s="582"/>
      <c r="I118" s="582"/>
      <c r="J118" s="582"/>
      <c r="K118" s="583"/>
      <c r="L118" s="584"/>
      <c r="M118" s="585"/>
      <c r="N118" s="1149"/>
      <c r="O118" s="1149"/>
      <c r="P118" s="44"/>
      <c r="Q118" s="503"/>
    </row>
    <row r="119" spans="1:17" ht="15.75" thickBot="1">
      <c r="A119" s="533"/>
      <c r="B119" s="542"/>
      <c r="C119" s="559"/>
      <c r="D119" s="559"/>
      <c r="E119" s="559"/>
      <c r="F119" s="559"/>
      <c r="G119" s="535"/>
      <c r="H119" s="535"/>
      <c r="I119" s="535"/>
      <c r="J119" s="535"/>
      <c r="K119" s="535"/>
      <c r="L119" s="535"/>
      <c r="M119" s="536"/>
      <c r="N119" s="1150"/>
      <c r="O119" s="1150"/>
      <c r="P119" s="44"/>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8"/>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7" customWidth="1"/>
    <col min="33" max="36" width="9.375" style="2789" customWidth="1"/>
    <col min="37" max="38" width="9.375" style="2713" customWidth="1"/>
    <col min="39" max="16384" width="12" style="2713"/>
  </cols>
  <sheetData>
    <row r="1" spans="1:36" ht="28.5">
      <c r="A1" s="239" t="s">
        <v>2802</v>
      </c>
      <c r="B1" s="240"/>
      <c r="C1" s="244" t="s">
        <v>2803</v>
      </c>
      <c r="D1" s="387">
        <f>SUM(D29:D30,D33:D39)</f>
        <v>0</v>
      </c>
      <c r="E1" s="2710"/>
      <c r="F1" s="2710"/>
      <c r="G1" s="2710"/>
      <c r="H1" s="2710"/>
      <c r="I1" s="2710"/>
      <c r="J1" s="2710"/>
      <c r="K1" s="1365"/>
      <c r="L1" s="2711" t="s">
        <v>2804</v>
      </c>
      <c r="M1" s="1077">
        <f>SUMPRODUCT((区片价!B5:B9=I2)*(区片价!C3:F3=E2)*(区片价!C5:F9))</f>
        <v>0</v>
      </c>
      <c r="N1" s="1080">
        <f>SUMPRODUCT((因素修正幅度!B5:B9=I2)*(因素修正幅度!C3:F3=E2)*(因素修正幅度!C5:F9))</f>
        <v>0</v>
      </c>
      <c r="O1" s="2712"/>
      <c r="P1" s="2712"/>
      <c r="Q1" s="1365"/>
      <c r="R1" s="1597" t="s">
        <v>2805</v>
      </c>
      <c r="S1" s="1597" t="s">
        <v>2806</v>
      </c>
      <c r="T1" s="1597" t="s">
        <v>2807</v>
      </c>
      <c r="U1" s="1597" t="s">
        <v>2808</v>
      </c>
      <c r="V1" s="1597" t="s">
        <v>2809</v>
      </c>
      <c r="W1" s="1601"/>
      <c r="X1" s="1601"/>
      <c r="Y1" s="1601"/>
      <c r="Z1" s="1601"/>
      <c r="AA1" s="1601"/>
      <c r="AB1" s="1601"/>
      <c r="AC1" s="1602"/>
      <c r="AD1" s="1603"/>
      <c r="AE1" s="1603"/>
      <c r="AF1" s="1603"/>
      <c r="AG1" s="1603"/>
      <c r="AH1" s="1603"/>
      <c r="AI1" s="1603"/>
      <c r="AJ1" s="1604"/>
    </row>
    <row r="2" spans="1:36" ht="15.75">
      <c r="A2" s="244" t="s">
        <v>2810</v>
      </c>
      <c r="B2" s="247" t="e">
        <f>C26</f>
        <v>#DIV/0!</v>
      </c>
      <c r="C2" s="2714" t="s">
        <v>2811</v>
      </c>
      <c r="D2" s="2715" t="s">
        <v>2812</v>
      </c>
      <c r="E2" s="2716"/>
      <c r="F2" s="2715" t="s">
        <v>2813</v>
      </c>
      <c r="G2" s="2717">
        <f>IF(E2="商业",项目基本情况!B37,IF(E2="办公",项目基本情况!C37,IF(E2="住宅",项目基本情况!D37,项目基本情况!E37)))</f>
        <v>0</v>
      </c>
      <c r="H2" s="2715" t="s">
        <v>2814</v>
      </c>
      <c r="I2" s="2717">
        <f>IF(E2="商业",项目基本情况!B38,IF(E2="办公",项目基本情况!C38,IF(E2="住宅",项目基本情况!D38,项目基本情况!E38)))</f>
        <v>0</v>
      </c>
      <c r="J2" s="2718"/>
      <c r="K2" s="1365"/>
      <c r="L2" s="2719" t="s">
        <v>2815</v>
      </c>
      <c r="M2" s="1078">
        <f>SUMPRODUCT((区片价!B10:B28=I2)*(区片价!C3:F3=E2)*(区片价!C10:F28))</f>
        <v>0</v>
      </c>
      <c r="N2" s="1080">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0</v>
      </c>
      <c r="T2" s="1597" t="e">
        <f>ROUND($C$5*$C$18*$C$19*$C$20*S2*$C$24,0)</f>
        <v>#DIV/0!</v>
      </c>
      <c r="U2" s="1598"/>
      <c r="V2" s="1597" t="e">
        <f>ROUND(T2*U2/10000,0)</f>
        <v>#DIV/0!</v>
      </c>
      <c r="W2" s="1601"/>
      <c r="X2" s="1601"/>
      <c r="Y2" s="1601"/>
      <c r="Z2" s="1601"/>
      <c r="AA2" s="1601"/>
      <c r="AB2" s="1601"/>
      <c r="AC2" s="1602"/>
      <c r="AD2" s="1603"/>
      <c r="AE2" s="1603"/>
      <c r="AF2" s="1603"/>
      <c r="AG2" s="1603"/>
      <c r="AH2" s="1603"/>
      <c r="AI2" s="1603"/>
      <c r="AJ2" s="1604"/>
    </row>
    <row r="3" spans="1:36" ht="15.75">
      <c r="A3" s="246" t="s">
        <v>2816</v>
      </c>
      <c r="B3" s="247" t="e">
        <f>ROUND(B2*10000/D1,0)</f>
        <v>#DIV/0!</v>
      </c>
      <c r="C3" s="2714" t="s">
        <v>2817</v>
      </c>
      <c r="D3" s="2715" t="s">
        <v>2818</v>
      </c>
      <c r="E3" s="2720"/>
      <c r="F3" s="2721" t="s">
        <v>2819</v>
      </c>
      <c r="G3" s="910">
        <f>IF(F3="宗地容积率",'数据-汇总表'!I4,IF(F3="估价对象容积率",'数据-汇总表'!I6,'数据-汇总表'!I7))</f>
        <v>7.7</v>
      </c>
      <c r="H3" s="197" t="s">
        <v>2820</v>
      </c>
      <c r="I3" s="941"/>
      <c r="J3" s="2718" t="s">
        <v>2821</v>
      </c>
      <c r="K3" s="1365"/>
      <c r="L3" s="2719" t="s">
        <v>2822</v>
      </c>
      <c r="M3" s="1078">
        <f>SUMPRODUCT((区片价!B29:B48=I2)*(区片价!C3:F3=E2)*(区片价!C29:F48))</f>
        <v>0</v>
      </c>
      <c r="N3" s="1080">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0</v>
      </c>
      <c r="T3" s="1597" t="e">
        <f t="shared" ref="T3:T16" si="0">ROUND($C$5*$C$18*$C$19*$C$20*S3*$C$24,0)</f>
        <v>#DIV/0!</v>
      </c>
      <c r="U3" s="1598"/>
      <c r="V3" s="1597" t="e">
        <f t="shared" ref="V3:V16" si="1">ROUND(T3*U3/10000,0)</f>
        <v>#DIV/0!</v>
      </c>
      <c r="W3" s="1601"/>
      <c r="X3" s="1601"/>
      <c r="Y3" s="1601"/>
      <c r="Z3" s="1601"/>
      <c r="AA3" s="1601"/>
      <c r="AB3" s="1601"/>
      <c r="AC3" s="1602"/>
      <c r="AD3" s="1603"/>
      <c r="AE3" s="1603"/>
      <c r="AF3" s="1603"/>
      <c r="AG3" s="1603"/>
      <c r="AH3" s="1603"/>
      <c r="AI3" s="1603"/>
      <c r="AJ3" s="1604"/>
    </row>
    <row r="4" spans="1:36" ht="15.75">
      <c r="A4" s="3389"/>
      <c r="B4" s="3390"/>
      <c r="C4" s="3390"/>
      <c r="D4" s="3391"/>
      <c r="E4" s="3391"/>
      <c r="F4" s="3391"/>
      <c r="G4" s="3391"/>
      <c r="H4" s="3391"/>
      <c r="I4" s="3391"/>
      <c r="J4" s="3392"/>
      <c r="K4" s="1365"/>
      <c r="L4" s="2719" t="s">
        <v>2823</v>
      </c>
      <c r="M4" s="1078">
        <f>SUMPRODUCT((区片价!B49:B75=I2)*(区片价!C3:F3=E2)*(区片价!C49:F75))</f>
        <v>0</v>
      </c>
      <c r="N4" s="1080">
        <f>SUMPRODUCT((因素修正幅度!B49:B75=I2)*(因素修正幅度!C3:F3=E2)*(因素修正幅度!C49:F75))</f>
        <v>0</v>
      </c>
      <c r="O4" s="1365"/>
      <c r="P4" s="1365"/>
      <c r="Q4" s="1365"/>
      <c r="R4" s="1597">
        <v>3</v>
      </c>
      <c r="S4" s="1597">
        <f>ROUND(IF(G3&gt;1,IF(R4&lt;7,SUMPRODUCT((B93:B98=R4)*(C92:N92=G2)*(C93:N98)),SUMIF(C92:N92,G2,C100:N100)),IF(R4&lt;7,SUMPRODUCT((B102:B107=R4)*(C92:N92=G2)*(C102:N107)),SUMIF(C92:N92,G2,C109:N109))),4)</f>
        <v>0</v>
      </c>
      <c r="T4" s="1597" t="e">
        <f t="shared" si="0"/>
        <v>#DIV/0!</v>
      </c>
      <c r="U4" s="1598"/>
      <c r="V4" s="1597" t="e">
        <f t="shared" si="1"/>
        <v>#DIV/0!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2824</v>
      </c>
      <c r="C5" s="911" t="e">
        <f>ROUND(IF(E2="商业",IF(F16="增加",C6*C7+C16,C6*C7-C16),IF(E2="住宅",IF(F16="增加",C6*C12+C16,C6*C12-C16),IF(F16="增加",C6+C16,C6-C16))),0)</f>
        <v>#DIV/0!</v>
      </c>
      <c r="D5" s="1782">
        <f>ROUND(IF(E2="商业",IF(F16="增加",C6+C16,C6-C16)),0)</f>
        <v>0</v>
      </c>
      <c r="E5" s="2724"/>
      <c r="F5" s="2724"/>
      <c r="G5" s="2725"/>
      <c r="H5" s="2725"/>
      <c r="I5" s="2725"/>
      <c r="J5" s="2726"/>
      <c r="K5" s="2727"/>
      <c r="L5" s="2719" t="s">
        <v>2825</v>
      </c>
      <c r="M5" s="1078">
        <f>SUMPRODUCT((区片价!B76:B109=I2)*(区片价!C3:F3=E2)*(区片价!C76:F109))</f>
        <v>0</v>
      </c>
      <c r="N5" s="1080">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v>
      </c>
      <c r="T5" s="1597" t="e">
        <f t="shared" si="0"/>
        <v>#DIV/0!</v>
      </c>
      <c r="U5" s="1598"/>
      <c r="V5" s="1597" t="e">
        <f t="shared" si="1"/>
        <v>#DIV/0!</v>
      </c>
      <c r="W5" s="1601"/>
      <c r="X5" s="1601"/>
      <c r="Y5" s="1601"/>
      <c r="Z5" s="1601"/>
      <c r="AA5" s="1601"/>
      <c r="AB5" s="1601"/>
      <c r="AC5" s="2728"/>
      <c r="AD5" s="2729"/>
      <c r="AE5" s="2729"/>
      <c r="AF5" s="2729"/>
      <c r="AG5" s="2729"/>
      <c r="AH5" s="2729"/>
      <c r="AI5" s="2729"/>
      <c r="AJ5" s="2730"/>
    </row>
    <row r="6" spans="1:36" ht="15.75" thickBot="1">
      <c r="A6" s="2732" t="s">
        <v>2826</v>
      </c>
      <c r="B6" s="2733" t="s">
        <v>2827</v>
      </c>
      <c r="C6" s="912">
        <f>SUMIF(L1:L12,G2,M1:M12)</f>
        <v>0</v>
      </c>
      <c r="D6" s="2734" t="s">
        <v>2828</v>
      </c>
      <c r="E6" s="2735"/>
      <c r="F6" s="2735"/>
      <c r="G6" s="2736"/>
      <c r="H6" s="2736"/>
      <c r="I6" s="2736"/>
      <c r="J6" s="2737"/>
      <c r="K6" s="1837"/>
      <c r="L6" s="2719" t="s">
        <v>2829</v>
      </c>
      <c r="M6" s="1078">
        <f>SUMPRODUCT((区片价!B110:B157=I2)*(区片价!C3:F3=E2)*(区片价!C110:F157))</f>
        <v>0</v>
      </c>
      <c r="N6" s="1080">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v>
      </c>
      <c r="T6" s="1597" t="e">
        <f t="shared" si="0"/>
        <v>#DIV/0!</v>
      </c>
      <c r="U6" s="1598"/>
      <c r="V6" s="1597" t="e">
        <f t="shared" si="1"/>
        <v>#DIV/0!</v>
      </c>
      <c r="W6" s="1601"/>
      <c r="X6" s="1601"/>
      <c r="Y6" s="1601"/>
      <c r="Z6" s="1601"/>
      <c r="AA6" s="1601"/>
      <c r="AB6" s="1601"/>
      <c r="AC6" s="2728"/>
      <c r="AD6" s="2729"/>
      <c r="AE6" s="2729"/>
      <c r="AF6" s="2729"/>
      <c r="AG6" s="2729"/>
      <c r="AH6" s="2729"/>
      <c r="AI6" s="2729"/>
      <c r="AJ6" s="2730"/>
    </row>
    <row r="7" spans="1:36" ht="24">
      <c r="A7" s="3375" t="str">
        <f>IF(E2="商业",IF(C8="不临58条商业街","",2),"")</f>
        <v/>
      </c>
      <c r="B7" s="2738" t="s">
        <v>2830</v>
      </c>
      <c r="C7" s="913" t="e">
        <f>IF(C8="不临58条商业街",1,ROUND(1+(1.6*E8+1.2*E9+0.8*E10+0.4*E11)*C9,4))</f>
        <v>#DIV/0!</v>
      </c>
      <c r="D7" s="2739" t="s">
        <v>2831</v>
      </c>
      <c r="E7" s="942"/>
      <c r="F7" s="2740"/>
      <c r="G7" s="2741"/>
      <c r="H7" s="2741"/>
      <c r="I7" s="2741"/>
      <c r="J7" s="2742"/>
      <c r="K7" s="1837"/>
      <c r="L7" s="2719" t="s">
        <v>2832</v>
      </c>
      <c r="M7" s="1078">
        <f>SUMPRODUCT((区片价!B158:B205=I2)*(区片价!C3:F3=E2)*(区片价!C158:F205))</f>
        <v>0</v>
      </c>
      <c r="N7" s="1080">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v>
      </c>
      <c r="T7" s="1597" t="e">
        <f t="shared" si="0"/>
        <v>#DIV/0!</v>
      </c>
      <c r="U7" s="1598"/>
      <c r="V7" s="1597" t="e">
        <f t="shared" si="1"/>
        <v>#DIV/0!</v>
      </c>
      <c r="W7" s="1811" t="s">
        <v>2833</v>
      </c>
      <c r="X7" s="1599">
        <f>G2</f>
        <v>0</v>
      </c>
      <c r="Y7" s="1599" t="s">
        <v>2834</v>
      </c>
      <c r="Z7" s="1600">
        <f>G3</f>
        <v>7.7</v>
      </c>
      <c r="AA7" s="1601"/>
      <c r="AB7" s="1601"/>
      <c r="AC7" s="1602"/>
      <c r="AD7" s="1603"/>
      <c r="AE7" s="1603"/>
      <c r="AF7" s="1603"/>
      <c r="AG7" s="1603"/>
      <c r="AH7" s="1603"/>
      <c r="AI7" s="1603"/>
      <c r="AJ7" s="1604"/>
    </row>
    <row r="8" spans="1:36" ht="15">
      <c r="A8" s="3376"/>
      <c r="B8" s="197" t="s">
        <v>2835</v>
      </c>
      <c r="C8" s="2743"/>
      <c r="D8" s="914" t="s">
        <v>139</v>
      </c>
      <c r="E8" s="915" t="e">
        <f>ROUND(C11/E7,4)</f>
        <v>#DIV/0!</v>
      </c>
      <c r="F8" s="2744" t="s">
        <v>2836</v>
      </c>
      <c r="G8" s="2745"/>
      <c r="H8" s="2745"/>
      <c r="I8" s="2745"/>
      <c r="J8" s="2746"/>
      <c r="K8" s="1365"/>
      <c r="L8" s="2719" t="s">
        <v>2837</v>
      </c>
      <c r="M8" s="1078">
        <f>SUMPRODUCT((区片价!B206:B244=I2)*(区片价!C3:F3=E2)*(区片价!C206:F244))</f>
        <v>0</v>
      </c>
      <c r="N8" s="1080">
        <f>SUMPRODUCT((因素修正幅度!B206:B244=I2)*(因素修正幅度!C3:F3=E2)*(因素修正幅度!C206:F244))</f>
        <v>0</v>
      </c>
      <c r="O8" s="1365"/>
      <c r="P8" s="1365"/>
      <c r="Q8" s="1365"/>
      <c r="R8" s="1597">
        <v>7</v>
      </c>
      <c r="S8" s="1598"/>
      <c r="T8" s="1597" t="e">
        <f t="shared" si="0"/>
        <v>#DIV/0!</v>
      </c>
      <c r="U8" s="1598"/>
      <c r="V8" s="1597" t="e">
        <f t="shared" si="1"/>
        <v>#DIV/0!</v>
      </c>
      <c r="W8" s="3386" t="s">
        <v>2838</v>
      </c>
      <c r="X8" s="3387"/>
      <c r="Y8" s="1605" t="s">
        <v>2839</v>
      </c>
      <c r="Z8" s="1605" t="s">
        <v>2840</v>
      </c>
      <c r="AA8" s="1605" t="s">
        <v>2841</v>
      </c>
      <c r="AB8" s="1605" t="s">
        <v>2842</v>
      </c>
      <c r="AC8" s="1605" t="s">
        <v>2843</v>
      </c>
      <c r="AD8" s="1605" t="s">
        <v>2844</v>
      </c>
      <c r="AE8" s="1605" t="s">
        <v>2845</v>
      </c>
      <c r="AF8" s="1605" t="s">
        <v>2846</v>
      </c>
      <c r="AG8" s="1605" t="s">
        <v>2847</v>
      </c>
      <c r="AH8" s="1605" t="s">
        <v>2848</v>
      </c>
      <c r="AI8" s="1605" t="s">
        <v>2849</v>
      </c>
      <c r="AJ8" s="1605" t="s">
        <v>2850</v>
      </c>
    </row>
    <row r="9" spans="1:36" ht="15">
      <c r="A9" s="3376"/>
      <c r="B9" s="197" t="s">
        <v>2851</v>
      </c>
      <c r="C9" s="916">
        <f>SUMIF(修正!C59:C119,C8,修正!E59:E119)</f>
        <v>0</v>
      </c>
      <c r="D9" s="199" t="s">
        <v>140</v>
      </c>
      <c r="E9" s="199" t="e">
        <f>ROUND(C11/E7,4)</f>
        <v>#DIV/0!</v>
      </c>
      <c r="F9" s="2744" t="s">
        <v>2852</v>
      </c>
      <c r="G9" s="2745"/>
      <c r="H9" s="2745"/>
      <c r="I9" s="2745"/>
      <c r="J9" s="2746"/>
      <c r="K9" s="1365"/>
      <c r="L9" s="2719" t="s">
        <v>2853</v>
      </c>
      <c r="M9" s="1078">
        <f>SUMPRODUCT((区片价!B245:B289=I2)*(区片价!C3:F3=E2)*(区片价!C245:F289))</f>
        <v>0</v>
      </c>
      <c r="N9" s="1080">
        <f>SUMPRODUCT((因素修正幅度!B245:B289=I2)*(因素修正幅度!C3:F3=E2)*(因素修正幅度!C245:F289))</f>
        <v>0</v>
      </c>
      <c r="O9" s="1365"/>
      <c r="P9" s="1365"/>
      <c r="Q9" s="1365"/>
      <c r="R9" s="1597">
        <v>8</v>
      </c>
      <c r="S9" s="1598"/>
      <c r="T9" s="1597" t="e">
        <f t="shared" si="0"/>
        <v>#DIV/0!</v>
      </c>
      <c r="U9" s="1598"/>
      <c r="V9" s="1597" t="e">
        <f t="shared" si="1"/>
        <v>#DIV/0!</v>
      </c>
      <c r="W9" s="3388" t="s">
        <v>2854</v>
      </c>
      <c r="X9" s="1606" t="s">
        <v>2855</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76"/>
      <c r="B10" s="197" t="s">
        <v>2856</v>
      </c>
      <c r="C10" s="199">
        <f>SUMIF(修正!C59:C119,C8,修正!F59:F119)</f>
        <v>0</v>
      </c>
      <c r="D10" s="199" t="s">
        <v>141</v>
      </c>
      <c r="E10" s="199" t="e">
        <f>ROUND(C11/E7,4)</f>
        <v>#DIV/0!</v>
      </c>
      <c r="F10" s="2744" t="s">
        <v>2857</v>
      </c>
      <c r="G10" s="2745"/>
      <c r="H10" s="2745"/>
      <c r="I10" s="2745"/>
      <c r="J10" s="2746"/>
      <c r="K10" s="1365"/>
      <c r="L10" s="2719" t="s">
        <v>2858</v>
      </c>
      <c r="M10" s="1078">
        <f>SUMPRODUCT((区片价!B290:B316=I2)*(区片价!C3:F3=E2)*(区片价!C290:F316))</f>
        <v>0</v>
      </c>
      <c r="N10" s="1080">
        <f>SUMPRODUCT((因素修正幅度!B290:B316=I2)*(因素修正幅度!C3:F3=E2)*(因素修正幅度!C290:F316))</f>
        <v>0</v>
      </c>
      <c r="O10" s="1365"/>
      <c r="P10" s="1365"/>
      <c r="Q10" s="1365"/>
      <c r="R10" s="1597">
        <v>9</v>
      </c>
      <c r="S10" s="1598"/>
      <c r="T10" s="1597" t="e">
        <f t="shared" si="0"/>
        <v>#DIV/0!</v>
      </c>
      <c r="U10" s="1598"/>
      <c r="V10" s="1597" t="e">
        <f t="shared" si="1"/>
        <v>#DIV/0!</v>
      </c>
      <c r="W10" s="338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76"/>
      <c r="B11" s="2747" t="s">
        <v>2859</v>
      </c>
      <c r="C11" s="917">
        <f>C10/4</f>
        <v>0</v>
      </c>
      <c r="D11" s="917" t="s">
        <v>142</v>
      </c>
      <c r="E11" s="917" t="e">
        <f>ROUND(C11/E7,4)</f>
        <v>#DIV/0!</v>
      </c>
      <c r="F11" s="2748" t="s">
        <v>2860</v>
      </c>
      <c r="G11" s="2749"/>
      <c r="H11" s="2749"/>
      <c r="I11" s="2749"/>
      <c r="J11" s="2750"/>
      <c r="K11" s="1365"/>
      <c r="L11" s="2719" t="s">
        <v>2861</v>
      </c>
      <c r="M11" s="1078">
        <f>SUMPRODUCT((区片价!B317:B337=I2)*(区片价!C3:F3=E2)*(区片价!C317:F337))</f>
        <v>0</v>
      </c>
      <c r="N11" s="1080">
        <f>SUMPRODUCT((因素修正幅度!B317:B337=I2)*(因素修正幅度!C3:F3=E2)*(因素修正幅度!C317:F337))</f>
        <v>0</v>
      </c>
      <c r="O11" s="1365"/>
      <c r="P11" s="1365"/>
      <c r="Q11" s="1365"/>
      <c r="R11" s="1597">
        <v>10</v>
      </c>
      <c r="S11" s="1598"/>
      <c r="T11" s="1597" t="e">
        <f t="shared" si="0"/>
        <v>#DIV/0!</v>
      </c>
      <c r="U11" s="1598"/>
      <c r="V11" s="1597" t="e">
        <f t="shared" si="1"/>
        <v>#DIV/0!</v>
      </c>
      <c r="W11" s="3388" t="s">
        <v>2862</v>
      </c>
      <c r="X11" s="1609" t="s">
        <v>2863</v>
      </c>
      <c r="Y11" s="1610">
        <f>$G$3</f>
        <v>7.7</v>
      </c>
      <c r="Z11" s="1610">
        <f t="shared" ref="Z11:AJ11" si="3">$G$3</f>
        <v>7.7</v>
      </c>
      <c r="AA11" s="1610">
        <f t="shared" si="3"/>
        <v>7.7</v>
      </c>
      <c r="AB11" s="1610">
        <f t="shared" si="3"/>
        <v>7.7</v>
      </c>
      <c r="AC11" s="1610">
        <f t="shared" si="3"/>
        <v>7.7</v>
      </c>
      <c r="AD11" s="1610">
        <f t="shared" si="3"/>
        <v>7.7</v>
      </c>
      <c r="AE11" s="1610">
        <f t="shared" si="3"/>
        <v>7.7</v>
      </c>
      <c r="AF11" s="1610">
        <f t="shared" si="3"/>
        <v>7.7</v>
      </c>
      <c r="AG11" s="1610">
        <f t="shared" si="3"/>
        <v>7.7</v>
      </c>
      <c r="AH11" s="1610">
        <f t="shared" si="3"/>
        <v>7.7</v>
      </c>
      <c r="AI11" s="1610">
        <f t="shared" si="3"/>
        <v>7.7</v>
      </c>
      <c r="AJ11" s="1610">
        <f t="shared" si="3"/>
        <v>7.7</v>
      </c>
    </row>
    <row r="12" spans="1:36" ht="25.5" thickBot="1">
      <c r="A12" s="3375" t="s">
        <v>2864</v>
      </c>
      <c r="B12" s="2751" t="s">
        <v>2865</v>
      </c>
      <c r="C12" s="913">
        <f>ROUND(C15*D15*E15*F15*G15*H15*I15*J15,4)</f>
        <v>1</v>
      </c>
      <c r="D12" s="2752" t="s">
        <v>2866</v>
      </c>
      <c r="E12" s="2753"/>
      <c r="F12" s="2753"/>
      <c r="G12" s="2754"/>
      <c r="H12" s="2754"/>
      <c r="I12" s="2754"/>
      <c r="J12" s="2755"/>
      <c r="K12" s="1365"/>
      <c r="L12" s="2756" t="s">
        <v>2867</v>
      </c>
      <c r="M12" s="1079">
        <f>SUMPRODUCT((区片价!B338:B344=I2)*(区片价!C3:F3=E2)*(区片价!C338:F344))</f>
        <v>0</v>
      </c>
      <c r="N12" s="1080">
        <f>SUMPRODUCT((因素修正幅度!B338:B344=I2)*(因素修正幅度!C3:F3=E2)*(因素修正幅度!C338:F344))</f>
        <v>0</v>
      </c>
      <c r="O12" s="1365"/>
      <c r="P12" s="1365"/>
      <c r="Q12" s="1365"/>
      <c r="R12" s="1597">
        <v>11</v>
      </c>
      <c r="S12" s="1598"/>
      <c r="T12" s="1597" t="e">
        <f t="shared" si="0"/>
        <v>#DIV/0!</v>
      </c>
      <c r="U12" s="1598"/>
      <c r="V12" s="1597" t="e">
        <f t="shared" si="1"/>
        <v>#DIV/0!</v>
      </c>
      <c r="W12" s="3388"/>
      <c r="X12" s="1611" t="s">
        <v>2868</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93"/>
      <c r="B13" s="2757" t="s">
        <v>2869</v>
      </c>
      <c r="C13" s="2758" t="s">
        <v>2870</v>
      </c>
      <c r="D13" s="1803" t="s">
        <v>2871</v>
      </c>
      <c r="E13" s="1803" t="s">
        <v>2872</v>
      </c>
      <c r="F13" s="29" t="s">
        <v>2873</v>
      </c>
      <c r="G13" s="2759" t="s">
        <v>2874</v>
      </c>
      <c r="H13" s="2759" t="s">
        <v>2874</v>
      </c>
      <c r="I13" s="2759" t="s">
        <v>2874</v>
      </c>
      <c r="J13" s="2760" t="s">
        <v>2874</v>
      </c>
      <c r="K13" s="1365"/>
      <c r="L13" s="1365"/>
      <c r="M13" s="1365"/>
      <c r="N13" s="1365"/>
      <c r="O13" s="1365"/>
      <c r="P13" s="1365"/>
      <c r="Q13" s="1365"/>
      <c r="R13" s="1597">
        <v>12</v>
      </c>
      <c r="S13" s="1598"/>
      <c r="T13" s="1597" t="e">
        <f t="shared" si="0"/>
        <v>#DIV/0!</v>
      </c>
      <c r="U13" s="1598"/>
      <c r="V13" s="1597" t="e">
        <f t="shared" si="1"/>
        <v>#DIV/0!</v>
      </c>
      <c r="W13" s="3388"/>
      <c r="X13" s="1611"/>
      <c r="Y13" s="1608">
        <f>(-0.163*(Y12^2)-0.59*Y12+7617)*(10^(-4))/Y11</f>
        <v>9.8922077922077925E-2</v>
      </c>
      <c r="Z13" s="1608">
        <f t="shared" ref="Z13:AJ13" si="5">(-0.163*(Z12^2)-0.59*Z12+7617)*(10^(-4))/Z11</f>
        <v>9.8922077922077925E-2</v>
      </c>
      <c r="AA13" s="1608">
        <f t="shared" si="5"/>
        <v>9.8922077922077925E-2</v>
      </c>
      <c r="AB13" s="1608">
        <f t="shared" si="5"/>
        <v>9.8922077922077925E-2</v>
      </c>
      <c r="AC13" s="1608">
        <f t="shared" si="5"/>
        <v>9.8922077922077925E-2</v>
      </c>
      <c r="AD13" s="1608">
        <f t="shared" si="5"/>
        <v>9.8922077922077925E-2</v>
      </c>
      <c r="AE13" s="1608">
        <f t="shared" si="5"/>
        <v>9.8922077922077925E-2</v>
      </c>
      <c r="AF13" s="1608">
        <f t="shared" si="5"/>
        <v>9.8922077922077925E-2</v>
      </c>
      <c r="AG13" s="1608">
        <f t="shared" si="5"/>
        <v>9.8922077922077925E-2</v>
      </c>
      <c r="AH13" s="1608">
        <f t="shared" si="5"/>
        <v>9.8922077922077925E-2</v>
      </c>
      <c r="AI13" s="1608">
        <f t="shared" si="5"/>
        <v>9.8922077922077925E-2</v>
      </c>
      <c r="AJ13" s="1608">
        <f t="shared" si="5"/>
        <v>9.8922077922077925E-2</v>
      </c>
    </row>
    <row r="14" spans="1:36" ht="15">
      <c r="A14" s="3393"/>
      <c r="B14" s="2761"/>
      <c r="C14" s="2762"/>
      <c r="D14" s="2763"/>
      <c r="E14" s="2763"/>
      <c r="F14" s="2764"/>
      <c r="G14" s="2765" t="s">
        <v>2875</v>
      </c>
      <c r="H14" s="2766"/>
      <c r="I14" s="2767"/>
      <c r="J14" s="2768"/>
      <c r="K14" s="1365"/>
      <c r="L14" s="1365"/>
      <c r="M14" s="1365"/>
      <c r="N14" s="1365"/>
      <c r="O14" s="1365"/>
      <c r="P14" s="1365"/>
      <c r="Q14" s="1365"/>
      <c r="R14" s="1597">
        <v>13</v>
      </c>
      <c r="S14" s="1598"/>
      <c r="T14" s="1597" t="e">
        <f t="shared" si="0"/>
        <v>#DIV/0!</v>
      </c>
      <c r="U14" s="1598"/>
      <c r="V14" s="1597" t="e">
        <f t="shared" si="1"/>
        <v>#DIV/0!</v>
      </c>
      <c r="W14" s="1601"/>
      <c r="X14" s="1601"/>
      <c r="Y14" s="1601"/>
      <c r="Z14" s="1601"/>
      <c r="AA14" s="1601"/>
      <c r="AB14" s="1601"/>
      <c r="AC14" s="1602"/>
      <c r="AD14" s="1603"/>
      <c r="AE14" s="1603"/>
      <c r="AF14" s="1603"/>
      <c r="AG14" s="1603"/>
      <c r="AH14" s="1603"/>
      <c r="AI14" s="1603"/>
      <c r="AJ14" s="1604"/>
    </row>
    <row r="15" spans="1:36" ht="15.75" thickBot="1">
      <c r="A15" s="3394"/>
      <c r="B15" s="2769" t="s">
        <v>2876</v>
      </c>
      <c r="C15" s="228">
        <f>IF(C14="有",1.1,1)</f>
        <v>1</v>
      </c>
      <c r="D15" s="228">
        <f>IF(D14="有",1.1,1)</f>
        <v>1</v>
      </c>
      <c r="E15" s="228">
        <f>IF(E14="有",1.1,1)</f>
        <v>1</v>
      </c>
      <c r="F15" s="228">
        <f>IF(F14="500米范围内",1.2,IF(F14="500-1000米",1.1,1))</f>
        <v>1</v>
      </c>
      <c r="G15" s="943">
        <v>1</v>
      </c>
      <c r="H15" s="943">
        <v>1</v>
      </c>
      <c r="I15" s="943">
        <v>1</v>
      </c>
      <c r="J15" s="944">
        <v>1</v>
      </c>
      <c r="K15" s="1365"/>
      <c r="L15" s="2770" t="s">
        <v>2812</v>
      </c>
      <c r="M15" s="914" t="s">
        <v>2877</v>
      </c>
      <c r="N15" s="914" t="s">
        <v>2878</v>
      </c>
      <c r="O15" s="914" t="s">
        <v>2879</v>
      </c>
      <c r="P15" s="2771" t="s">
        <v>2880</v>
      </c>
      <c r="Q15" s="1365"/>
      <c r="R15" s="1597">
        <v>14</v>
      </c>
      <c r="S15" s="1598"/>
      <c r="T15" s="1597" t="e">
        <f t="shared" si="0"/>
        <v>#DIV/0!</v>
      </c>
      <c r="U15" s="1598"/>
      <c r="V15" s="1597" t="e">
        <f t="shared" si="1"/>
        <v>#DIV/0!</v>
      </c>
      <c r="W15" s="1601"/>
      <c r="X15" s="1601"/>
      <c r="Y15" s="1601"/>
      <c r="Z15" s="1601"/>
      <c r="AA15" s="1601"/>
      <c r="AB15" s="1601"/>
      <c r="AC15" s="1602"/>
      <c r="AD15" s="1603"/>
      <c r="AE15" s="1603"/>
      <c r="AF15" s="1603"/>
      <c r="AG15" s="1603"/>
      <c r="AH15" s="1603"/>
      <c r="AI15" s="1603"/>
      <c r="AJ15" s="1604"/>
    </row>
    <row r="16" spans="1:36" ht="24">
      <c r="A16" s="3375" t="s">
        <v>2881</v>
      </c>
      <c r="B16" s="2738" t="s">
        <v>2882</v>
      </c>
      <c r="C16" s="1796" t="e">
        <f>ROUND(SUM(G17:J17)/C17,0)</f>
        <v>#DIV/0!</v>
      </c>
      <c r="D16" s="2772" t="s">
        <v>2883</v>
      </c>
      <c r="E16" s="2773"/>
      <c r="F16" s="2774"/>
      <c r="G16" s="2775"/>
      <c r="H16" s="2775"/>
      <c r="I16" s="2775"/>
      <c r="J16" s="2776"/>
      <c r="K16" s="1365"/>
      <c r="L16" s="2777" t="s">
        <v>2884</v>
      </c>
      <c r="M16" s="916">
        <v>0.25</v>
      </c>
      <c r="N16" s="916">
        <v>0.2</v>
      </c>
      <c r="O16" s="916">
        <v>0.15</v>
      </c>
      <c r="P16" s="1364">
        <v>0.1</v>
      </c>
      <c r="Q16" s="1365"/>
      <c r="R16" s="1597">
        <v>15</v>
      </c>
      <c r="S16" s="1598"/>
      <c r="T16" s="1597" t="e">
        <f t="shared" si="0"/>
        <v>#DIV/0!</v>
      </c>
      <c r="U16" s="1598"/>
      <c r="V16" s="1597" t="e">
        <f t="shared" si="1"/>
        <v>#DIV/0!</v>
      </c>
      <c r="W16" s="1601"/>
      <c r="X16" s="1601"/>
      <c r="Y16" s="1601"/>
      <c r="Z16" s="1601"/>
      <c r="AA16" s="1601"/>
      <c r="AB16" s="1601"/>
      <c r="AC16" s="1602"/>
      <c r="AD16" s="1603"/>
      <c r="AE16" s="1603"/>
      <c r="AF16" s="1603"/>
      <c r="AG16" s="1603"/>
      <c r="AH16" s="1603"/>
      <c r="AI16" s="1603"/>
      <c r="AJ16" s="1604"/>
    </row>
    <row r="17" spans="1:37" ht="13.5" thickBot="1">
      <c r="A17" s="3376"/>
      <c r="B17" s="2778" t="s">
        <v>2885</v>
      </c>
      <c r="C17" s="918">
        <f>SUMPRODUCT((修正!A2:A5=E2)*(修正!B1:M1=G2)*(修正!B2:M5))</f>
        <v>0</v>
      </c>
      <c r="D17" s="2779" t="s">
        <v>2886</v>
      </c>
      <c r="E17" s="917" t="str">
        <f>IF(OR(G2="八级",G2="九级",G2="十级",G2="十一级",G2="十二级"),"五通一平","七通一平")</f>
        <v>七通一平</v>
      </c>
      <c r="F17" s="918" t="s">
        <v>2887</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5"/>
      <c r="L17" s="2780" t="s">
        <v>2888</v>
      </c>
      <c r="M17" s="210">
        <f ca="1">ROUND($E$20*(1+M16),3)</f>
        <v>5.3999999999999999E-2</v>
      </c>
      <c r="N17" s="210">
        <f ca="1">ROUND($E$20*(1+N16),3)</f>
        <v>5.1999999999999998E-2</v>
      </c>
      <c r="O17" s="210">
        <f ca="1">ROUND($E$20*(1+O16),3)</f>
        <v>0.05</v>
      </c>
      <c r="P17" s="1368">
        <f ca="1">ROUND($E$20*(1+P16),3)</f>
        <v>4.8000000000000001E-2</v>
      </c>
      <c r="Q17" s="1365"/>
      <c r="R17" s="1365"/>
      <c r="S17" s="1365"/>
      <c r="T17" s="1365"/>
      <c r="U17" s="1365"/>
      <c r="V17" s="1365"/>
      <c r="W17" s="1365"/>
      <c r="X17" s="1365"/>
      <c r="Y17" s="1365"/>
      <c r="Z17" s="1366"/>
      <c r="AE17" s="2781"/>
      <c r="AF17" s="2781"/>
      <c r="AG17" s="2713"/>
      <c r="AH17" s="2713"/>
      <c r="AI17" s="2713"/>
      <c r="AJ17" s="2713"/>
    </row>
    <row r="18" spans="1:37" s="2731" customFormat="1" ht="15.75" thickBot="1">
      <c r="A18" s="2782" t="s">
        <v>808</v>
      </c>
      <c r="B18" s="2783" t="s">
        <v>2889</v>
      </c>
      <c r="C18" s="920">
        <f>SUMIF(修正!C18:C39,E3,修正!E18:E39)</f>
        <v>0</v>
      </c>
      <c r="D18" s="2784"/>
      <c r="E18" s="2785"/>
      <c r="F18" s="2786"/>
      <c r="G18" s="2787"/>
      <c r="H18" s="2787"/>
      <c r="I18" s="2787"/>
      <c r="J18" s="2788"/>
      <c r="K18" s="1372"/>
      <c r="O18" s="1370"/>
      <c r="P18" s="1370"/>
      <c r="Q18" s="1371"/>
      <c r="R18" s="1371"/>
      <c r="S18" s="1371"/>
      <c r="T18" s="1366"/>
      <c r="U18" s="1366"/>
      <c r="V18" s="1366"/>
      <c r="W18" s="1365"/>
      <c r="X18" s="1365"/>
      <c r="Y18" s="1365"/>
      <c r="Z18" s="1372"/>
      <c r="AA18" s="1373"/>
      <c r="AB18" s="1373"/>
      <c r="AC18" s="1373"/>
      <c r="AD18" s="1373"/>
      <c r="AE18" s="1367"/>
      <c r="AF18" s="1367"/>
      <c r="AG18" s="2789"/>
      <c r="AH18" s="2789"/>
      <c r="AI18" s="2789"/>
    </row>
    <row r="19" spans="1:37" s="2731" customFormat="1" ht="27.75" thickBot="1">
      <c r="A19" s="2782" t="s">
        <v>809</v>
      </c>
      <c r="B19" s="2783" t="s">
        <v>2890</v>
      </c>
      <c r="C19" s="921" t="e">
        <f>ROUND(IF(H19="按公示增长率计算",SUMPRODUCT((地价!A3:A22=YEAR(G19)&amp;"-"&amp;ROUNDUP(MONTH(G19)/3,0))*(地价!X2:AB2=E2)*(地价!X3:AB22)),IF(H19="地价指数",M20/M19,(1+I19)^O19)),4)</f>
        <v>#DIV/0!</v>
      </c>
      <c r="D19" s="2790" t="s">
        <v>2891</v>
      </c>
      <c r="E19" s="922">
        <v>41640</v>
      </c>
      <c r="F19" s="2790" t="s">
        <v>2892</v>
      </c>
      <c r="G19" s="923">
        <f>'数据-取费表'!B2</f>
        <v>43209</v>
      </c>
      <c r="H19" s="2791" t="s">
        <v>2893</v>
      </c>
      <c r="I19" s="924" t="str">
        <f>IF(H19="季度增幅（自定义）",SUMIF(N21:N24,E2,O21:O24),"")</f>
        <v/>
      </c>
      <c r="J19" s="2788"/>
      <c r="K19" s="1372"/>
      <c r="L19" s="2792" t="s">
        <v>2894</v>
      </c>
      <c r="M19" s="1729">
        <f>ROUND(SUMIF(地价!B2:F2,E2,地价!B22:F22),0)</f>
        <v>0</v>
      </c>
      <c r="N19" s="2793" t="s">
        <v>2895</v>
      </c>
      <c r="O19" s="925">
        <f>ROUNDDOWN(DATEDIF(E19,G19,"M")/3,0)</f>
        <v>17</v>
      </c>
      <c r="P19" s="1369"/>
      <c r="Q19" s="1371"/>
      <c r="R19" s="1371"/>
      <c r="S19" s="1371"/>
      <c r="T19" s="1366"/>
      <c r="U19" s="1366"/>
      <c r="V19" s="1366"/>
      <c r="W19" s="1365"/>
      <c r="X19" s="1365"/>
      <c r="Y19" s="1365"/>
      <c r="Z19" s="1372"/>
      <c r="AA19" s="1373"/>
      <c r="AB19" s="1373"/>
      <c r="AC19" s="1373"/>
      <c r="AD19" s="1373"/>
      <c r="AE19" s="1373"/>
      <c r="AF19" s="2794"/>
      <c r="AG19" s="2795"/>
      <c r="AH19" s="2789"/>
      <c r="AI19" s="2796"/>
      <c r="AJ19" s="2796"/>
      <c r="AK19" s="2796"/>
    </row>
    <row r="20" spans="1:37" s="2731" customFormat="1" ht="27.75" thickBot="1">
      <c r="A20" s="2797" t="s">
        <v>810</v>
      </c>
      <c r="B20" s="2798" t="s">
        <v>2896</v>
      </c>
      <c r="C20" s="926" t="e">
        <f>ROUND(POWER(1+G20,J20-I20)*(POWER(1+G20,I20)-1)/(POWER(1+G20,J20)-1),4)</f>
        <v>#DIV/0!</v>
      </c>
      <c r="D20" s="2799" t="s">
        <v>2897</v>
      </c>
      <c r="E20" s="1763">
        <f ca="1">存贷款利率!D4/100</f>
        <v>4.3499999999999997E-2</v>
      </c>
      <c r="F20" s="2799" t="s">
        <v>2888</v>
      </c>
      <c r="G20" s="931">
        <f>SUMIF(M15:P15,E2,M17:P17)</f>
        <v>0</v>
      </c>
      <c r="H20" s="2799" t="s">
        <v>2898</v>
      </c>
      <c r="I20" s="932" t="e">
        <f>SUMIF('数据-取费表'!C6:C15,E2,'数据-取费表'!F6:F15)/COUNTIF('数据-取费表'!C6:C15,E2)</f>
        <v>#DIV/0!</v>
      </c>
      <c r="J20" s="933">
        <f>IF(E2="住宅",70,IF(E2="商业",40,50))</f>
        <v>50</v>
      </c>
      <c r="K20" s="1372"/>
      <c r="L20" s="2800" t="s">
        <v>2899</v>
      </c>
      <c r="M20" s="1730">
        <f>ROUND(SUMPRODUCT((地价!A4:A22=YEAR(G19)&amp;"-"&amp;ROUNDUP(MONTH(G19)/3,0))*(地价!B2:F2=E2)*(地价!B4:F22)),0)</f>
        <v>0</v>
      </c>
      <c r="N20" s="2801" t="s">
        <v>2900</v>
      </c>
      <c r="O20" s="2802" t="s">
        <v>2901</v>
      </c>
      <c r="P20" s="2803" t="s">
        <v>2902</v>
      </c>
      <c r="R20" s="1371"/>
      <c r="S20" s="1371"/>
      <c r="T20" s="1366"/>
      <c r="U20" s="1366"/>
      <c r="V20" s="1366"/>
      <c r="W20" s="1365"/>
      <c r="X20" s="1365"/>
      <c r="Y20" s="1365"/>
      <c r="Z20" s="1372"/>
      <c r="AA20" s="1373"/>
      <c r="AB20" s="1373"/>
      <c r="AC20" s="1373"/>
      <c r="AD20" s="1373"/>
      <c r="AE20" s="1373"/>
      <c r="AF20" s="1373"/>
    </row>
    <row r="21" spans="1:37" s="2731" customFormat="1" ht="15">
      <c r="A21" s="2804" t="s">
        <v>811</v>
      </c>
      <c r="B21" s="2805" t="s">
        <v>2903</v>
      </c>
      <c r="C21" s="934">
        <f>IF(B21="容积率修正",IF(G3&lt;=10,D22,J22),C23)</f>
        <v>0</v>
      </c>
      <c r="D21" s="2806"/>
      <c r="E21" s="2806"/>
      <c r="F21" s="2806"/>
      <c r="G21" s="2806"/>
      <c r="H21" s="2806"/>
      <c r="I21" s="2806"/>
      <c r="J21" s="2807"/>
      <c r="K21" s="1372"/>
      <c r="N21" s="2808" t="s">
        <v>2904</v>
      </c>
      <c r="O21" s="1556"/>
      <c r="P21" s="1557">
        <f>SUMPRODUCT((地价!A3:A22=YEAR(G19)&amp;"-"&amp;ROUNDUP(MONTH(G19)/3,0))*(地价!AD2:AH2=N21)*(地价!AD3:AH22))</f>
        <v>1.46E-2</v>
      </c>
      <c r="R21" s="1371"/>
      <c r="S21" s="1371"/>
      <c r="T21" s="1366"/>
      <c r="U21" s="1366"/>
      <c r="V21" s="1366"/>
      <c r="W21" s="1365"/>
      <c r="X21" s="1365"/>
      <c r="Y21" s="1365"/>
      <c r="Z21" s="1372"/>
      <c r="AA21" s="1373"/>
      <c r="AB21" s="1373"/>
      <c r="AC21" s="1373"/>
      <c r="AD21" s="1373"/>
      <c r="AE21" s="1373"/>
      <c r="AF21" s="1373"/>
    </row>
    <row r="22" spans="1:37" s="2731" customFormat="1" ht="14.25">
      <c r="A22" s="2657" t="s">
        <v>2905</v>
      </c>
      <c r="B22" s="2809" t="s">
        <v>2906</v>
      </c>
      <c r="C22" s="1805" t="s">
        <v>2907</v>
      </c>
      <c r="D22" s="1805" t="b">
        <f>IF(E22=G22,F22,IF(G3&lt;=10,ROUND(F22+(H22-F22)*(G3-E22)/(G22-E22),4),"——"))</f>
        <v>0</v>
      </c>
      <c r="E22" s="910">
        <f>ROUNDDOWN(G3,1)</f>
        <v>7.7</v>
      </c>
      <c r="F22" s="18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0">
        <f>ROUNDUP(G3,1)</f>
        <v>7.7</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5" t="str">
        <f>IF(G3&gt;10,D113,"——")</f>
        <v>——</v>
      </c>
      <c r="K22" s="1372"/>
      <c r="N22" s="2808" t="s">
        <v>2908</v>
      </c>
      <c r="O22" s="1556"/>
      <c r="P22" s="1557">
        <f>SUMPRODUCT((地价!A3:A22=YEAR(G19)&amp;"-"&amp;ROUNDUP(MONTH(G19)/3,0))*(地价!AD2:AH2=N22)*(地价!AD3:AH22))</f>
        <v>1.46E-2</v>
      </c>
      <c r="R22" s="1371"/>
      <c r="S22" s="1371"/>
      <c r="T22" s="1366"/>
      <c r="U22" s="1366"/>
      <c r="V22" s="1366"/>
      <c r="W22" s="1365"/>
      <c r="X22" s="1365"/>
      <c r="Y22" s="1365"/>
      <c r="Z22" s="1372"/>
      <c r="AA22" s="1373"/>
      <c r="AB22" s="1373"/>
      <c r="AC22" s="1373"/>
      <c r="AD22" s="1373"/>
      <c r="AE22" s="1373"/>
      <c r="AF22" s="1373"/>
    </row>
    <row r="23" spans="1:37" ht="27.75" thickBot="1">
      <c r="A23" s="2657" t="s">
        <v>2909</v>
      </c>
      <c r="B23" s="2810" t="s">
        <v>2910</v>
      </c>
      <c r="C23" s="1010">
        <f>ROUND(IF(G3&gt;1,IF(I3&lt;7,SUMPRODUCT((B93:B98=I3)*(C92:N92=G2)*(C93:N98)),SUMIF(C92:N92,G2,C100:N100)),IF(I3&lt;7,SUMPRODUCT((B102:B107=I3)*(C92:N92=G2)*(C102:N107)),SUMIF(C92:N92,G2,C109:N109))),4)</f>
        <v>0</v>
      </c>
      <c r="D23" s="2766"/>
      <c r="E23" s="2766"/>
      <c r="F23" s="2811"/>
      <c r="G23" s="2812"/>
      <c r="H23" s="2813"/>
      <c r="I23" s="2814"/>
      <c r="J23" s="2815"/>
      <c r="K23" s="1365"/>
      <c r="N23" s="2808" t="s">
        <v>2911</v>
      </c>
      <c r="O23" s="1556"/>
      <c r="P23" s="1557">
        <f>SUMPRODUCT((地价!A3:A22=YEAR(G19)&amp;"-"&amp;ROUNDUP(MONTH(G19)/3,0))*(地价!AD2:AH2=N23)*(地价!AD3:AH22))</f>
        <v>2.41E-2</v>
      </c>
      <c r="R23" s="1371"/>
      <c r="S23" s="1371"/>
      <c r="T23" s="1366"/>
      <c r="U23" s="1366"/>
      <c r="V23" s="1366"/>
      <c r="W23" s="1365"/>
      <c r="X23" s="1365"/>
      <c r="Y23" s="1365"/>
      <c r="Z23" s="1372"/>
      <c r="AA23" s="1373"/>
      <c r="AB23" s="1373"/>
      <c r="AC23" s="1373"/>
      <c r="AD23" s="1373"/>
      <c r="AK23" s="2789"/>
    </row>
    <row r="24" spans="1:37" s="2731" customFormat="1" ht="15.75" thickBot="1">
      <c r="A24" s="2797" t="s">
        <v>812</v>
      </c>
      <c r="B24" s="2783" t="s">
        <v>2912</v>
      </c>
      <c r="C24" s="921">
        <f>SUMIF(A45:A88,E2,B45:B88)</f>
        <v>0</v>
      </c>
      <c r="D24" s="2786"/>
      <c r="E24" s="2816"/>
      <c r="F24" s="2816"/>
      <c r="G24" s="2816"/>
      <c r="H24" s="2816"/>
      <c r="I24" s="2816"/>
      <c r="J24" s="2817"/>
      <c r="K24" s="1372"/>
      <c r="N24" s="2818" t="s">
        <v>2913</v>
      </c>
      <c r="O24" s="1558"/>
      <c r="P24" s="1559">
        <f>SUMPRODUCT((地价!A3:A22=YEAR(G19)&amp;"-"&amp;ROUNDUP(MONTH(G19)/3,0))*(地价!AD2:AH2=N24)*(地价!AD3:AH22))</f>
        <v>1.24E-2</v>
      </c>
      <c r="R24" s="1371"/>
      <c r="S24" s="1371"/>
      <c r="T24" s="1366"/>
      <c r="U24" s="1366"/>
      <c r="V24" s="1366"/>
      <c r="W24" s="1365"/>
      <c r="X24" s="1365"/>
      <c r="Y24" s="1365"/>
      <c r="Z24" s="1372"/>
      <c r="AA24" s="1373"/>
      <c r="AB24" s="1373"/>
      <c r="AC24" s="1373"/>
      <c r="AD24" s="1373"/>
      <c r="AE24" s="1373"/>
      <c r="AF24" s="1373"/>
    </row>
    <row r="25" spans="1:37" ht="15.75" thickBot="1">
      <c r="A25" s="2797" t="s">
        <v>813</v>
      </c>
      <c r="B25" s="2819" t="s">
        <v>2914</v>
      </c>
      <c r="C25" s="927"/>
      <c r="D25" s="2741"/>
      <c r="E25" s="2741"/>
      <c r="F25" s="2820"/>
      <c r="G25" s="2741"/>
      <c r="H25" s="2741"/>
      <c r="I25" s="2741"/>
      <c r="J25" s="2742"/>
      <c r="K25" s="1365"/>
      <c r="N25" s="2821" t="s">
        <v>2915</v>
      </c>
      <c r="O25" s="1560"/>
      <c r="P25" s="1559">
        <f>SUMPRODUCT((地价!A3:A22=YEAR(G19)&amp;"-"&amp;ROUNDUP(MONTH(G19)/3,0))*(地价!AD2:AH2=N25)*(地价!AD3:AH22))</f>
        <v>2.1700000000000001E-2</v>
      </c>
      <c r="R25" s="1371"/>
      <c r="S25" s="1371"/>
      <c r="T25" s="1366"/>
      <c r="U25" s="1366"/>
      <c r="V25" s="1366"/>
      <c r="W25" s="1365"/>
      <c r="X25" s="1365"/>
      <c r="Y25" s="1365"/>
      <c r="Z25" s="1372"/>
      <c r="AA25" s="1373"/>
      <c r="AB25" s="1373"/>
      <c r="AC25" s="1373"/>
      <c r="AD25" s="1373"/>
    </row>
    <row r="26" spans="1:37" ht="15">
      <c r="A26" s="2822"/>
      <c r="B26" s="2809" t="s">
        <v>2916</v>
      </c>
      <c r="C26" s="205" t="e">
        <f>E29+SUM(E33:E39)</f>
        <v>#DIV/0!</v>
      </c>
      <c r="D26" s="2823"/>
      <c r="E26" s="2766"/>
      <c r="F26" s="2824"/>
      <c r="G26" s="2766"/>
      <c r="H26" s="2766"/>
      <c r="I26" s="2766"/>
      <c r="J26" s="2825"/>
      <c r="K26" s="1365"/>
      <c r="R26" s="1371"/>
      <c r="S26" s="1371"/>
      <c r="T26" s="1366"/>
      <c r="U26" s="1366"/>
      <c r="V26" s="1366"/>
      <c r="W26" s="1365"/>
      <c r="X26" s="1365"/>
      <c r="Y26" s="1365"/>
      <c r="Z26" s="1372"/>
      <c r="AA26" s="1373"/>
      <c r="AB26" s="1373"/>
      <c r="AC26" s="1373"/>
      <c r="AD26" s="1373"/>
    </row>
    <row r="27" spans="1:37" ht="15.75" thickBot="1">
      <c r="A27" s="2822"/>
      <c r="B27" s="2826" t="s">
        <v>2917</v>
      </c>
      <c r="C27" s="928" t="e">
        <f>E30+SUM(I33:I39)</f>
        <v>#DIV/0!</v>
      </c>
      <c r="D27" s="2827"/>
      <c r="E27" s="2828"/>
      <c r="F27" s="2829"/>
      <c r="G27" s="2828"/>
      <c r="H27" s="2828"/>
      <c r="I27" s="2828"/>
      <c r="J27" s="2830"/>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1"/>
      <c r="B28" s="2832" t="s">
        <v>2918</v>
      </c>
      <c r="C28" s="2833" t="s">
        <v>2919</v>
      </c>
      <c r="D28" s="2833" t="s">
        <v>2920</v>
      </c>
      <c r="E28" s="2834" t="s">
        <v>2921</v>
      </c>
      <c r="F28" s="2835"/>
      <c r="G28" s="2754"/>
      <c r="H28" s="2754"/>
      <c r="I28" s="2754"/>
      <c r="J28" s="2755"/>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6"/>
      <c r="B29" s="2837" t="s">
        <v>2922</v>
      </c>
      <c r="C29" s="205" t="e">
        <f>ROUND(C5*C18*C19*C20*C21*C24,0)</f>
        <v>#DIV/0!</v>
      </c>
      <c r="D29" s="2838"/>
      <c r="E29" s="939" t="e">
        <f>ROUND(C29*D29/10000,0)</f>
        <v>#DIV/0!</v>
      </c>
      <c r="F29" s="2839" t="s">
        <v>2923</v>
      </c>
      <c r="G29" s="2840"/>
      <c r="H29" s="2840"/>
      <c r="I29" s="2840"/>
      <c r="J29" s="2841"/>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3"/>
      <c r="AH29" s="2713"/>
      <c r="AI29" s="2713"/>
      <c r="AJ29" s="2713"/>
    </row>
    <row r="30" spans="1:37" ht="25.5" thickBot="1">
      <c r="A30" s="2842"/>
      <c r="B30" s="2843" t="s">
        <v>2924</v>
      </c>
      <c r="C30" s="228" t="e">
        <f>ROUND(IF(E2="工业",C29*M39,C29*M38),0)</f>
        <v>#DIV/0!</v>
      </c>
      <c r="D30" s="2844"/>
      <c r="E30" s="939" t="e">
        <f>ROUND(C30*D30/10000,0)</f>
        <v>#DIV/0!</v>
      </c>
      <c r="F30" s="2845" t="s">
        <v>2925</v>
      </c>
      <c r="G30" s="2846"/>
      <c r="H30" s="2846"/>
      <c r="I30" s="2846"/>
      <c r="J30" s="2847"/>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3"/>
      <c r="AH32" s="2713"/>
      <c r="AI32" s="2713"/>
      <c r="AJ32" s="2713"/>
    </row>
    <row r="33" spans="1:37" ht="36" customHeight="1">
      <c r="A33" s="3383" t="s">
        <v>2930</v>
      </c>
      <c r="B33" s="2854" t="s">
        <v>2931</v>
      </c>
      <c r="C33" s="205" t="e">
        <f>ROUND(D5*C19*C20*C24*F33,0)</f>
        <v>#DIV/0!</v>
      </c>
      <c r="D33" s="2838"/>
      <c r="E33" s="199" t="e">
        <f>ROUND(C33*D33/10000,0)</f>
        <v>#DIV/0!</v>
      </c>
      <c r="F33" s="199">
        <f>SUMIF(修正!A45:A56,G2,修正!B45:B56)</f>
        <v>0</v>
      </c>
      <c r="G33" s="199" t="e">
        <f t="shared" ref="G33:G39" si="6">ROUND(IF(E2="工业",C33*$M$39,C33*$M$38),0)</f>
        <v>#DIV/0!</v>
      </c>
      <c r="H33" s="199">
        <f>D33</f>
        <v>0</v>
      </c>
      <c r="I33" s="199" t="e">
        <f>ROUND(G33*H33/10000,0)</f>
        <v>#DIV/0!</v>
      </c>
      <c r="J33" s="2855"/>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84"/>
      <c r="B34" s="2758" t="s">
        <v>2932</v>
      </c>
      <c r="C34" s="205" t="e">
        <f>ROUND(D5*C19*C20*C24*F34,0)</f>
        <v>#DIV/0!</v>
      </c>
      <c r="D34" s="2838"/>
      <c r="E34" s="199" t="e">
        <f t="shared" ref="E34:E39" si="7">ROUND(C34*D34/10000,0)</f>
        <v>#DIV/0!</v>
      </c>
      <c r="F34" s="199">
        <f>SUMIF(修正!A45:A56,G2,修正!C45:C56)</f>
        <v>0</v>
      </c>
      <c r="G34" s="199" t="e">
        <f t="shared" si="6"/>
        <v>#DIV/0!</v>
      </c>
      <c r="H34" s="199">
        <f t="shared" ref="H34:H39" si="8">D34</f>
        <v>0</v>
      </c>
      <c r="I34" s="199" t="e">
        <f t="shared" ref="I34:I39" si="9">ROUND(G34*H34/10000,0)</f>
        <v>#DIV/0!</v>
      </c>
      <c r="J34" s="2855"/>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84"/>
      <c r="B35" s="2758" t="s">
        <v>2933</v>
      </c>
      <c r="C35" s="205" t="e">
        <f>ROUND(D5*C19*C20*C24*F35,0)</f>
        <v>#DIV/0!</v>
      </c>
      <c r="D35" s="2838"/>
      <c r="E35" s="199" t="e">
        <f t="shared" si="7"/>
        <v>#DIV/0!</v>
      </c>
      <c r="F35" s="199">
        <f>SUMIF(修正!A45:A56,G2,修正!D45:D56)</f>
        <v>0</v>
      </c>
      <c r="G35" s="199" t="e">
        <f t="shared" si="6"/>
        <v>#DIV/0!</v>
      </c>
      <c r="H35" s="199">
        <f t="shared" si="8"/>
        <v>0</v>
      </c>
      <c r="I35" s="199" t="e">
        <f t="shared" si="9"/>
        <v>#DIV/0!</v>
      </c>
      <c r="J35" s="2855"/>
      <c r="K35" s="1365"/>
      <c r="L35" s="1365"/>
      <c r="M35" s="1365"/>
      <c r="N35" s="1365"/>
      <c r="O35" s="1365"/>
      <c r="P35" s="1365"/>
      <c r="Q35" s="1365"/>
      <c r="R35" s="1365"/>
      <c r="S35" s="1365"/>
      <c r="T35" s="1365"/>
      <c r="U35" s="1365"/>
      <c r="V35" s="1365"/>
      <c r="W35" s="1365"/>
      <c r="X35" s="1365"/>
      <c r="Y35" s="1365"/>
      <c r="Z35" s="1366"/>
    </row>
    <row r="36" spans="1:37" ht="13.5" thickBot="1">
      <c r="A36" s="3385"/>
      <c r="B36" s="2758" t="s">
        <v>2934</v>
      </c>
      <c r="C36" s="205" t="e">
        <f>ROUND(D5*C19*C20*C24*F36,0)</f>
        <v>#DIV/0!</v>
      </c>
      <c r="D36" s="2838"/>
      <c r="E36" s="199" t="e">
        <f t="shared" si="7"/>
        <v>#DIV/0!</v>
      </c>
      <c r="F36" s="199">
        <f>SUMIF(修正!A45:A56,G2,修正!E45:E56)</f>
        <v>0</v>
      </c>
      <c r="G36" s="199" t="e">
        <f t="shared" si="6"/>
        <v>#DIV/0!</v>
      </c>
      <c r="H36" s="199">
        <f t="shared" si="8"/>
        <v>0</v>
      </c>
      <c r="I36" s="199" t="e">
        <f t="shared" si="9"/>
        <v>#DIV/0!</v>
      </c>
      <c r="J36" s="2855"/>
      <c r="K36" s="1365"/>
      <c r="L36" s="2712"/>
      <c r="M36" s="2712"/>
      <c r="N36" s="1365"/>
      <c r="O36" s="1365"/>
      <c r="P36" s="1365"/>
      <c r="Q36" s="1365"/>
      <c r="R36" s="1365"/>
      <c r="S36" s="1365"/>
      <c r="T36" s="1365"/>
      <c r="U36" s="1365"/>
      <c r="V36" s="1365"/>
      <c r="W36" s="1365"/>
      <c r="X36" s="1365"/>
      <c r="Y36" s="1365"/>
      <c r="Z36" s="1366"/>
    </row>
    <row r="37" spans="1:37">
      <c r="A37" s="2856"/>
      <c r="B37" s="2758" t="s">
        <v>2935</v>
      </c>
      <c r="C37" s="199" t="e">
        <f>ROUND(C5*C19*C20*C24*F37,0)</f>
        <v>#DIV/0!</v>
      </c>
      <c r="D37" s="2838"/>
      <c r="E37" s="199" t="e">
        <f t="shared" si="7"/>
        <v>#DIV/0!</v>
      </c>
      <c r="F37" s="205">
        <f>SUMIF(修正!A45:A56,G2,修正!F45:F56)</f>
        <v>0</v>
      </c>
      <c r="G37" s="199" t="e">
        <f t="shared" si="6"/>
        <v>#DIV/0!</v>
      </c>
      <c r="H37" s="199">
        <f t="shared" si="8"/>
        <v>0</v>
      </c>
      <c r="I37" s="199" t="e">
        <f t="shared" si="9"/>
        <v>#DIV/0!</v>
      </c>
      <c r="J37" s="2855"/>
      <c r="K37" s="1365"/>
      <c r="L37" s="2857" t="s">
        <v>2936</v>
      </c>
      <c r="M37" s="2858"/>
      <c r="N37" s="1365"/>
      <c r="O37" s="1365"/>
      <c r="P37" s="1365"/>
      <c r="Q37" s="1365"/>
      <c r="R37" s="1365"/>
      <c r="S37" s="1365"/>
      <c r="T37" s="1365"/>
      <c r="U37" s="1365"/>
      <c r="V37" s="1365"/>
      <c r="W37" s="1365"/>
      <c r="X37" s="1365"/>
      <c r="Y37" s="1365"/>
      <c r="Z37" s="1366"/>
    </row>
    <row r="38" spans="1:37">
      <c r="A38" s="2856"/>
      <c r="B38" s="2758" t="s">
        <v>2937</v>
      </c>
      <c r="C38" s="199" t="e">
        <f>ROUND(C5*C19*C20*C24*F38,0)</f>
        <v>#DIV/0!</v>
      </c>
      <c r="D38" s="2838"/>
      <c r="E38" s="199" t="e">
        <f t="shared" si="7"/>
        <v>#DIV/0!</v>
      </c>
      <c r="F38" s="205">
        <f>SUMIF(修正!A45:A56,G2,修正!G45:G56)</f>
        <v>0</v>
      </c>
      <c r="G38" s="199" t="e">
        <f t="shared" si="6"/>
        <v>#DIV/0!</v>
      </c>
      <c r="H38" s="199">
        <f t="shared" si="8"/>
        <v>0</v>
      </c>
      <c r="I38" s="199" t="e">
        <f t="shared" si="9"/>
        <v>#DIV/0!</v>
      </c>
      <c r="J38" s="2855"/>
      <c r="K38" s="1365"/>
      <c r="L38" s="1882" t="s">
        <v>2938</v>
      </c>
      <c r="M38" s="2859">
        <v>0.25</v>
      </c>
      <c r="N38" s="1365"/>
      <c r="O38" s="1365"/>
      <c r="P38" s="1365"/>
      <c r="Q38" s="1365"/>
      <c r="R38" s="1365"/>
      <c r="S38" s="1365"/>
      <c r="T38" s="1365"/>
      <c r="U38" s="1365"/>
      <c r="V38" s="1365"/>
      <c r="W38" s="1365"/>
      <c r="X38" s="1365"/>
      <c r="Y38" s="1365"/>
      <c r="Z38" s="1366"/>
    </row>
    <row r="39" spans="1:37" ht="13.5" thickBot="1">
      <c r="A39" s="2842"/>
      <c r="B39" s="2860" t="s">
        <v>2939</v>
      </c>
      <c r="C39" s="228" t="e">
        <f>ROUND(C5*C19*C20*C24*F39,0)</f>
        <v>#DIV/0!</v>
      </c>
      <c r="D39" s="2844"/>
      <c r="E39" s="228" t="e">
        <f t="shared" si="7"/>
        <v>#DIV/0!</v>
      </c>
      <c r="F39" s="929">
        <f>SUMIF(修正!A45:A56,G2,修正!H45:H56)</f>
        <v>0</v>
      </c>
      <c r="G39" s="228" t="e">
        <f t="shared" si="6"/>
        <v>#DIV/0!</v>
      </c>
      <c r="H39" s="228">
        <f t="shared" si="8"/>
        <v>0</v>
      </c>
      <c r="I39" s="228" t="e">
        <f t="shared" si="9"/>
        <v>#DIV/0!</v>
      </c>
      <c r="J39" s="2861"/>
      <c r="K39" s="1365"/>
      <c r="L39" s="2862" t="s">
        <v>2880</v>
      </c>
      <c r="M39" s="2863">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4"/>
      <c r="Z41" s="1366"/>
      <c r="AA41" s="1366"/>
      <c r="AB41" s="1366"/>
      <c r="AC41" s="1366"/>
      <c r="AD41" s="1366"/>
      <c r="AE41" s="1366"/>
      <c r="AF41" s="1366"/>
      <c r="AG41" s="1366"/>
      <c r="AH41" s="1366"/>
      <c r="AI41" s="1366"/>
      <c r="AJ41" s="1366"/>
    </row>
    <row r="42" spans="1:37" s="1365" customFormat="1">
      <c r="A42" s="1366"/>
      <c r="B42" s="2864"/>
      <c r="Z42" s="1366"/>
      <c r="AA42" s="1366"/>
      <c r="AB42" s="1366"/>
      <c r="AC42" s="1366"/>
      <c r="AD42" s="1366"/>
      <c r="AE42" s="1366"/>
      <c r="AF42" s="1366"/>
      <c r="AG42" s="1366"/>
      <c r="AH42" s="1366"/>
      <c r="AI42" s="1366"/>
      <c r="AJ42" s="1366"/>
    </row>
    <row r="43" spans="1:37" s="1365" customFormat="1">
      <c r="A43" s="1366"/>
      <c r="B43" s="2864"/>
      <c r="Z43" s="1366"/>
      <c r="AA43" s="1366"/>
      <c r="AB43" s="1366"/>
      <c r="AC43" s="1366"/>
      <c r="AD43" s="1366"/>
      <c r="AE43" s="1366"/>
      <c r="AF43" s="1366"/>
      <c r="AG43" s="1366"/>
      <c r="AH43" s="1366"/>
      <c r="AI43" s="1366"/>
      <c r="AJ43" s="1366"/>
    </row>
    <row r="44" spans="1:37" s="1365" customFormat="1">
      <c r="A44" s="1366"/>
      <c r="B44" s="2864"/>
      <c r="Z44" s="1366"/>
      <c r="AA44" s="1366"/>
      <c r="AB44" s="1366"/>
      <c r="AC44" s="1366"/>
      <c r="AD44" s="1366"/>
      <c r="AE44" s="1366"/>
      <c r="AF44" s="1366"/>
      <c r="AG44" s="1366"/>
      <c r="AH44" s="1366"/>
      <c r="AI44" s="1366"/>
      <c r="AJ44" s="1366"/>
    </row>
    <row r="45" spans="1:37" s="1365" customFormat="1" ht="15.75" thickBot="1">
      <c r="A45" s="2865" t="s">
        <v>2940</v>
      </c>
      <c r="B45" s="2866"/>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7" t="s">
        <v>2941</v>
      </c>
      <c r="B46" s="2868">
        <f>1+E48</f>
        <v>1</v>
      </c>
      <c r="C46" s="2869"/>
      <c r="D46" s="808"/>
      <c r="E46" s="809"/>
      <c r="F46" s="2870"/>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71" t="s">
        <v>2942</v>
      </c>
      <c r="B47" s="1804" t="s">
        <v>2943</v>
      </c>
      <c r="C47" s="1804" t="s">
        <v>2944</v>
      </c>
      <c r="D47" s="1804" t="s">
        <v>2945</v>
      </c>
      <c r="E47" s="813" t="s">
        <v>2946</v>
      </c>
      <c r="F47" s="2872" t="s">
        <v>2947</v>
      </c>
      <c r="G47" s="1804" t="s">
        <v>754</v>
      </c>
      <c r="H47" s="2873" t="s">
        <v>2948</v>
      </c>
      <c r="I47" s="1804" t="s">
        <v>2949</v>
      </c>
      <c r="J47" s="602" t="s">
        <v>2595</v>
      </c>
      <c r="K47" s="602" t="s">
        <v>2596</v>
      </c>
      <c r="L47" s="602" t="s">
        <v>2597</v>
      </c>
      <c r="M47" s="602" t="s">
        <v>2598</v>
      </c>
      <c r="N47" s="602" t="s">
        <v>2599</v>
      </c>
      <c r="AA47" s="1366"/>
      <c r="AB47" s="1366"/>
      <c r="AC47" s="1366"/>
      <c r="AD47" s="1366"/>
      <c r="AE47" s="1366"/>
      <c r="AF47" s="1366"/>
      <c r="AG47" s="1366"/>
      <c r="AH47" s="1366"/>
      <c r="AI47" s="1366"/>
      <c r="AJ47" s="1366"/>
      <c r="AK47" s="1366"/>
    </row>
    <row r="48" spans="1:37" s="1365" customFormat="1" ht="38.25">
      <c r="A48" s="2871" t="s">
        <v>2950</v>
      </c>
      <c r="B48" s="2874" t="str">
        <f>估价对象房地状况!C4</f>
        <v>估价对象位于XX商圈，周边商业氛围成熟，人流量大，商业繁华度好</v>
      </c>
      <c r="C48" s="2763"/>
      <c r="D48" s="1281">
        <f t="shared" ref="D48:D56" si="10">SUMIF($J$47:$N$47,C48,J48:N48)</f>
        <v>0</v>
      </c>
      <c r="E48" s="815">
        <f>ROUND(SUM(D48:D56),4)</f>
        <v>0</v>
      </c>
      <c r="F48" s="2494" t="str">
        <f>IF(E2="商业",SUMIF(L1:L12,G2,N1:N12),"——")</f>
        <v>——</v>
      </c>
      <c r="G48" s="1279"/>
      <c r="H48" s="1283" t="str">
        <f t="shared" ref="H48:H56" si="11">IFERROR(ROUNDDOWN($F$48*I48/2,4),"——")</f>
        <v>——</v>
      </c>
      <c r="I48" s="814">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1" t="s">
        <v>2951</v>
      </c>
      <c r="B49" s="2875" t="str">
        <f>估价对象房地状况!C18</f>
        <v>估价对象周边道路状况、公共交通通达情况、停车便捷程度，综合评价交通便捷度较好</v>
      </c>
      <c r="C49" s="2763"/>
      <c r="D49" s="1281">
        <f t="shared" si="10"/>
        <v>0</v>
      </c>
      <c r="E49" s="816"/>
      <c r="F49" s="2494"/>
      <c r="G49" s="1279"/>
      <c r="H49" s="1283" t="str">
        <f t="shared" si="11"/>
        <v>——</v>
      </c>
      <c r="I49" s="814">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1" t="s">
        <v>2952</v>
      </c>
      <c r="B50" s="2875">
        <f>估价对象房地状况!C19</f>
        <v>0</v>
      </c>
      <c r="C50" s="2763"/>
      <c r="D50" s="1281">
        <f t="shared" si="10"/>
        <v>0</v>
      </c>
      <c r="E50" s="816"/>
      <c r="F50" s="2494"/>
      <c r="G50" s="1279"/>
      <c r="H50" s="1283" t="str">
        <f t="shared" si="11"/>
        <v>——</v>
      </c>
      <c r="I50" s="814">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1" t="s">
        <v>2953</v>
      </c>
      <c r="B51" s="2876" t="s">
        <v>2954</v>
      </c>
      <c r="C51" s="2763"/>
      <c r="D51" s="1281">
        <f t="shared" si="10"/>
        <v>0</v>
      </c>
      <c r="E51" s="816"/>
      <c r="F51" s="2494"/>
      <c r="G51" s="1279"/>
      <c r="H51" s="1283" t="str">
        <f t="shared" si="11"/>
        <v>——</v>
      </c>
      <c r="I51" s="814">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1" t="s">
        <v>2955</v>
      </c>
      <c r="B52" s="2875">
        <f>估价对象房地状况!C24</f>
        <v>0</v>
      </c>
      <c r="C52" s="2763"/>
      <c r="D52" s="1281">
        <f t="shared" si="10"/>
        <v>0</v>
      </c>
      <c r="E52" s="816"/>
      <c r="F52" s="2494"/>
      <c r="G52" s="1279"/>
      <c r="H52" s="1283" t="str">
        <f t="shared" si="11"/>
        <v>——</v>
      </c>
      <c r="I52" s="814">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1" t="s">
        <v>2956</v>
      </c>
      <c r="B53" s="2877" t="s">
        <v>2957</v>
      </c>
      <c r="C53" s="2763"/>
      <c r="D53" s="1281">
        <f t="shared" si="10"/>
        <v>0</v>
      </c>
      <c r="E53" s="816"/>
      <c r="F53" s="2494"/>
      <c r="G53" s="1279"/>
      <c r="H53" s="1283" t="str">
        <f t="shared" si="11"/>
        <v>——</v>
      </c>
      <c r="I53" s="814">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78" t="s">
        <v>2958</v>
      </c>
      <c r="B54" s="1720" t="str">
        <f>估价对象房地状况!C21</f>
        <v>估价对象所在区域公共配套设施齐备情况</v>
      </c>
      <c r="C54" s="2763"/>
      <c r="D54" s="1281">
        <f t="shared" si="10"/>
        <v>0</v>
      </c>
      <c r="E54" s="816"/>
      <c r="F54" s="2494"/>
      <c r="G54" s="1279"/>
      <c r="H54" s="1283" t="str">
        <f t="shared" si="11"/>
        <v>——</v>
      </c>
      <c r="I54" s="814">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78" t="s">
        <v>2959</v>
      </c>
      <c r="B55" s="2875" t="str">
        <f>估价对象房地状况!C22</f>
        <v>估价对象所在区域基础设施水平</v>
      </c>
      <c r="C55" s="2763"/>
      <c r="D55" s="1281">
        <f t="shared" si="10"/>
        <v>0</v>
      </c>
      <c r="E55" s="816"/>
      <c r="F55" s="2494"/>
      <c r="G55" s="1279"/>
      <c r="H55" s="1283" t="str">
        <f t="shared" si="11"/>
        <v>——</v>
      </c>
      <c r="I55" s="814">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39" thickBot="1">
      <c r="A56" s="2879" t="s">
        <v>2960</v>
      </c>
      <c r="B56" s="2880" t="str">
        <f>估价对象房地状况!C20</f>
        <v>区域自然环境：；人文环境；综合评价环境状况一般</v>
      </c>
      <c r="C56" s="2763"/>
      <c r="D56" s="1281">
        <f t="shared" si="10"/>
        <v>0</v>
      </c>
      <c r="E56" s="819"/>
      <c r="F56" s="2494"/>
      <c r="G56" s="1279"/>
      <c r="H56" s="1283" t="str">
        <f t="shared" si="11"/>
        <v>——</v>
      </c>
      <c r="I56" s="818">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7" t="s">
        <v>2961</v>
      </c>
      <c r="B57" s="2868">
        <f>1+E59</f>
        <v>1</v>
      </c>
      <c r="C57" s="808"/>
      <c r="D57" s="808"/>
      <c r="E57" s="809"/>
      <c r="F57" s="2870"/>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1" t="s">
        <v>2942</v>
      </c>
      <c r="B58" s="1804"/>
      <c r="C58" s="1804" t="s">
        <v>2944</v>
      </c>
      <c r="D58" s="1804" t="s">
        <v>2945</v>
      </c>
      <c r="E58" s="813" t="s">
        <v>2946</v>
      </c>
      <c r="F58" s="2872" t="s">
        <v>2962</v>
      </c>
      <c r="G58" s="1804" t="s">
        <v>754</v>
      </c>
      <c r="H58" s="2873" t="s">
        <v>2948</v>
      </c>
      <c r="I58" s="1804" t="s">
        <v>2949</v>
      </c>
      <c r="J58" s="602" t="s">
        <v>2595</v>
      </c>
      <c r="K58" s="602" t="s">
        <v>2596</v>
      </c>
      <c r="L58" s="602" t="s">
        <v>2597</v>
      </c>
      <c r="M58" s="602" t="s">
        <v>2598</v>
      </c>
      <c r="N58" s="602" t="s">
        <v>2599</v>
      </c>
      <c r="AA58" s="1366"/>
      <c r="AB58" s="1366"/>
      <c r="AC58" s="1366"/>
      <c r="AD58" s="1366"/>
      <c r="AE58" s="1366"/>
      <c r="AF58" s="1366"/>
      <c r="AG58" s="1366"/>
      <c r="AH58" s="1366"/>
      <c r="AI58" s="1366"/>
      <c r="AJ58" s="1366"/>
      <c r="AK58" s="1366"/>
    </row>
    <row r="59" spans="1:37" s="1365" customFormat="1" ht="38.25">
      <c r="A59" s="2871" t="s">
        <v>2963</v>
      </c>
      <c r="B59" s="2874" t="str">
        <f>估价对象房地状况!C17</f>
        <v>估价对象位于XX商圈，周边办公楼项目较多，入驻率高，办公集聚程度较好</v>
      </c>
      <c r="C59" s="2763"/>
      <c r="D59" s="1281">
        <f t="shared" ref="D59:D67" si="15">SUMIF($J$58:$N$58,C59,J59:N59)</f>
        <v>0</v>
      </c>
      <c r="E59" s="815">
        <f>ROUND(SUM(D59:D67),4)</f>
        <v>0</v>
      </c>
      <c r="F59" s="2494" t="str">
        <f>IF(E2="办公",SUMIF(L1:L12,G2,N1:N12),"——")</f>
        <v>——</v>
      </c>
      <c r="G59" s="1279"/>
      <c r="H59" s="1283" t="str">
        <f t="shared" ref="H59:H67" si="16">IFERROR(ROUNDDOWN($F$59*I59/2,4),"——")</f>
        <v>——</v>
      </c>
      <c r="I59" s="814">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1" t="s">
        <v>2951</v>
      </c>
      <c r="B60" s="2875" t="str">
        <f>估价对象房地状况!C18</f>
        <v>估价对象周边道路状况、公共交通通达情况、停车便捷程度，综合评价交通便捷度较好</v>
      </c>
      <c r="C60" s="2763"/>
      <c r="D60" s="1281">
        <f t="shared" si="15"/>
        <v>0</v>
      </c>
      <c r="E60" s="816"/>
      <c r="F60" s="2494"/>
      <c r="G60" s="1279"/>
      <c r="H60" s="1283" t="str">
        <f t="shared" si="16"/>
        <v>——</v>
      </c>
      <c r="I60" s="814">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1" t="s">
        <v>2952</v>
      </c>
      <c r="B61" s="2875">
        <f>估价对象房地状况!C19</f>
        <v>0</v>
      </c>
      <c r="C61" s="2763"/>
      <c r="D61" s="1281">
        <f t="shared" si="15"/>
        <v>0</v>
      </c>
      <c r="E61" s="816"/>
      <c r="F61" s="2494"/>
      <c r="G61" s="1279"/>
      <c r="H61" s="1283" t="str">
        <f t="shared" si="16"/>
        <v>——</v>
      </c>
      <c r="I61" s="814">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1" t="s">
        <v>2953</v>
      </c>
      <c r="B62" s="2876" t="s">
        <v>2954</v>
      </c>
      <c r="C62" s="2763"/>
      <c r="D62" s="1281">
        <f t="shared" si="15"/>
        <v>0</v>
      </c>
      <c r="E62" s="816"/>
      <c r="F62" s="2494"/>
      <c r="G62" s="1279"/>
      <c r="H62" s="1283" t="str">
        <f t="shared" si="16"/>
        <v>——</v>
      </c>
      <c r="I62" s="814">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1" t="s">
        <v>2955</v>
      </c>
      <c r="B63" s="2875">
        <f>估价对象房地状况!C24</f>
        <v>0</v>
      </c>
      <c r="C63" s="2763"/>
      <c r="D63" s="1281">
        <f t="shared" si="15"/>
        <v>0</v>
      </c>
      <c r="E63" s="816"/>
      <c r="F63" s="2494"/>
      <c r="G63" s="1279"/>
      <c r="H63" s="1283" t="str">
        <f t="shared" si="16"/>
        <v>——</v>
      </c>
      <c r="I63" s="814">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1" t="s">
        <v>2956</v>
      </c>
      <c r="B64" s="2877" t="s">
        <v>2957</v>
      </c>
      <c r="C64" s="2763"/>
      <c r="D64" s="1281">
        <f t="shared" si="15"/>
        <v>0</v>
      </c>
      <c r="E64" s="816"/>
      <c r="F64" s="2494"/>
      <c r="G64" s="1279"/>
      <c r="H64" s="1283" t="str">
        <f t="shared" si="16"/>
        <v>——</v>
      </c>
      <c r="I64" s="814">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1" t="s">
        <v>2958</v>
      </c>
      <c r="B65" s="1720" t="str">
        <f>估价对象房地状况!C21</f>
        <v>估价对象所在区域公共配套设施齐备情况</v>
      </c>
      <c r="C65" s="2763"/>
      <c r="D65" s="1281">
        <f t="shared" si="15"/>
        <v>0</v>
      </c>
      <c r="E65" s="816"/>
      <c r="F65" s="2494"/>
      <c r="G65" s="1279"/>
      <c r="H65" s="1283" t="str">
        <f t="shared" si="16"/>
        <v>——</v>
      </c>
      <c r="I65" s="814">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1" t="s">
        <v>2959</v>
      </c>
      <c r="B66" s="1720" t="str">
        <f>估价对象房地状况!C22</f>
        <v>估价对象所在区域基础设施水平</v>
      </c>
      <c r="C66" s="2763"/>
      <c r="D66" s="1281">
        <f t="shared" si="15"/>
        <v>0</v>
      </c>
      <c r="E66" s="816"/>
      <c r="F66" s="2494"/>
      <c r="G66" s="1279"/>
      <c r="H66" s="1283" t="str">
        <f t="shared" si="16"/>
        <v>——</v>
      </c>
      <c r="I66" s="814">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9" t="s">
        <v>2960</v>
      </c>
      <c r="B67" s="2881" t="str">
        <f>估价对象房地状况!C20</f>
        <v>区域自然环境：；人文环境；综合评价环境状况一般</v>
      </c>
      <c r="C67" s="2763"/>
      <c r="D67" s="1281">
        <f t="shared" si="15"/>
        <v>0</v>
      </c>
      <c r="E67" s="819"/>
      <c r="F67" s="2494"/>
      <c r="G67" s="1279"/>
      <c r="H67" s="1283" t="str">
        <f t="shared" si="16"/>
        <v>——</v>
      </c>
      <c r="I67" s="818">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7" t="s">
        <v>2964</v>
      </c>
      <c r="B68" s="2868">
        <f>1+E70</f>
        <v>1</v>
      </c>
      <c r="C68" s="808"/>
      <c r="D68" s="808"/>
      <c r="E68" s="809"/>
      <c r="F68" s="2870"/>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1" t="s">
        <v>2942</v>
      </c>
      <c r="B69" s="1804"/>
      <c r="C69" s="1804" t="s">
        <v>2944</v>
      </c>
      <c r="D69" s="1804" t="s">
        <v>2945</v>
      </c>
      <c r="E69" s="813" t="s">
        <v>2946</v>
      </c>
      <c r="F69" s="2872" t="s">
        <v>2962</v>
      </c>
      <c r="G69" s="1804" t="s">
        <v>754</v>
      </c>
      <c r="H69" s="2873" t="s">
        <v>2948</v>
      </c>
      <c r="I69" s="1804" t="s">
        <v>2949</v>
      </c>
      <c r="J69" s="602" t="s">
        <v>2595</v>
      </c>
      <c r="K69" s="602" t="s">
        <v>2596</v>
      </c>
      <c r="L69" s="602" t="s">
        <v>2597</v>
      </c>
      <c r="M69" s="602" t="s">
        <v>2598</v>
      </c>
      <c r="N69" s="602" t="s">
        <v>2599</v>
      </c>
      <c r="AA69" s="1366"/>
      <c r="AB69" s="1366"/>
      <c r="AC69" s="1366"/>
      <c r="AD69" s="1366"/>
      <c r="AE69" s="1366"/>
      <c r="AF69" s="1366"/>
      <c r="AG69" s="1366"/>
      <c r="AH69" s="1366"/>
      <c r="AI69" s="1366"/>
      <c r="AJ69" s="1366"/>
      <c r="AK69" s="1366"/>
    </row>
    <row r="70" spans="1:37" s="1365" customFormat="1" ht="51">
      <c r="A70" s="2871" t="s">
        <v>2965</v>
      </c>
      <c r="B70" s="2874" t="str">
        <f>估价对象房地状况!C15</f>
        <v>估价对象周边居住用地比例、居住小区规模和社区发展完善程度，综合评价居住社区成熟度一般</v>
      </c>
      <c r="C70" s="2763"/>
      <c r="D70" s="1281">
        <f t="shared" ref="D70:D78" si="20">SUMIF($J$69:$N$69,C70,J70:N70)</f>
        <v>0</v>
      </c>
      <c r="E70" s="815">
        <f>ROUND(SUM(D70:D78),4)</f>
        <v>0</v>
      </c>
      <c r="F70" s="2494" t="str">
        <f>IF(E2="住宅",SUMIF(L1:L12,G2,N1:N12),"——")</f>
        <v>——</v>
      </c>
      <c r="G70" s="1279"/>
      <c r="H70" s="1283" t="str">
        <f t="shared" ref="H70:H78" si="21">IFERROR(ROUNDDOWN($F$70*I70/2,4),"——")</f>
        <v>——</v>
      </c>
      <c r="I70" s="814">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1" t="s">
        <v>2951</v>
      </c>
      <c r="B71" s="2875" t="str">
        <f>估价对象房地状况!C18</f>
        <v>估价对象周边道路状况、公共交通通达情况、停车便捷程度，综合评价交通便捷度较好</v>
      </c>
      <c r="C71" s="2763"/>
      <c r="D71" s="1281">
        <f t="shared" si="20"/>
        <v>0</v>
      </c>
      <c r="E71" s="820"/>
      <c r="F71" s="2494"/>
      <c r="G71" s="1279"/>
      <c r="H71" s="1283" t="str">
        <f t="shared" si="21"/>
        <v>——</v>
      </c>
      <c r="I71" s="814">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1" t="s">
        <v>2952</v>
      </c>
      <c r="B72" s="2875">
        <f>估价对象房地状况!C19</f>
        <v>0</v>
      </c>
      <c r="C72" s="2763"/>
      <c r="D72" s="1281">
        <f t="shared" si="20"/>
        <v>0</v>
      </c>
      <c r="E72" s="820"/>
      <c r="F72" s="2494"/>
      <c r="G72" s="1279"/>
      <c r="H72" s="1283" t="str">
        <f t="shared" si="21"/>
        <v>——</v>
      </c>
      <c r="I72" s="814">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1" t="s">
        <v>2966</v>
      </c>
      <c r="B73" s="2875">
        <f>估价对象房地状况!C24</f>
        <v>0</v>
      </c>
      <c r="C73" s="2763"/>
      <c r="D73" s="1281">
        <f t="shared" si="20"/>
        <v>0</v>
      </c>
      <c r="E73" s="820"/>
      <c r="F73" s="2494"/>
      <c r="G73" s="1279"/>
      <c r="H73" s="1283" t="str">
        <f t="shared" si="21"/>
        <v>——</v>
      </c>
      <c r="I73" s="814">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1" t="s">
        <v>2958</v>
      </c>
      <c r="B74" s="1720" t="str">
        <f>估价对象房地状况!C21</f>
        <v>估价对象所在区域公共配套设施齐备情况</v>
      </c>
      <c r="C74" s="2763"/>
      <c r="D74" s="1281">
        <f t="shared" si="20"/>
        <v>0</v>
      </c>
      <c r="E74" s="820"/>
      <c r="F74" s="2494"/>
      <c r="G74" s="1279"/>
      <c r="H74" s="1283" t="str">
        <f t="shared" si="21"/>
        <v>——</v>
      </c>
      <c r="I74" s="814">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1" t="s">
        <v>2959</v>
      </c>
      <c r="B75" s="1720" t="str">
        <f>估价对象房地状况!C22</f>
        <v>估价对象所在区域基础设施水平</v>
      </c>
      <c r="C75" s="2763"/>
      <c r="D75" s="1281">
        <f t="shared" si="20"/>
        <v>0</v>
      </c>
      <c r="E75" s="820"/>
      <c r="F75" s="2494"/>
      <c r="G75" s="1279"/>
      <c r="H75" s="1283" t="str">
        <f t="shared" si="21"/>
        <v>——</v>
      </c>
      <c r="I75" s="814">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2" customFormat="1" ht="24">
      <c r="A76" s="2871" t="s">
        <v>2956</v>
      </c>
      <c r="B76" s="2877" t="s">
        <v>2957</v>
      </c>
      <c r="C76" s="2763"/>
      <c r="D76" s="1281">
        <f t="shared" si="20"/>
        <v>0</v>
      </c>
      <c r="E76" s="820"/>
      <c r="F76" s="2494"/>
      <c r="G76" s="1279"/>
      <c r="H76" s="1283" t="str">
        <f t="shared" si="21"/>
        <v>——</v>
      </c>
      <c r="I76" s="814">
        <v>0.05</v>
      </c>
      <c r="J76" s="1280">
        <f t="shared" si="22"/>
        <v>0</v>
      </c>
      <c r="K76" s="1280">
        <f t="shared" si="23"/>
        <v>0</v>
      </c>
      <c r="L76" s="1280">
        <v>0</v>
      </c>
      <c r="M76" s="1280">
        <f t="shared" si="24"/>
        <v>0</v>
      </c>
      <c r="N76" s="1280">
        <f t="shared" si="24"/>
        <v>0</v>
      </c>
      <c r="AA76" s="2882"/>
      <c r="AB76" s="1366"/>
      <c r="AC76" s="1366"/>
      <c r="AD76" s="1366"/>
      <c r="AE76" s="1366"/>
      <c r="AF76" s="1366"/>
      <c r="AG76" s="1366"/>
      <c r="AH76" s="2882"/>
      <c r="AI76" s="2882"/>
      <c r="AJ76" s="2882"/>
      <c r="AK76" s="2882"/>
    </row>
    <row r="77" spans="1:37" ht="38.25">
      <c r="A77" s="2871" t="s">
        <v>2960</v>
      </c>
      <c r="B77" s="2874" t="str">
        <f>估价对象房地状况!C20</f>
        <v>区域自然环境：；人文环境；综合评价环境状况一般</v>
      </c>
      <c r="C77" s="2763"/>
      <c r="D77" s="1281">
        <f t="shared" si="20"/>
        <v>0</v>
      </c>
      <c r="E77" s="820"/>
      <c r="F77" s="2494"/>
      <c r="G77" s="1279"/>
      <c r="H77" s="1283" t="str">
        <f t="shared" si="21"/>
        <v>——</v>
      </c>
      <c r="I77" s="814">
        <v>0.15</v>
      </c>
      <c r="J77" s="1280">
        <f t="shared" si="22"/>
        <v>0</v>
      </c>
      <c r="K77" s="1280">
        <f t="shared" si="23"/>
        <v>0</v>
      </c>
      <c r="L77" s="1280">
        <v>0</v>
      </c>
      <c r="M77" s="1280">
        <f t="shared" si="24"/>
        <v>0</v>
      </c>
      <c r="N77" s="1280">
        <f t="shared" si="24"/>
        <v>0</v>
      </c>
      <c r="Z77" s="2713"/>
      <c r="AA77" s="2789"/>
      <c r="AG77" s="1367"/>
      <c r="AK77" s="2789"/>
    </row>
    <row r="78" spans="1:37" ht="24.75" thickBot="1">
      <c r="A78" s="2879" t="s">
        <v>2967</v>
      </c>
      <c r="B78" s="2883"/>
      <c r="C78" s="2763"/>
      <c r="D78" s="1281">
        <f t="shared" si="20"/>
        <v>0</v>
      </c>
      <c r="E78" s="821"/>
      <c r="F78" s="2494"/>
      <c r="G78" s="1279"/>
      <c r="H78" s="1283" t="str">
        <f t="shared" si="21"/>
        <v>——</v>
      </c>
      <c r="I78" s="818">
        <v>0.04</v>
      </c>
      <c r="J78" s="1280">
        <f t="shared" si="22"/>
        <v>0</v>
      </c>
      <c r="K78" s="1280">
        <f t="shared" si="23"/>
        <v>0</v>
      </c>
      <c r="L78" s="1280">
        <v>0</v>
      </c>
      <c r="M78" s="1280">
        <f t="shared" si="24"/>
        <v>0</v>
      </c>
      <c r="N78" s="1280">
        <f t="shared" si="24"/>
        <v>0</v>
      </c>
      <c r="Z78" s="2713"/>
      <c r="AA78" s="2789"/>
      <c r="AG78" s="1367"/>
      <c r="AK78" s="2789"/>
    </row>
    <row r="79" spans="1:37" ht="15">
      <c r="A79" s="2867" t="s">
        <v>2968</v>
      </c>
      <c r="B79" s="2868">
        <f>1+E81</f>
        <v>1</v>
      </c>
      <c r="C79" s="808"/>
      <c r="D79" s="808"/>
      <c r="E79" s="809"/>
      <c r="F79" s="2870"/>
      <c r="G79" s="6"/>
      <c r="H79" s="6"/>
      <c r="I79" s="6"/>
      <c r="J79" s="7"/>
      <c r="K79" s="7"/>
      <c r="L79" s="7"/>
      <c r="M79" s="7"/>
      <c r="N79" s="7"/>
      <c r="Z79" s="2713"/>
      <c r="AA79" s="2789"/>
      <c r="AG79" s="1367"/>
      <c r="AK79" s="2789"/>
    </row>
    <row r="80" spans="1:37" ht="24.75">
      <c r="A80" s="2871" t="s">
        <v>2942</v>
      </c>
      <c r="B80" s="1804"/>
      <c r="C80" s="1804" t="s">
        <v>2944</v>
      </c>
      <c r="D80" s="1804" t="s">
        <v>2945</v>
      </c>
      <c r="E80" s="813" t="s">
        <v>2946</v>
      </c>
      <c r="F80" s="2872" t="s">
        <v>2962</v>
      </c>
      <c r="G80" s="1804" t="s">
        <v>754</v>
      </c>
      <c r="H80" s="2873" t="s">
        <v>2948</v>
      </c>
      <c r="I80" s="1804" t="s">
        <v>2949</v>
      </c>
      <c r="J80" s="602" t="s">
        <v>2595</v>
      </c>
      <c r="K80" s="602" t="s">
        <v>2596</v>
      </c>
      <c r="L80" s="602" t="s">
        <v>2597</v>
      </c>
      <c r="M80" s="602" t="s">
        <v>2598</v>
      </c>
      <c r="N80" s="602" t="s">
        <v>2599</v>
      </c>
      <c r="Z80" s="2713"/>
      <c r="AA80" s="2789"/>
      <c r="AG80" s="1367"/>
      <c r="AK80" s="2789"/>
    </row>
    <row r="81" spans="1:37" ht="38.25">
      <c r="A81" s="2871" t="s">
        <v>2969</v>
      </c>
      <c r="B81" s="2875" t="str">
        <f>估价对象房地状况!G15</f>
        <v>估价对象位于XX开发区，园区建设成熟度XX，产业集聚程度XX</v>
      </c>
      <c r="C81" s="2763"/>
      <c r="D81" s="1281">
        <f t="shared" ref="D81:D88" si="25">SUMIF($J$80:$N$80,C81,J81:N81)</f>
        <v>0</v>
      </c>
      <c r="E81" s="815">
        <f>ROUND(SUM(D81:D88),4)</f>
        <v>0</v>
      </c>
      <c r="F81" s="2494" t="str">
        <f>IF(E2="工业",SUMIF(L1:L12,G2,N1:N12),"——")</f>
        <v>——</v>
      </c>
      <c r="G81" s="1279"/>
      <c r="H81" s="1283" t="str">
        <f t="shared" ref="H81:H88" si="26">IFERROR(ROUNDDOWN($F$81*I81/2,4),"——")</f>
        <v>——</v>
      </c>
      <c r="I81" s="814">
        <v>0.26</v>
      </c>
      <c r="J81" s="1280">
        <f t="shared" ref="J81:J88" si="27">K81+$G81</f>
        <v>0</v>
      </c>
      <c r="K81" s="1280">
        <f t="shared" ref="K81:K88" si="28">$L81+$G81</f>
        <v>0</v>
      </c>
      <c r="L81" s="1280">
        <v>0</v>
      </c>
      <c r="M81" s="1280">
        <f t="shared" ref="M81:N88" si="29">L81-$G81</f>
        <v>0</v>
      </c>
      <c r="N81" s="1280">
        <f t="shared" si="29"/>
        <v>0</v>
      </c>
      <c r="Z81" s="2713"/>
      <c r="AA81" s="2789"/>
      <c r="AG81" s="1367"/>
      <c r="AK81" s="2789"/>
    </row>
    <row r="82" spans="1:37" ht="51">
      <c r="A82" s="2871" t="s">
        <v>2951</v>
      </c>
      <c r="B82" s="2875" t="str">
        <f>估价对象房地状况!G16</f>
        <v>估价对象周边道路状况、公共交通通达情况、停车便捷程度，综合评价交通便捷度较好</v>
      </c>
      <c r="C82" s="2763"/>
      <c r="D82" s="1281">
        <f t="shared" si="25"/>
        <v>0</v>
      </c>
      <c r="E82" s="820"/>
      <c r="F82" s="2494"/>
      <c r="G82" s="1279"/>
      <c r="H82" s="1283" t="str">
        <f t="shared" si="26"/>
        <v>——</v>
      </c>
      <c r="I82" s="814">
        <v>0.33</v>
      </c>
      <c r="J82" s="1280">
        <f t="shared" si="27"/>
        <v>0</v>
      </c>
      <c r="K82" s="1280">
        <f t="shared" si="28"/>
        <v>0</v>
      </c>
      <c r="L82" s="1280">
        <v>0</v>
      </c>
      <c r="M82" s="1280">
        <f t="shared" si="29"/>
        <v>0</v>
      </c>
      <c r="N82" s="1280">
        <f t="shared" si="29"/>
        <v>0</v>
      </c>
      <c r="Z82" s="2713"/>
      <c r="AA82" s="2789"/>
      <c r="AG82" s="1367"/>
      <c r="AK82" s="2789"/>
    </row>
    <row r="83" spans="1:37" ht="24">
      <c r="A83" s="2871" t="s">
        <v>2952</v>
      </c>
      <c r="B83" s="2875">
        <f>估价对象房地状况!G17</f>
        <v>0</v>
      </c>
      <c r="C83" s="2763"/>
      <c r="D83" s="1281">
        <f t="shared" si="25"/>
        <v>0</v>
      </c>
      <c r="E83" s="820"/>
      <c r="F83" s="2494"/>
      <c r="G83" s="1279"/>
      <c r="H83" s="1283" t="str">
        <f t="shared" si="26"/>
        <v>——</v>
      </c>
      <c r="I83" s="814">
        <v>0.05</v>
      </c>
      <c r="J83" s="1280">
        <f t="shared" si="27"/>
        <v>0</v>
      </c>
      <c r="K83" s="1280">
        <f t="shared" si="28"/>
        <v>0</v>
      </c>
      <c r="L83" s="1280">
        <v>0</v>
      </c>
      <c r="M83" s="1280">
        <f t="shared" si="29"/>
        <v>0</v>
      </c>
      <c r="N83" s="1280">
        <f t="shared" si="29"/>
        <v>0</v>
      </c>
      <c r="Z83" s="2713"/>
      <c r="AA83" s="2789"/>
      <c r="AG83" s="1367"/>
      <c r="AK83" s="2789"/>
    </row>
    <row r="84" spans="1:37" ht="14.25">
      <c r="A84" s="2871" t="s">
        <v>2966</v>
      </c>
      <c r="B84" s="2875">
        <f>估价对象房地状况!G22</f>
        <v>0</v>
      </c>
      <c r="C84" s="2763"/>
      <c r="D84" s="1281">
        <f t="shared" si="25"/>
        <v>0</v>
      </c>
      <c r="E84" s="820"/>
      <c r="F84" s="2494"/>
      <c r="G84" s="1279"/>
      <c r="H84" s="1283" t="str">
        <f t="shared" si="26"/>
        <v>——</v>
      </c>
      <c r="I84" s="814">
        <v>0.04</v>
      </c>
      <c r="J84" s="1280">
        <f t="shared" si="27"/>
        <v>0</v>
      </c>
      <c r="K84" s="1280">
        <f t="shared" si="28"/>
        <v>0</v>
      </c>
      <c r="L84" s="1280">
        <v>0</v>
      </c>
      <c r="M84" s="1280">
        <f t="shared" si="29"/>
        <v>0</v>
      </c>
      <c r="N84" s="1280">
        <f t="shared" si="29"/>
        <v>0</v>
      </c>
      <c r="Z84" s="2713"/>
      <c r="AA84" s="2789"/>
      <c r="AG84" s="1367"/>
      <c r="AK84" s="2789"/>
    </row>
    <row r="85" spans="1:37" ht="25.5">
      <c r="A85" s="2871" t="s">
        <v>2958</v>
      </c>
      <c r="B85" s="1720" t="str">
        <f>估价对象房地状况!G19</f>
        <v>估价对象所在区域公共配套设施齐备情况</v>
      </c>
      <c r="C85" s="2763"/>
      <c r="D85" s="1281">
        <f t="shared" si="25"/>
        <v>0</v>
      </c>
      <c r="E85" s="820"/>
      <c r="F85" s="2494"/>
      <c r="G85" s="1279"/>
      <c r="H85" s="1283" t="str">
        <f t="shared" si="26"/>
        <v>——</v>
      </c>
      <c r="I85" s="814">
        <v>0.06</v>
      </c>
      <c r="J85" s="1280">
        <f t="shared" si="27"/>
        <v>0</v>
      </c>
      <c r="K85" s="1280">
        <f t="shared" si="28"/>
        <v>0</v>
      </c>
      <c r="L85" s="1280">
        <v>0</v>
      </c>
      <c r="M85" s="1280">
        <f t="shared" si="29"/>
        <v>0</v>
      </c>
      <c r="N85" s="1280">
        <f t="shared" si="29"/>
        <v>0</v>
      </c>
      <c r="Z85" s="2713"/>
      <c r="AA85" s="2789"/>
      <c r="AG85" s="1367"/>
      <c r="AK85" s="2789"/>
    </row>
    <row r="86" spans="1:37" ht="25.5">
      <c r="A86" s="2871" t="s">
        <v>2959</v>
      </c>
      <c r="B86" s="1720" t="str">
        <f>估价对象房地状况!G20</f>
        <v>估价对象所在区域基础设施水平</v>
      </c>
      <c r="C86" s="2763"/>
      <c r="D86" s="1281">
        <f t="shared" si="25"/>
        <v>0</v>
      </c>
      <c r="E86" s="820"/>
      <c r="F86" s="2494"/>
      <c r="G86" s="1279"/>
      <c r="H86" s="1283" t="str">
        <f t="shared" si="26"/>
        <v>——</v>
      </c>
      <c r="I86" s="814">
        <v>0.15</v>
      </c>
      <c r="J86" s="1280">
        <f t="shared" si="27"/>
        <v>0</v>
      </c>
      <c r="K86" s="1280">
        <f t="shared" si="28"/>
        <v>0</v>
      </c>
      <c r="L86" s="1280">
        <v>0</v>
      </c>
      <c r="M86" s="1280">
        <f t="shared" si="29"/>
        <v>0</v>
      </c>
      <c r="N86" s="1280">
        <f t="shared" si="29"/>
        <v>0</v>
      </c>
      <c r="Z86" s="2713"/>
      <c r="AA86" s="2789"/>
      <c r="AG86" s="1367"/>
      <c r="AK86" s="2789"/>
    </row>
    <row r="87" spans="1:37" ht="24">
      <c r="A87" s="2871" t="s">
        <v>2956</v>
      </c>
      <c r="B87" s="2877" t="s">
        <v>2970</v>
      </c>
      <c r="C87" s="2763"/>
      <c r="D87" s="1281">
        <f t="shared" si="25"/>
        <v>0</v>
      </c>
      <c r="E87" s="820"/>
      <c r="F87" s="2494"/>
      <c r="G87" s="1279"/>
      <c r="H87" s="1283" t="str">
        <f t="shared" si="26"/>
        <v>——</v>
      </c>
      <c r="I87" s="814">
        <v>0.05</v>
      </c>
      <c r="J87" s="1280">
        <f t="shared" si="27"/>
        <v>0</v>
      </c>
      <c r="K87" s="1280">
        <f t="shared" si="28"/>
        <v>0</v>
      </c>
      <c r="L87" s="1280">
        <v>0</v>
      </c>
      <c r="M87" s="1280">
        <f t="shared" si="29"/>
        <v>0</v>
      </c>
      <c r="N87" s="1280">
        <f t="shared" si="29"/>
        <v>0</v>
      </c>
      <c r="Z87" s="2713"/>
      <c r="AA87" s="2789"/>
      <c r="AG87" s="1367"/>
      <c r="AK87" s="2789"/>
    </row>
    <row r="88" spans="1:37" ht="39" thickBot="1">
      <c r="A88" s="2879" t="s">
        <v>2971</v>
      </c>
      <c r="B88" s="2884" t="str">
        <f>估价对象房地状况!G18</f>
        <v>该园区内是否有污染型企业，绿化情况，卫生条件，整体环境状况判断</v>
      </c>
      <c r="C88" s="2763"/>
      <c r="D88" s="1281">
        <f t="shared" si="25"/>
        <v>0</v>
      </c>
      <c r="E88" s="821"/>
      <c r="F88" s="2494"/>
      <c r="G88" s="1279"/>
      <c r="H88" s="1283" t="str">
        <f t="shared" si="26"/>
        <v>——</v>
      </c>
      <c r="I88" s="818">
        <v>0.06</v>
      </c>
      <c r="J88" s="1280">
        <f t="shared" si="27"/>
        <v>0</v>
      </c>
      <c r="K88" s="1280">
        <f t="shared" si="28"/>
        <v>0</v>
      </c>
      <c r="L88" s="1280">
        <v>0</v>
      </c>
      <c r="M88" s="1280">
        <f t="shared" si="29"/>
        <v>0</v>
      </c>
      <c r="N88" s="1280">
        <f t="shared" si="29"/>
        <v>0</v>
      </c>
      <c r="Z88" s="2713"/>
      <c r="AA88" s="2789"/>
      <c r="AG88" s="1367"/>
      <c r="AK88" s="2789"/>
    </row>
    <row r="90" spans="1:37">
      <c r="A90" s="3377" t="s">
        <v>2972</v>
      </c>
      <c r="B90" s="3377"/>
      <c r="C90" s="3377"/>
      <c r="D90" s="3377"/>
      <c r="E90" s="3377"/>
      <c r="F90" s="3377"/>
      <c r="G90" s="3377"/>
      <c r="H90" s="3377"/>
      <c r="I90" s="3377"/>
      <c r="J90" s="3377"/>
      <c r="K90" s="2885"/>
      <c r="L90" s="2885"/>
      <c r="M90" s="2885"/>
      <c r="N90" s="2885"/>
    </row>
    <row r="91" spans="1:37">
      <c r="A91" s="3379" t="s">
        <v>2973</v>
      </c>
      <c r="B91" s="3379" t="s">
        <v>2974</v>
      </c>
      <c r="C91" s="2839" t="s">
        <v>2975</v>
      </c>
      <c r="D91" s="2840"/>
      <c r="E91" s="2840"/>
      <c r="F91" s="2840"/>
      <c r="G91" s="2840"/>
      <c r="H91" s="2840"/>
      <c r="I91" s="2840"/>
      <c r="J91" s="2886"/>
      <c r="K91" s="2887"/>
      <c r="L91" s="2887"/>
      <c r="M91" s="2887"/>
      <c r="N91" s="2887"/>
    </row>
    <row r="92" spans="1:37">
      <c r="A92" s="3379"/>
      <c r="B92" s="3379"/>
      <c r="C92" s="939" t="s">
        <v>2839</v>
      </c>
      <c r="D92" s="939" t="s">
        <v>2840</v>
      </c>
      <c r="E92" s="939" t="s">
        <v>2841</v>
      </c>
      <c r="F92" s="939" t="s">
        <v>2842</v>
      </c>
      <c r="G92" s="939" t="s">
        <v>2843</v>
      </c>
      <c r="H92" s="939" t="s">
        <v>2844</v>
      </c>
      <c r="I92" s="939" t="s">
        <v>2845</v>
      </c>
      <c r="J92" s="939" t="s">
        <v>2846</v>
      </c>
      <c r="K92" s="939" t="s">
        <v>2847</v>
      </c>
      <c r="L92" s="939" t="s">
        <v>2848</v>
      </c>
      <c r="M92" s="939" t="s">
        <v>2849</v>
      </c>
      <c r="N92" s="939" t="s">
        <v>2850</v>
      </c>
    </row>
    <row r="93" spans="1:37">
      <c r="A93" s="3380"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81"/>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81"/>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81"/>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81"/>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81"/>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81"/>
      <c r="B99" s="2888" t="s">
        <v>2855</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82"/>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80" t="s">
        <v>2977</v>
      </c>
      <c r="B101" s="2892" t="s">
        <v>2978</v>
      </c>
      <c r="C101" s="2893">
        <f>$G$3</f>
        <v>7.7</v>
      </c>
      <c r="D101" s="2893">
        <f t="shared" ref="D101:N101" si="31">$G$3</f>
        <v>7.7</v>
      </c>
      <c r="E101" s="2893">
        <f t="shared" si="31"/>
        <v>7.7</v>
      </c>
      <c r="F101" s="2893">
        <f t="shared" si="31"/>
        <v>7.7</v>
      </c>
      <c r="G101" s="2893">
        <f t="shared" si="31"/>
        <v>7.7</v>
      </c>
      <c r="H101" s="2893">
        <f t="shared" si="31"/>
        <v>7.7</v>
      </c>
      <c r="I101" s="2893">
        <f t="shared" si="31"/>
        <v>7.7</v>
      </c>
      <c r="J101" s="2893">
        <f t="shared" si="31"/>
        <v>7.7</v>
      </c>
      <c r="K101" s="2893">
        <f t="shared" si="31"/>
        <v>7.7</v>
      </c>
      <c r="L101" s="2893">
        <f t="shared" si="31"/>
        <v>7.7</v>
      </c>
      <c r="M101" s="2893">
        <f t="shared" si="31"/>
        <v>7.7</v>
      </c>
      <c r="N101" s="2893">
        <f t="shared" si="31"/>
        <v>7.7</v>
      </c>
    </row>
    <row r="102" spans="1:14">
      <c r="A102" s="3381"/>
      <c r="B102" s="2888">
        <v>1</v>
      </c>
      <c r="C102" s="2889">
        <f>1.9362/C101</f>
        <v>0.25145454545454543</v>
      </c>
      <c r="D102" s="2889">
        <f>1.9362/D101</f>
        <v>0.25145454545454543</v>
      </c>
      <c r="E102" s="2889">
        <f>1.8629/E101</f>
        <v>0.24193506493506492</v>
      </c>
      <c r="F102" s="2889">
        <f>1.8629/F101</f>
        <v>0.24193506493506492</v>
      </c>
      <c r="G102" s="2889">
        <f>1.8629/G101</f>
        <v>0.24193506493506492</v>
      </c>
      <c r="H102" s="2889">
        <f>1.8629/H101</f>
        <v>0.24193506493506492</v>
      </c>
      <c r="I102" s="2889">
        <f>1.8629/I101</f>
        <v>0.24193506493506492</v>
      </c>
      <c r="J102" s="2889">
        <f>1.942/J101</f>
        <v>0.25220779220779221</v>
      </c>
      <c r="K102" s="2889">
        <f>1.942/K101</f>
        <v>0.25220779220779221</v>
      </c>
      <c r="L102" s="2889">
        <f>1.942/L101</f>
        <v>0.25220779220779221</v>
      </c>
      <c r="M102" s="2889">
        <f>1.942/M101</f>
        <v>0.25220779220779221</v>
      </c>
      <c r="N102" s="2889">
        <f>1.942/N101</f>
        <v>0.25220779220779221</v>
      </c>
    </row>
    <row r="103" spans="1:14">
      <c r="A103" s="3381"/>
      <c r="B103" s="2888">
        <v>2</v>
      </c>
      <c r="C103" s="2889">
        <f>1.4198/C101</f>
        <v>0.18438961038961038</v>
      </c>
      <c r="D103" s="2889">
        <f>1.4198/D101</f>
        <v>0.18438961038961038</v>
      </c>
      <c r="E103" s="2889">
        <f>1.3372/E101</f>
        <v>0.17366233766233766</v>
      </c>
      <c r="F103" s="2889">
        <f>1.3372/F101</f>
        <v>0.17366233766233766</v>
      </c>
      <c r="G103" s="2889">
        <f>1.3372/G101</f>
        <v>0.17366233766233766</v>
      </c>
      <c r="H103" s="2889">
        <f>1.3372/H101</f>
        <v>0.17366233766233766</v>
      </c>
      <c r="I103" s="2889">
        <f>1.3372/I101</f>
        <v>0.17366233766233766</v>
      </c>
      <c r="J103" s="2889">
        <f>1.2799/J101</f>
        <v>0.16622077922077921</v>
      </c>
      <c r="K103" s="2889">
        <f>1.2799/K101</f>
        <v>0.16622077922077921</v>
      </c>
      <c r="L103" s="2889">
        <f>1.2799/L101</f>
        <v>0.16622077922077921</v>
      </c>
      <c r="M103" s="2889">
        <f>1.2799/M101</f>
        <v>0.16622077922077921</v>
      </c>
      <c r="N103" s="2889">
        <f>1.2799/N101</f>
        <v>0.16622077922077921</v>
      </c>
    </row>
    <row r="104" spans="1:14">
      <c r="A104" s="3381"/>
      <c r="B104" s="2888">
        <v>3</v>
      </c>
      <c r="C104" s="2889">
        <f>1.1594/C101</f>
        <v>0.15057142857142858</v>
      </c>
      <c r="D104" s="2889">
        <f>1.1594/D101</f>
        <v>0.15057142857142858</v>
      </c>
      <c r="E104" s="2889">
        <f>1.0788/E101</f>
        <v>0.14010389610389609</v>
      </c>
      <c r="F104" s="2889">
        <f>1.0788/F101</f>
        <v>0.14010389610389609</v>
      </c>
      <c r="G104" s="2889">
        <f>1.0788/G101</f>
        <v>0.14010389610389609</v>
      </c>
      <c r="H104" s="2889">
        <f>1.0788/H101</f>
        <v>0.14010389610389609</v>
      </c>
      <c r="I104" s="2889">
        <f>1.0788/I101</f>
        <v>0.14010389610389609</v>
      </c>
      <c r="J104" s="2889">
        <f>1.0072/J101</f>
        <v>0.13080519480519481</v>
      </c>
      <c r="K104" s="2889">
        <f>1.0072/K101</f>
        <v>0.13080519480519481</v>
      </c>
      <c r="L104" s="2889">
        <f>1.0072/L101</f>
        <v>0.13080519480519481</v>
      </c>
      <c r="M104" s="2889">
        <f>1.0072/M101</f>
        <v>0.13080519480519481</v>
      </c>
      <c r="N104" s="2889">
        <f>1.0072/N101</f>
        <v>0.13080519480519481</v>
      </c>
    </row>
    <row r="105" spans="1:14">
      <c r="A105" s="3381"/>
      <c r="B105" s="2888">
        <v>4</v>
      </c>
      <c r="C105" s="2889">
        <f>0.9622/C101</f>
        <v>0.12496103896103897</v>
      </c>
      <c r="D105" s="2889">
        <f>0.9622/D101</f>
        <v>0.12496103896103897</v>
      </c>
      <c r="E105" s="2889">
        <f>0.8656/E101</f>
        <v>0.11241558441558441</v>
      </c>
      <c r="F105" s="2889">
        <f>0.8656/F101</f>
        <v>0.11241558441558441</v>
      </c>
      <c r="G105" s="2889">
        <f>0.8656/G101</f>
        <v>0.11241558441558441</v>
      </c>
      <c r="H105" s="2889">
        <f>0.8656/H101</f>
        <v>0.11241558441558441</v>
      </c>
      <c r="I105" s="2889">
        <f>0.8656/I101</f>
        <v>0.11241558441558441</v>
      </c>
      <c r="J105" s="2889">
        <f>0.7525/J101</f>
        <v>9.7727272727272718E-2</v>
      </c>
      <c r="K105" s="2889">
        <f>0.7525/K101</f>
        <v>9.7727272727272718E-2</v>
      </c>
      <c r="L105" s="2889">
        <f>0.7525/L101</f>
        <v>9.7727272727272718E-2</v>
      </c>
      <c r="M105" s="2889">
        <f>0.7525/M101</f>
        <v>9.7727272727272718E-2</v>
      </c>
      <c r="N105" s="2889">
        <f>0.7525/N101</f>
        <v>9.7727272727272718E-2</v>
      </c>
    </row>
    <row r="106" spans="1:14">
      <c r="A106" s="3381"/>
      <c r="B106" s="2888">
        <v>5</v>
      </c>
      <c r="C106" s="2889">
        <f>0.8417/C101</f>
        <v>0.1093116883116883</v>
      </c>
      <c r="D106" s="2889">
        <f>0.8417/D101</f>
        <v>0.1093116883116883</v>
      </c>
      <c r="E106" s="2889">
        <f>0.7371/E101</f>
        <v>9.5727272727272716E-2</v>
      </c>
      <c r="F106" s="2889">
        <f>0.7371/F101</f>
        <v>9.5727272727272716E-2</v>
      </c>
      <c r="G106" s="2889">
        <f>0.7371/G101</f>
        <v>9.5727272727272716E-2</v>
      </c>
      <c r="H106" s="2889">
        <f>0.7371/H101</f>
        <v>9.5727272727272716E-2</v>
      </c>
      <c r="I106" s="2889">
        <f>0.7371/I101</f>
        <v>9.5727272727272716E-2</v>
      </c>
      <c r="J106" s="2889">
        <f>0.5659/J101</f>
        <v>7.3493506493506486E-2</v>
      </c>
      <c r="K106" s="2889">
        <f>0.5659/K101</f>
        <v>7.3493506493506486E-2</v>
      </c>
      <c r="L106" s="2889">
        <f>0.5659/L101</f>
        <v>7.3493506493506486E-2</v>
      </c>
      <c r="M106" s="2889">
        <f>0.5659/M101</f>
        <v>7.3493506493506486E-2</v>
      </c>
      <c r="N106" s="2889">
        <f>0.5659/N101</f>
        <v>7.3493506493506486E-2</v>
      </c>
    </row>
    <row r="107" spans="1:14">
      <c r="A107" s="3381"/>
      <c r="B107" s="2888">
        <v>6</v>
      </c>
      <c r="C107" s="2889">
        <f>0.7608/C101</f>
        <v>9.8805194805194813E-2</v>
      </c>
      <c r="D107" s="2889">
        <f>0.7608/D101</f>
        <v>9.8805194805194813E-2</v>
      </c>
      <c r="E107" s="2889">
        <f>0.6482/E101</f>
        <v>8.4181818181818177E-2</v>
      </c>
      <c r="F107" s="2889">
        <f>0.6482/F101</f>
        <v>8.4181818181818177E-2</v>
      </c>
      <c r="G107" s="2889">
        <f>0.6482/G101</f>
        <v>8.4181818181818177E-2</v>
      </c>
      <c r="H107" s="2889">
        <f>0.6482/H101</f>
        <v>8.4181818181818177E-2</v>
      </c>
      <c r="I107" s="2889">
        <f>0.6482/I101</f>
        <v>8.4181818181818177E-2</v>
      </c>
      <c r="J107" s="2889">
        <f>0.4525/J101</f>
        <v>5.8766233766233765E-2</v>
      </c>
      <c r="K107" s="2889">
        <f>0.4525/K101</f>
        <v>5.8766233766233765E-2</v>
      </c>
      <c r="L107" s="2889">
        <f>0.4525/L101</f>
        <v>5.8766233766233765E-2</v>
      </c>
      <c r="M107" s="2889">
        <f>0.4525/M101</f>
        <v>5.8766233766233765E-2</v>
      </c>
      <c r="N107" s="2889">
        <f>0.4525/N101</f>
        <v>5.8766233766233765E-2</v>
      </c>
    </row>
    <row r="108" spans="1:14">
      <c r="A108" s="3381"/>
      <c r="B108" s="3205"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82"/>
      <c r="B109" s="3206"/>
      <c r="C109" s="2891">
        <f>(-0.163*(C108^2)-0.59*C108+7617)*(10^(-4))/C101</f>
        <v>9.8922077922077925E-2</v>
      </c>
      <c r="D109" s="2891">
        <f>(-0.163*(D108^2)-0.59*D108+7617)*(10^(-4))/D101</f>
        <v>9.8922077922077925E-2</v>
      </c>
      <c r="E109" s="2891">
        <f>(-0.161*(E108^2)-7.509*E108+6533)*(10^(-4))/E101</f>
        <v>8.4844155844155847E-2</v>
      </c>
      <c r="F109" s="2891">
        <f>(-0.161*(F108^2)-7.509*F108+6533)*(10^(-4))/F101</f>
        <v>8.4844155844155847E-2</v>
      </c>
      <c r="G109" s="2891">
        <f>(-0.161*(G108^2)-7.509*G108+6533)*(10^(-4))/G101</f>
        <v>8.4844155844155847E-2</v>
      </c>
      <c r="H109" s="2891">
        <f>(-0.161*(H108^2)-7.509*H108+6533)*(10^(-4))/H101</f>
        <v>8.4844155844155847E-2</v>
      </c>
      <c r="I109" s="2891">
        <f>(-0.161*(I108^2)-7.509*I108+6533)*(10^(-4))/I101</f>
        <v>8.4844155844155847E-2</v>
      </c>
      <c r="J109" s="2891">
        <f>(-0.214*(J108^2)-21.991*J108+4665)*(10^(-4))/J101</f>
        <v>6.0584415584415588E-2</v>
      </c>
      <c r="K109" s="2891">
        <f>(-0.214*(K108^2)-21.991*K108+4665)*(10^(-4))/K101</f>
        <v>6.0584415584415588E-2</v>
      </c>
      <c r="L109" s="2891">
        <f>(-0.214*(L108^2)-21.991*L108+4665)*(10^(-4))/L101</f>
        <v>6.0584415584415588E-2</v>
      </c>
      <c r="M109" s="2891">
        <f>(-0.214*(M108^2)-21.991*M108+4665)*(10^(-4))/M101</f>
        <v>6.0584415584415588E-2</v>
      </c>
      <c r="N109" s="2891">
        <f>(-0.214*(N108^2)-21.991*N108+4665)*(10^(-4))/N101</f>
        <v>6.0584415584415588E-2</v>
      </c>
    </row>
    <row r="110" spans="1:14">
      <c r="A110" s="3378" t="s">
        <v>2980</v>
      </c>
      <c r="B110" s="3378"/>
      <c r="C110" s="3378"/>
      <c r="D110" s="3378"/>
      <c r="E110" s="3378"/>
      <c r="F110" s="3378"/>
      <c r="G110" s="3378"/>
      <c r="H110" s="3378"/>
      <c r="I110" s="3378"/>
      <c r="J110" s="3378"/>
      <c r="K110" s="2894"/>
      <c r="L110" s="2894"/>
      <c r="M110" s="2894"/>
      <c r="N110" s="2894"/>
    </row>
    <row r="112" spans="1:14" ht="13.5" thickBot="1"/>
    <row r="113" spans="1:13" ht="25.5" thickBot="1">
      <c r="A113" s="897" t="s">
        <v>2981</v>
      </c>
      <c r="B113" s="1282">
        <f>G3</f>
        <v>7.7</v>
      </c>
      <c r="C113" s="898" t="s">
        <v>2982</v>
      </c>
      <c r="D113" s="899">
        <f>SUMPRODUCT((A115:A118=F113)*(B114:M114=H113)*B115:M118)</f>
        <v>0</v>
      </c>
      <c r="E113" s="2717" t="s">
        <v>2812</v>
      </c>
      <c r="F113" s="2896">
        <f>E2</f>
        <v>0</v>
      </c>
      <c r="G113" s="2717" t="s">
        <v>2813</v>
      </c>
      <c r="H113" s="2896">
        <f>G2</f>
        <v>0</v>
      </c>
      <c r="I113" s="2717"/>
      <c r="J113" s="2897"/>
      <c r="K113" s="2897"/>
      <c r="L113" s="2897"/>
      <c r="M113" s="2897"/>
    </row>
    <row r="114" spans="1:13">
      <c r="A114" s="902"/>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3" t="s">
        <v>2877</v>
      </c>
      <c r="B115" s="904">
        <f>ROUND(0.9335-0.0094*B113,4)</f>
        <v>0.86109999999999998</v>
      </c>
      <c r="C115" s="904">
        <f>B115</f>
        <v>0.86109999999999998</v>
      </c>
      <c r="D115" s="904">
        <f>ROUND(0.8331-0.0109*B113,4)</f>
        <v>0.74919999999999998</v>
      </c>
      <c r="E115" s="904">
        <f>D115</f>
        <v>0.74919999999999998</v>
      </c>
      <c r="F115" s="904">
        <f>E115</f>
        <v>0.74919999999999998</v>
      </c>
      <c r="G115" s="904">
        <f>F115</f>
        <v>0.74919999999999998</v>
      </c>
      <c r="H115" s="904">
        <f>G115</f>
        <v>0.74919999999999998</v>
      </c>
      <c r="I115" s="904">
        <f>ROUND(0.689-0.0155*B113,4)</f>
        <v>0.56969999999999998</v>
      </c>
      <c r="J115" s="904">
        <f t="shared" ref="J115:M118" si="33">I115</f>
        <v>0.56969999999999998</v>
      </c>
      <c r="K115" s="904">
        <f t="shared" si="33"/>
        <v>0.56969999999999998</v>
      </c>
      <c r="L115" s="904">
        <f t="shared" si="33"/>
        <v>0.56969999999999998</v>
      </c>
      <c r="M115" s="905">
        <f t="shared" si="33"/>
        <v>0.56969999999999998</v>
      </c>
    </row>
    <row r="116" spans="1:13">
      <c r="A116" s="903" t="s">
        <v>2878</v>
      </c>
      <c r="B116" s="904">
        <f>ROUND(0.949-0.012*B113,4)</f>
        <v>0.85660000000000003</v>
      </c>
      <c r="C116" s="904">
        <f>B116</f>
        <v>0.85660000000000003</v>
      </c>
      <c r="D116" s="904">
        <f>ROUND(0.8567-0.013*B113,4)</f>
        <v>0.75660000000000005</v>
      </c>
      <c r="E116" s="904">
        <f t="shared" ref="E116:H117" si="34">D116</f>
        <v>0.75660000000000005</v>
      </c>
      <c r="F116" s="904">
        <f t="shared" si="34"/>
        <v>0.75660000000000005</v>
      </c>
      <c r="G116" s="904">
        <f t="shared" si="34"/>
        <v>0.75660000000000005</v>
      </c>
      <c r="H116" s="904">
        <f t="shared" si="34"/>
        <v>0.75660000000000005</v>
      </c>
      <c r="I116" s="904">
        <f>ROUND(0.7694-0.014*B113,4)</f>
        <v>0.66159999999999997</v>
      </c>
      <c r="J116" s="904">
        <f t="shared" si="33"/>
        <v>0.66159999999999997</v>
      </c>
      <c r="K116" s="904">
        <f t="shared" si="33"/>
        <v>0.66159999999999997</v>
      </c>
      <c r="L116" s="904">
        <f t="shared" si="33"/>
        <v>0.66159999999999997</v>
      </c>
      <c r="M116" s="905">
        <f t="shared" si="33"/>
        <v>0.66159999999999997</v>
      </c>
    </row>
    <row r="117" spans="1:13">
      <c r="A117" s="903" t="s">
        <v>2879</v>
      </c>
      <c r="B117" s="904">
        <f>ROUND(0.8808-0.006*B113,4)</f>
        <v>0.83460000000000001</v>
      </c>
      <c r="C117" s="904">
        <f>B117</f>
        <v>0.83460000000000001</v>
      </c>
      <c r="D117" s="904">
        <f>ROUND(0.8748-0.008*B113,4)</f>
        <v>0.81320000000000003</v>
      </c>
      <c r="E117" s="904">
        <f t="shared" si="34"/>
        <v>0.81320000000000003</v>
      </c>
      <c r="F117" s="904">
        <f t="shared" si="34"/>
        <v>0.81320000000000003</v>
      </c>
      <c r="G117" s="904">
        <f t="shared" si="34"/>
        <v>0.81320000000000003</v>
      </c>
      <c r="H117" s="904">
        <f t="shared" si="34"/>
        <v>0.81320000000000003</v>
      </c>
      <c r="I117" s="904">
        <f>ROUND(0.7412-0.0095*B113,4)</f>
        <v>0.66810000000000003</v>
      </c>
      <c r="J117" s="904">
        <f t="shared" si="33"/>
        <v>0.66810000000000003</v>
      </c>
      <c r="K117" s="904">
        <f t="shared" si="33"/>
        <v>0.66810000000000003</v>
      </c>
      <c r="L117" s="904">
        <f t="shared" si="33"/>
        <v>0.66810000000000003</v>
      </c>
      <c r="M117" s="905">
        <f t="shared" si="33"/>
        <v>0.66810000000000003</v>
      </c>
    </row>
    <row r="118" spans="1:13" ht="13.5" thickBot="1">
      <c r="A118" s="710" t="s">
        <v>2880</v>
      </c>
      <c r="B118" s="906">
        <f>ROUND(0.7275-0.01*B113,4)</f>
        <v>0.65049999999999997</v>
      </c>
      <c r="C118" s="906">
        <f>B118</f>
        <v>0.65049999999999997</v>
      </c>
      <c r="D118" s="906">
        <f>ROUND(0.7043-0.012*B113,4)</f>
        <v>0.6119</v>
      </c>
      <c r="E118" s="906">
        <f>D118</f>
        <v>0.6119</v>
      </c>
      <c r="F118" s="906">
        <f>E118</f>
        <v>0.6119</v>
      </c>
      <c r="G118" s="906">
        <f>ROUND(0.6299-0.0122*B113,4)</f>
        <v>0.53600000000000003</v>
      </c>
      <c r="H118" s="906">
        <f>G118</f>
        <v>0.53600000000000003</v>
      </c>
      <c r="I118" s="906">
        <f>ROUND(0.5667-0.0136*B113,4)</f>
        <v>0.46200000000000002</v>
      </c>
      <c r="J118" s="906">
        <f t="shared" si="33"/>
        <v>0.46200000000000002</v>
      </c>
      <c r="K118" s="906">
        <f t="shared" si="33"/>
        <v>0.46200000000000002</v>
      </c>
      <c r="L118" s="906">
        <f t="shared" si="33"/>
        <v>0.46200000000000002</v>
      </c>
      <c r="M118" s="907">
        <f t="shared" si="33"/>
        <v>0.46200000000000002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395" t="s">
        <v>183</v>
      </c>
      <c r="B18" s="876" t="s">
        <v>560</v>
      </c>
      <c r="C18" s="877" t="s">
        <v>561</v>
      </c>
      <c r="D18" s="878"/>
      <c r="E18" s="876">
        <v>1</v>
      </c>
      <c r="F18" s="879" t="s">
        <v>562</v>
      </c>
      <c r="G18" s="880"/>
      <c r="H18" s="872"/>
      <c r="I18" s="872"/>
    </row>
    <row r="19" spans="1:9" s="881" customFormat="1" ht="19.5" customHeight="1">
      <c r="A19" s="3395"/>
      <c r="B19" s="3395" t="s">
        <v>563</v>
      </c>
      <c r="C19" s="877" t="s">
        <v>564</v>
      </c>
      <c r="D19" s="878"/>
      <c r="E19" s="876">
        <v>0.9</v>
      </c>
      <c r="F19" s="879" t="s">
        <v>565</v>
      </c>
      <c r="G19" s="880"/>
      <c r="H19" s="872"/>
      <c r="I19" s="872"/>
    </row>
    <row r="20" spans="1:9" s="881" customFormat="1" ht="19.5" customHeight="1">
      <c r="A20" s="3395"/>
      <c r="B20" s="3395"/>
      <c r="C20" s="877" t="s">
        <v>566</v>
      </c>
      <c r="D20" s="878"/>
      <c r="E20" s="876">
        <v>1.1000000000000001</v>
      </c>
      <c r="F20" s="879" t="s">
        <v>567</v>
      </c>
      <c r="G20" s="880"/>
      <c r="H20" s="872"/>
      <c r="I20" s="872"/>
    </row>
    <row r="21" spans="1:9" s="881" customFormat="1" ht="19.5" customHeight="1">
      <c r="A21" s="3395"/>
      <c r="B21" s="3395"/>
      <c r="C21" s="877" t="s">
        <v>568</v>
      </c>
      <c r="D21" s="878"/>
      <c r="E21" s="876">
        <v>0.8</v>
      </c>
      <c r="F21" s="879" t="s">
        <v>569</v>
      </c>
      <c r="G21" s="880"/>
      <c r="H21" s="872"/>
      <c r="I21" s="872"/>
    </row>
    <row r="22" spans="1:9" s="881" customFormat="1" ht="19.5" customHeight="1">
      <c r="A22" s="3395"/>
      <c r="B22" s="3395"/>
      <c r="C22" s="877" t="s">
        <v>570</v>
      </c>
      <c r="D22" s="878"/>
      <c r="E22" s="876">
        <v>0.5</v>
      </c>
      <c r="F22" s="879"/>
      <c r="G22" s="880"/>
      <c r="H22" s="872"/>
      <c r="I22" s="872"/>
    </row>
    <row r="23" spans="1:9" s="881" customFormat="1" ht="19.5" customHeight="1">
      <c r="A23" s="3395" t="s">
        <v>184</v>
      </c>
      <c r="B23" s="876" t="s">
        <v>560</v>
      </c>
      <c r="C23" s="877" t="s">
        <v>571</v>
      </c>
      <c r="D23" s="878"/>
      <c r="E23" s="876">
        <v>1</v>
      </c>
      <c r="F23" s="879" t="s">
        <v>572</v>
      </c>
      <c r="G23" s="880"/>
      <c r="H23" s="872"/>
      <c r="I23" s="872"/>
    </row>
    <row r="24" spans="1:9" s="881" customFormat="1" ht="19.5" customHeight="1">
      <c r="A24" s="3395"/>
      <c r="B24" s="3395" t="s">
        <v>563</v>
      </c>
      <c r="C24" s="877" t="s">
        <v>573</v>
      </c>
      <c r="D24" s="878"/>
      <c r="E24" s="876">
        <v>0.5</v>
      </c>
      <c r="F24" s="879"/>
      <c r="G24" s="880"/>
      <c r="H24" s="872"/>
      <c r="I24" s="872"/>
    </row>
    <row r="25" spans="1:9" s="881" customFormat="1" ht="19.5" customHeight="1">
      <c r="A25" s="3395"/>
      <c r="B25" s="3395"/>
      <c r="C25" s="877" t="s">
        <v>574</v>
      </c>
      <c r="D25" s="878"/>
      <c r="E25" s="876">
        <v>1.1000000000000001</v>
      </c>
      <c r="F25" s="879"/>
      <c r="G25" s="880"/>
      <c r="H25" s="872"/>
      <c r="I25" s="872"/>
    </row>
    <row r="26" spans="1:9" s="881" customFormat="1" ht="19.5" customHeight="1">
      <c r="A26" s="3395"/>
      <c r="B26" s="3395"/>
      <c r="C26" s="877" t="s">
        <v>575</v>
      </c>
      <c r="D26" s="878"/>
      <c r="E26" s="876">
        <v>1.1000000000000001</v>
      </c>
      <c r="F26" s="879"/>
      <c r="G26" s="880"/>
      <c r="H26" s="872"/>
      <c r="I26" s="872"/>
    </row>
    <row r="27" spans="1:9" s="881" customFormat="1" ht="19.5" customHeight="1">
      <c r="A27" s="3395"/>
      <c r="B27" s="3395"/>
      <c r="C27" s="877" t="s">
        <v>576</v>
      </c>
      <c r="D27" s="878"/>
      <c r="E27" s="876">
        <v>0.9</v>
      </c>
      <c r="F27" s="879" t="s">
        <v>577</v>
      </c>
      <c r="G27" s="880"/>
      <c r="H27" s="872"/>
      <c r="I27" s="872"/>
    </row>
    <row r="28" spans="1:9" s="881" customFormat="1" ht="19.5" customHeight="1">
      <c r="A28" s="3395"/>
      <c r="B28" s="3395"/>
      <c r="C28" s="877" t="s">
        <v>578</v>
      </c>
      <c r="D28" s="878"/>
      <c r="E28" s="876">
        <v>0.9</v>
      </c>
      <c r="F28" s="879" t="s">
        <v>579</v>
      </c>
      <c r="G28" s="880"/>
      <c r="H28" s="872"/>
      <c r="I28" s="872"/>
    </row>
    <row r="29" spans="1:9" s="881" customFormat="1" ht="19.5" customHeight="1">
      <c r="A29" s="3395"/>
      <c r="B29" s="3395"/>
      <c r="C29" s="877" t="s">
        <v>580</v>
      </c>
      <c r="D29" s="878"/>
      <c r="E29" s="876">
        <v>0.9</v>
      </c>
      <c r="F29" s="879" t="s">
        <v>581</v>
      </c>
      <c r="G29" s="880"/>
      <c r="H29" s="872"/>
      <c r="I29" s="872"/>
    </row>
    <row r="30" spans="1:9" s="881" customFormat="1" ht="19.5" customHeight="1">
      <c r="A30" s="3395"/>
      <c r="B30" s="3395"/>
      <c r="C30" s="877" t="s">
        <v>582</v>
      </c>
      <c r="D30" s="878"/>
      <c r="E30" s="876">
        <v>0.9</v>
      </c>
      <c r="F30" s="879" t="s">
        <v>583</v>
      </c>
      <c r="G30" s="880"/>
      <c r="H30" s="872"/>
      <c r="I30" s="872"/>
    </row>
    <row r="31" spans="1:9" s="881" customFormat="1" ht="19.5" customHeight="1">
      <c r="A31" s="3395"/>
      <c r="B31" s="3395"/>
      <c r="C31" s="877" t="s">
        <v>584</v>
      </c>
      <c r="D31" s="878"/>
      <c r="E31" s="876">
        <v>0.8</v>
      </c>
      <c r="F31" s="879" t="s">
        <v>585</v>
      </c>
      <c r="G31" s="880"/>
      <c r="H31" s="872"/>
      <c r="I31" s="872"/>
    </row>
    <row r="32" spans="1:9" s="881" customFormat="1" ht="19.5" customHeight="1">
      <c r="A32" s="3395"/>
      <c r="B32" s="3395"/>
      <c r="C32" s="877" t="s">
        <v>586</v>
      </c>
      <c r="D32" s="878"/>
      <c r="E32" s="876">
        <v>0.8</v>
      </c>
      <c r="F32" s="879" t="s">
        <v>587</v>
      </c>
      <c r="G32" s="880"/>
      <c r="H32" s="872"/>
      <c r="I32" s="872"/>
    </row>
    <row r="33" spans="1:9" s="881" customFormat="1" ht="19.5" customHeight="1">
      <c r="A33" s="3395" t="s">
        <v>185</v>
      </c>
      <c r="B33" s="876" t="s">
        <v>560</v>
      </c>
      <c r="C33" s="877" t="s">
        <v>588</v>
      </c>
      <c r="D33" s="878"/>
      <c r="E33" s="876">
        <v>1</v>
      </c>
      <c r="F33" s="879" t="s">
        <v>589</v>
      </c>
      <c r="G33" s="880"/>
      <c r="H33" s="872"/>
      <c r="I33" s="872"/>
    </row>
    <row r="34" spans="1:9" s="881" customFormat="1" ht="19.5" customHeight="1">
      <c r="A34" s="3395"/>
      <c r="B34" s="876" t="s">
        <v>563</v>
      </c>
      <c r="C34" s="877" t="s">
        <v>590</v>
      </c>
      <c r="D34" s="878"/>
      <c r="E34" s="876">
        <v>1.5</v>
      </c>
      <c r="F34" s="879" t="s">
        <v>591</v>
      </c>
      <c r="G34" s="880"/>
      <c r="H34" s="872"/>
      <c r="I34" s="872"/>
    </row>
    <row r="35" spans="1:9" s="881" customFormat="1" ht="19.5" customHeight="1">
      <c r="A35" s="3395" t="s">
        <v>186</v>
      </c>
      <c r="B35" s="876" t="s">
        <v>560</v>
      </c>
      <c r="C35" s="877" t="s">
        <v>592</v>
      </c>
      <c r="D35" s="878"/>
      <c r="E35" s="876">
        <v>1</v>
      </c>
      <c r="F35" s="879" t="s">
        <v>593</v>
      </c>
      <c r="G35" s="880"/>
      <c r="H35" s="872"/>
      <c r="I35" s="872"/>
    </row>
    <row r="36" spans="1:9" s="881" customFormat="1" ht="19.5" customHeight="1">
      <c r="A36" s="3395"/>
      <c r="B36" s="3395" t="s">
        <v>563</v>
      </c>
      <c r="C36" s="877" t="s">
        <v>594</v>
      </c>
      <c r="D36" s="878"/>
      <c r="E36" s="876">
        <v>1</v>
      </c>
      <c r="F36" s="879" t="s">
        <v>595</v>
      </c>
      <c r="G36" s="880"/>
      <c r="H36" s="872"/>
      <c r="I36" s="872"/>
    </row>
    <row r="37" spans="1:9" s="881" customFormat="1" ht="19.5" customHeight="1">
      <c r="A37" s="3395"/>
      <c r="B37" s="3395"/>
      <c r="C37" s="877" t="s">
        <v>596</v>
      </c>
      <c r="D37" s="878"/>
      <c r="E37" s="876">
        <v>1.5</v>
      </c>
      <c r="F37" s="879" t="s">
        <v>597</v>
      </c>
      <c r="G37" s="880"/>
      <c r="H37" s="872"/>
      <c r="I37" s="872"/>
    </row>
    <row r="38" spans="1:9" s="881" customFormat="1" ht="19.5" customHeight="1">
      <c r="A38" s="3395"/>
      <c r="B38" s="3395"/>
      <c r="C38" s="877" t="s">
        <v>598</v>
      </c>
      <c r="D38" s="878"/>
      <c r="E38" s="876">
        <v>1</v>
      </c>
      <c r="F38" s="879" t="s">
        <v>599</v>
      </c>
      <c r="G38" s="880"/>
      <c r="H38" s="872"/>
      <c r="I38" s="872"/>
    </row>
    <row r="39" spans="1:9" s="881" customFormat="1" ht="19.5" customHeight="1">
      <c r="A39" s="3395"/>
      <c r="B39" s="33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395" t="s">
        <v>614</v>
      </c>
      <c r="C61" s="812" t="s">
        <v>615</v>
      </c>
      <c r="D61" s="812" t="s">
        <v>616</v>
      </c>
      <c r="E61" s="889">
        <v>0.5</v>
      </c>
      <c r="F61" s="876">
        <v>80</v>
      </c>
    </row>
    <row r="62" spans="1:8" s="872" customFormat="1" ht="24">
      <c r="A62" s="876">
        <v>2</v>
      </c>
      <c r="B62" s="3395"/>
      <c r="C62" s="812" t="s">
        <v>617</v>
      </c>
      <c r="D62" s="812" t="s">
        <v>618</v>
      </c>
      <c r="E62" s="889">
        <v>0.5</v>
      </c>
      <c r="F62" s="876">
        <v>80</v>
      </c>
    </row>
    <row r="63" spans="1:8" s="872" customFormat="1" ht="36">
      <c r="A63" s="876">
        <v>3</v>
      </c>
      <c r="B63" s="3395"/>
      <c r="C63" s="812" t="s">
        <v>619</v>
      </c>
      <c r="D63" s="812" t="s">
        <v>620</v>
      </c>
      <c r="E63" s="889">
        <v>0.5</v>
      </c>
      <c r="F63" s="876">
        <v>80</v>
      </c>
    </row>
    <row r="64" spans="1:8" s="872" customFormat="1" ht="36">
      <c r="A64" s="876">
        <v>4</v>
      </c>
      <c r="B64" s="3395"/>
      <c r="C64" s="812" t="s">
        <v>621</v>
      </c>
      <c r="D64" s="812" t="s">
        <v>622</v>
      </c>
      <c r="E64" s="889">
        <v>0.4</v>
      </c>
      <c r="F64" s="876">
        <v>60</v>
      </c>
    </row>
    <row r="65" spans="1:6" s="872" customFormat="1" ht="36">
      <c r="A65" s="876">
        <v>5</v>
      </c>
      <c r="B65" s="3395"/>
      <c r="C65" s="812" t="s">
        <v>623</v>
      </c>
      <c r="D65" s="812" t="s">
        <v>624</v>
      </c>
      <c r="E65" s="889">
        <v>0.2</v>
      </c>
      <c r="F65" s="876">
        <v>30</v>
      </c>
    </row>
    <row r="66" spans="1:6" s="872" customFormat="1" ht="36">
      <c r="A66" s="876">
        <v>6</v>
      </c>
      <c r="B66" s="3395"/>
      <c r="C66" s="812" t="s">
        <v>625</v>
      </c>
      <c r="D66" s="812" t="s">
        <v>626</v>
      </c>
      <c r="E66" s="889">
        <v>0.3</v>
      </c>
      <c r="F66" s="876">
        <v>50</v>
      </c>
    </row>
    <row r="67" spans="1:6" s="872" customFormat="1" ht="36">
      <c r="A67" s="876">
        <v>7</v>
      </c>
      <c r="B67" s="3395"/>
      <c r="C67" s="812" t="s">
        <v>627</v>
      </c>
      <c r="D67" s="812" t="s">
        <v>628</v>
      </c>
      <c r="E67" s="889">
        <v>0.2</v>
      </c>
      <c r="F67" s="876">
        <v>30</v>
      </c>
    </row>
    <row r="68" spans="1:6" s="872" customFormat="1" ht="36">
      <c r="A68" s="876">
        <v>8</v>
      </c>
      <c r="B68" s="3395"/>
      <c r="C68" s="812" t="s">
        <v>629</v>
      </c>
      <c r="D68" s="812" t="s">
        <v>630</v>
      </c>
      <c r="E68" s="889">
        <v>0.2</v>
      </c>
      <c r="F68" s="876">
        <v>30</v>
      </c>
    </row>
    <row r="69" spans="1:6" s="872" customFormat="1" ht="36">
      <c r="A69" s="876">
        <v>9</v>
      </c>
      <c r="B69" s="3395"/>
      <c r="C69" s="812" t="s">
        <v>631</v>
      </c>
      <c r="D69" s="812" t="s">
        <v>632</v>
      </c>
      <c r="E69" s="889">
        <v>0.2</v>
      </c>
      <c r="F69" s="876">
        <v>30</v>
      </c>
    </row>
    <row r="70" spans="1:6" s="872" customFormat="1" ht="48">
      <c r="A70" s="876">
        <v>10</v>
      </c>
      <c r="B70" s="3395"/>
      <c r="C70" s="812" t="s">
        <v>633</v>
      </c>
      <c r="D70" s="812" t="s">
        <v>634</v>
      </c>
      <c r="E70" s="889">
        <v>0.2</v>
      </c>
      <c r="F70" s="876">
        <v>30</v>
      </c>
    </row>
    <row r="71" spans="1:6" s="872" customFormat="1" ht="48">
      <c r="A71" s="876">
        <v>11</v>
      </c>
      <c r="B71" s="3395"/>
      <c r="C71" s="812" t="s">
        <v>635</v>
      </c>
      <c r="D71" s="812" t="s">
        <v>636</v>
      </c>
      <c r="E71" s="889">
        <v>0.2</v>
      </c>
      <c r="F71" s="876">
        <v>30</v>
      </c>
    </row>
    <row r="72" spans="1:6" s="872" customFormat="1" ht="36">
      <c r="A72" s="876">
        <v>12</v>
      </c>
      <c r="B72" s="3395"/>
      <c r="C72" s="812" t="s">
        <v>637</v>
      </c>
      <c r="D72" s="812" t="s">
        <v>638</v>
      </c>
      <c r="E72" s="889">
        <v>0.5</v>
      </c>
      <c r="F72" s="876">
        <v>80</v>
      </c>
    </row>
    <row r="73" spans="1:6" s="872" customFormat="1" ht="24">
      <c r="A73" s="876">
        <v>13</v>
      </c>
      <c r="B73" s="3395"/>
      <c r="C73" s="812" t="s">
        <v>639</v>
      </c>
      <c r="D73" s="812" t="s">
        <v>640</v>
      </c>
      <c r="E73" s="889">
        <v>0.4</v>
      </c>
      <c r="F73" s="876">
        <v>60</v>
      </c>
    </row>
    <row r="74" spans="1:6" s="872" customFormat="1" ht="24">
      <c r="A74" s="876">
        <v>14</v>
      </c>
      <c r="B74" s="3395"/>
      <c r="C74" s="812" t="s">
        <v>641</v>
      </c>
      <c r="D74" s="812" t="s">
        <v>642</v>
      </c>
      <c r="E74" s="889">
        <v>0.2</v>
      </c>
      <c r="F74" s="876">
        <v>30</v>
      </c>
    </row>
    <row r="75" spans="1:6" s="872" customFormat="1" ht="24">
      <c r="A75" s="876">
        <v>15</v>
      </c>
      <c r="B75" s="3395"/>
      <c r="C75" s="812" t="s">
        <v>643</v>
      </c>
      <c r="D75" s="812" t="s">
        <v>644</v>
      </c>
      <c r="E75" s="889">
        <v>0.2</v>
      </c>
      <c r="F75" s="876">
        <v>30</v>
      </c>
    </row>
    <row r="76" spans="1:6" s="872" customFormat="1" ht="24">
      <c r="A76" s="876">
        <v>16</v>
      </c>
      <c r="B76" s="3395" t="s">
        <v>645</v>
      </c>
      <c r="C76" s="812" t="s">
        <v>646</v>
      </c>
      <c r="D76" s="812" t="s">
        <v>647</v>
      </c>
      <c r="E76" s="889">
        <v>0.5</v>
      </c>
      <c r="F76" s="876">
        <v>80</v>
      </c>
    </row>
    <row r="77" spans="1:6" s="872" customFormat="1" ht="24">
      <c r="A77" s="876">
        <v>17</v>
      </c>
      <c r="B77" s="3395"/>
      <c r="C77" s="812" t="s">
        <v>648</v>
      </c>
      <c r="D77" s="812" t="s">
        <v>649</v>
      </c>
      <c r="E77" s="889">
        <v>0.5</v>
      </c>
      <c r="F77" s="876">
        <v>80</v>
      </c>
    </row>
    <row r="78" spans="1:6" s="872" customFormat="1" ht="24">
      <c r="A78" s="876">
        <v>18</v>
      </c>
      <c r="B78" s="3395"/>
      <c r="C78" s="812" t="s">
        <v>650</v>
      </c>
      <c r="D78" s="812" t="s">
        <v>651</v>
      </c>
      <c r="E78" s="889">
        <v>0.2</v>
      </c>
      <c r="F78" s="876">
        <v>30</v>
      </c>
    </row>
    <row r="79" spans="1:6" s="872" customFormat="1" ht="24">
      <c r="A79" s="876">
        <v>19</v>
      </c>
      <c r="B79" s="3395"/>
      <c r="C79" s="812" t="s">
        <v>652</v>
      </c>
      <c r="D79" s="812" t="s">
        <v>653</v>
      </c>
      <c r="E79" s="889">
        <v>0.5</v>
      </c>
      <c r="F79" s="876">
        <v>80</v>
      </c>
    </row>
    <row r="80" spans="1:6" s="872" customFormat="1" ht="36">
      <c r="A80" s="876">
        <v>20</v>
      </c>
      <c r="B80" s="3395"/>
      <c r="C80" s="812" t="s">
        <v>654</v>
      </c>
      <c r="D80" s="812" t="s">
        <v>655</v>
      </c>
      <c r="E80" s="889">
        <v>0.2</v>
      </c>
      <c r="F80" s="876">
        <v>30</v>
      </c>
    </row>
    <row r="81" spans="1:6" s="872" customFormat="1" ht="36">
      <c r="A81" s="876">
        <v>21</v>
      </c>
      <c r="B81" s="3395"/>
      <c r="C81" s="812" t="s">
        <v>656</v>
      </c>
      <c r="D81" s="812" t="s">
        <v>657</v>
      </c>
      <c r="E81" s="889">
        <v>0.2</v>
      </c>
      <c r="F81" s="876">
        <v>30</v>
      </c>
    </row>
    <row r="82" spans="1:6" s="872" customFormat="1" ht="48">
      <c r="A82" s="876">
        <v>22</v>
      </c>
      <c r="B82" s="3395"/>
      <c r="C82" s="812" t="s">
        <v>658</v>
      </c>
      <c r="D82" s="812" t="s">
        <v>659</v>
      </c>
      <c r="E82" s="889">
        <v>0.2</v>
      </c>
      <c r="F82" s="876">
        <v>30</v>
      </c>
    </row>
    <row r="83" spans="1:6" s="872" customFormat="1" ht="48">
      <c r="A83" s="876">
        <v>23</v>
      </c>
      <c r="B83" s="3395"/>
      <c r="C83" s="812" t="s">
        <v>660</v>
      </c>
      <c r="D83" s="812" t="s">
        <v>661</v>
      </c>
      <c r="E83" s="889">
        <v>0.2</v>
      </c>
      <c r="F83" s="876">
        <v>30</v>
      </c>
    </row>
    <row r="84" spans="1:6" s="872" customFormat="1" ht="36">
      <c r="A84" s="876">
        <v>24</v>
      </c>
      <c r="B84" s="3395"/>
      <c r="C84" s="812" t="s">
        <v>662</v>
      </c>
      <c r="D84" s="812" t="s">
        <v>663</v>
      </c>
      <c r="E84" s="889">
        <v>0.2</v>
      </c>
      <c r="F84" s="876">
        <v>30</v>
      </c>
    </row>
    <row r="85" spans="1:6" s="872" customFormat="1" ht="36">
      <c r="A85" s="876">
        <v>25</v>
      </c>
      <c r="B85" s="3395"/>
      <c r="C85" s="812" t="s">
        <v>664</v>
      </c>
      <c r="D85" s="812" t="s">
        <v>665</v>
      </c>
      <c r="E85" s="889">
        <v>0.5</v>
      </c>
      <c r="F85" s="876">
        <v>80</v>
      </c>
    </row>
    <row r="86" spans="1:6" s="872" customFormat="1" ht="36">
      <c r="A86" s="876">
        <v>26</v>
      </c>
      <c r="B86" s="3395"/>
      <c r="C86" s="812" t="s">
        <v>666</v>
      </c>
      <c r="D86" s="812" t="s">
        <v>667</v>
      </c>
      <c r="E86" s="889">
        <v>0.2</v>
      </c>
      <c r="F86" s="876">
        <v>30</v>
      </c>
    </row>
    <row r="87" spans="1:6" s="872" customFormat="1" ht="36">
      <c r="A87" s="876">
        <v>27</v>
      </c>
      <c r="B87" s="3395"/>
      <c r="C87" s="812" t="s">
        <v>668</v>
      </c>
      <c r="D87" s="812" t="s">
        <v>669</v>
      </c>
      <c r="E87" s="889">
        <v>0.2</v>
      </c>
      <c r="F87" s="876">
        <v>30</v>
      </c>
    </row>
    <row r="88" spans="1:6" s="872" customFormat="1" ht="36">
      <c r="A88" s="876">
        <v>28</v>
      </c>
      <c r="B88" s="3395"/>
      <c r="C88" s="812" t="s">
        <v>670</v>
      </c>
      <c r="D88" s="812" t="s">
        <v>671</v>
      </c>
      <c r="E88" s="889">
        <v>0.2</v>
      </c>
      <c r="F88" s="876">
        <v>30</v>
      </c>
    </row>
    <row r="89" spans="1:6" s="872" customFormat="1" ht="24">
      <c r="A89" s="876">
        <v>29</v>
      </c>
      <c r="B89" s="3395"/>
      <c r="C89" s="812" t="s">
        <v>672</v>
      </c>
      <c r="D89" s="812" t="s">
        <v>673</v>
      </c>
      <c r="E89" s="889">
        <v>0.2</v>
      </c>
      <c r="F89" s="876">
        <v>30</v>
      </c>
    </row>
    <row r="90" spans="1:6" s="872" customFormat="1" ht="24">
      <c r="A90" s="876">
        <v>30</v>
      </c>
      <c r="B90" s="3395"/>
      <c r="C90" s="812" t="s">
        <v>674</v>
      </c>
      <c r="D90" s="812" t="s">
        <v>675</v>
      </c>
      <c r="E90" s="889">
        <v>0.2</v>
      </c>
      <c r="F90" s="876">
        <v>30</v>
      </c>
    </row>
    <row r="91" spans="1:6" s="872" customFormat="1" ht="36">
      <c r="A91" s="876">
        <v>31</v>
      </c>
      <c r="B91" s="3395"/>
      <c r="C91" s="812" t="s">
        <v>676</v>
      </c>
      <c r="D91" s="812" t="s">
        <v>677</v>
      </c>
      <c r="E91" s="889">
        <v>0.2</v>
      </c>
      <c r="F91" s="876">
        <v>30</v>
      </c>
    </row>
    <row r="92" spans="1:6" s="872" customFormat="1" ht="24">
      <c r="A92" s="876">
        <v>32</v>
      </c>
      <c r="B92" s="3395" t="s">
        <v>678</v>
      </c>
      <c r="C92" s="876" t="s">
        <v>679</v>
      </c>
      <c r="D92" s="812" t="s">
        <v>680</v>
      </c>
      <c r="E92" s="889">
        <v>0.2</v>
      </c>
      <c r="F92" s="876">
        <v>30</v>
      </c>
    </row>
    <row r="93" spans="1:6" s="872" customFormat="1" ht="36">
      <c r="A93" s="876">
        <v>33</v>
      </c>
      <c r="B93" s="3395"/>
      <c r="C93" s="876" t="s">
        <v>681</v>
      </c>
      <c r="D93" s="812" t="s">
        <v>682</v>
      </c>
      <c r="E93" s="889">
        <v>0.2</v>
      </c>
      <c r="F93" s="876">
        <v>30</v>
      </c>
    </row>
    <row r="94" spans="1:6" s="872" customFormat="1" ht="48">
      <c r="A94" s="876">
        <v>34</v>
      </c>
      <c r="B94" s="3395"/>
      <c r="C94" s="876" t="s">
        <v>683</v>
      </c>
      <c r="D94" s="812" t="s">
        <v>684</v>
      </c>
      <c r="E94" s="889">
        <v>0.2</v>
      </c>
      <c r="F94" s="876">
        <v>30</v>
      </c>
    </row>
    <row r="95" spans="1:6" s="872" customFormat="1" ht="36">
      <c r="A95" s="876">
        <v>35</v>
      </c>
      <c r="B95" s="3395"/>
      <c r="C95" s="876" t="s">
        <v>685</v>
      </c>
      <c r="D95" s="812" t="s">
        <v>686</v>
      </c>
      <c r="E95" s="889">
        <v>0.2</v>
      </c>
      <c r="F95" s="876">
        <v>30</v>
      </c>
    </row>
    <row r="96" spans="1:6" s="872" customFormat="1" ht="48">
      <c r="A96" s="876">
        <v>36</v>
      </c>
      <c r="B96" s="3395"/>
      <c r="C96" s="812" t="s">
        <v>687</v>
      </c>
      <c r="D96" s="812" t="s">
        <v>688</v>
      </c>
      <c r="E96" s="889">
        <v>0.2</v>
      </c>
      <c r="F96" s="876">
        <v>30</v>
      </c>
    </row>
    <row r="97" spans="1:6" s="872" customFormat="1" ht="36">
      <c r="A97" s="876">
        <v>37</v>
      </c>
      <c r="B97" s="3395"/>
      <c r="C97" s="876" t="s">
        <v>689</v>
      </c>
      <c r="D97" s="812" t="s">
        <v>690</v>
      </c>
      <c r="E97" s="889">
        <v>0.2</v>
      </c>
      <c r="F97" s="876">
        <v>30</v>
      </c>
    </row>
    <row r="98" spans="1:6" s="872" customFormat="1" ht="36">
      <c r="A98" s="876">
        <v>38</v>
      </c>
      <c r="B98" s="3395"/>
      <c r="C98" s="876" t="s">
        <v>691</v>
      </c>
      <c r="D98" s="812" t="s">
        <v>692</v>
      </c>
      <c r="E98" s="889">
        <v>0.2</v>
      </c>
      <c r="F98" s="876">
        <v>30</v>
      </c>
    </row>
    <row r="99" spans="1:6" s="872" customFormat="1" ht="36">
      <c r="A99" s="876">
        <v>39</v>
      </c>
      <c r="B99" s="3395" t="s">
        <v>693</v>
      </c>
      <c r="C99" s="876" t="s">
        <v>694</v>
      </c>
      <c r="D99" s="812" t="s">
        <v>695</v>
      </c>
      <c r="E99" s="889">
        <v>0.3</v>
      </c>
      <c r="F99" s="876">
        <v>50</v>
      </c>
    </row>
    <row r="100" spans="1:6" s="872" customFormat="1" ht="24">
      <c r="A100" s="876">
        <v>40</v>
      </c>
      <c r="B100" s="3395"/>
      <c r="C100" s="876" t="s">
        <v>696</v>
      </c>
      <c r="D100" s="812" t="s">
        <v>697</v>
      </c>
      <c r="E100" s="889">
        <v>0.2</v>
      </c>
      <c r="F100" s="876">
        <v>30</v>
      </c>
    </row>
    <row r="101" spans="1:6" s="872" customFormat="1" ht="36">
      <c r="A101" s="876">
        <v>41</v>
      </c>
      <c r="B101" s="33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95" t="s">
        <v>708</v>
      </c>
      <c r="C105" s="876" t="s">
        <v>709</v>
      </c>
      <c r="D105" s="812" t="s">
        <v>710</v>
      </c>
      <c r="E105" s="889">
        <v>0.2</v>
      </c>
      <c r="F105" s="876">
        <v>30</v>
      </c>
    </row>
    <row r="106" spans="1:6" s="872" customFormat="1" ht="36">
      <c r="A106" s="876">
        <v>46</v>
      </c>
      <c r="B106" s="3395"/>
      <c r="C106" s="876" t="s">
        <v>711</v>
      </c>
      <c r="D106" s="812" t="s">
        <v>712</v>
      </c>
      <c r="E106" s="889">
        <v>0.2</v>
      </c>
      <c r="F106" s="876">
        <v>30</v>
      </c>
    </row>
    <row r="107" spans="1:6" s="872" customFormat="1" ht="36">
      <c r="A107" s="876">
        <v>47</v>
      </c>
      <c r="B107" s="3395" t="s">
        <v>713</v>
      </c>
      <c r="C107" s="876" t="s">
        <v>714</v>
      </c>
      <c r="D107" s="812" t="s">
        <v>715</v>
      </c>
      <c r="E107" s="889">
        <v>0.3</v>
      </c>
      <c r="F107" s="876">
        <v>50</v>
      </c>
    </row>
    <row r="108" spans="1:6" s="872" customFormat="1" ht="36">
      <c r="A108" s="876">
        <v>48</v>
      </c>
      <c r="B108" s="33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95" t="s">
        <v>724</v>
      </c>
      <c r="C111" s="876" t="s">
        <v>725</v>
      </c>
      <c r="D111" s="812" t="s">
        <v>726</v>
      </c>
      <c r="E111" s="889">
        <v>0.2</v>
      </c>
      <c r="F111" s="876">
        <v>30</v>
      </c>
    </row>
    <row r="112" spans="1:6" s="872" customFormat="1" ht="24">
      <c r="A112" s="876">
        <v>52</v>
      </c>
      <c r="B112" s="3395"/>
      <c r="C112" s="876" t="s">
        <v>727</v>
      </c>
      <c r="D112" s="812" t="s">
        <v>728</v>
      </c>
      <c r="E112" s="889">
        <v>0.2</v>
      </c>
      <c r="F112" s="876">
        <v>30</v>
      </c>
    </row>
    <row r="113" spans="1:6" s="872" customFormat="1" ht="24">
      <c r="A113" s="876">
        <v>53</v>
      </c>
      <c r="B113" s="33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95" t="s">
        <v>737</v>
      </c>
      <c r="C116" s="876" t="s">
        <v>738</v>
      </c>
      <c r="D116" s="812" t="s">
        <v>739</v>
      </c>
      <c r="E116" s="889">
        <v>0.2</v>
      </c>
      <c r="F116" s="876">
        <v>30</v>
      </c>
    </row>
    <row r="117" spans="1:6" ht="36">
      <c r="A117" s="876">
        <v>57</v>
      </c>
      <c r="B117" s="33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3003</v>
      </c>
    </row>
    <row r="2" spans="1:5" ht="15.75">
      <c r="A2" s="2903" t="s">
        <v>2995</v>
      </c>
      <c r="B2" s="2904" t="e">
        <f ca="1">SUMIF(B6:B13,"&lt;&gt;#ref!",B6:B13)</f>
        <v>#DIV/0!</v>
      </c>
      <c r="C2" s="2903" t="s">
        <v>2996</v>
      </c>
      <c r="D2" s="2903" t="s">
        <v>2997</v>
      </c>
      <c r="E2" s="2904" t="e">
        <f ca="1">SUM(E6:E13)</f>
        <v>#REF!</v>
      </c>
    </row>
    <row r="3" spans="1:5" ht="15.75">
      <c r="A3" s="2903" t="s">
        <v>2998</v>
      </c>
      <c r="B3" s="2904" t="e">
        <f ca="1">ROUND(B2*10000/E2,0)</f>
        <v>#DIV/0!</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t="e">
        <f ca="1">SUMIF(INDIRECT("'"&amp;A6&amp;"'"&amp;"!A:A"),"总价",INDIRECT("'"&amp;A6&amp;"'"&amp;"!B:B"))</f>
        <v>#DIV/0!</v>
      </c>
      <c r="C6" s="2903" t="s">
        <v>2996</v>
      </c>
      <c r="D6" s="2905"/>
      <c r="E6" s="2568">
        <f ca="1">SUMIF(INDIRECT("'"&amp;A6&amp;"'"&amp;"!C:C"),"建筑面积",INDIRECT("'"&amp;A6&amp;"'"&amp;"!D:D"))</f>
        <v>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6" sqref="W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01" t="s">
        <v>1150</v>
      </c>
      <c r="C1" s="3401"/>
      <c r="D1" s="3401"/>
      <c r="E1" s="3401"/>
      <c r="F1" s="3401"/>
      <c r="G1" s="3397" t="s">
        <v>1151</v>
      </c>
      <c r="H1" s="3397"/>
      <c r="I1" s="3397"/>
      <c r="J1" s="3397"/>
      <c r="K1" s="3397"/>
      <c r="L1" s="3397"/>
      <c r="N1" s="3397" t="s">
        <v>1152</v>
      </c>
      <c r="O1" s="3397"/>
      <c r="P1" s="3397"/>
      <c r="Q1" s="3397"/>
      <c r="R1" s="1441"/>
      <c r="S1" s="3397" t="s">
        <v>1153</v>
      </c>
      <c r="T1" s="3397"/>
      <c r="U1" s="3397"/>
      <c r="V1" s="3397"/>
      <c r="X1" s="3396" t="s">
        <v>1154</v>
      </c>
      <c r="Y1" s="3397"/>
      <c r="Z1" s="3397"/>
      <c r="AA1" s="3397"/>
      <c r="AB1" s="3397"/>
      <c r="AD1" s="3396" t="s">
        <v>1155</v>
      </c>
      <c r="AE1" s="3397"/>
      <c r="AF1" s="3397"/>
      <c r="AG1" s="3397"/>
      <c r="AH1" s="3397"/>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2" customFormat="1" ht="14.25">
      <c r="A3" s="2931" t="s">
        <v>3034</v>
      </c>
      <c r="B3" s="2923"/>
      <c r="C3" s="2923"/>
      <c r="D3" s="2924"/>
      <c r="E3" s="2924"/>
      <c r="F3" s="2923"/>
      <c r="G3" s="2925"/>
      <c r="H3" s="2926"/>
      <c r="I3" s="2927">
        <f>ROUND(AVERAGE($I7:$I22),2)</f>
        <v>2.4500000000000002</v>
      </c>
      <c r="J3" s="2927">
        <f>ROUND(AVERAGE($J7:$J22),2)</f>
        <v>1.65</v>
      </c>
      <c r="K3" s="2927">
        <f>ROUND(AVERAGE($K7:$K22),2)</f>
        <v>2.71</v>
      </c>
      <c r="L3" s="2927">
        <f>ROUND(AVERAGE($L7:$L22),2)</f>
        <v>1.39</v>
      </c>
      <c r="N3" s="2925"/>
      <c r="O3" s="2928"/>
      <c r="P3" s="2928"/>
      <c r="Q3" s="2928"/>
      <c r="R3" s="2928"/>
      <c r="S3" s="2925"/>
      <c r="T3" s="2928"/>
      <c r="U3" s="2928"/>
      <c r="V3" s="2928"/>
      <c r="W3" s="2920"/>
      <c r="X3" s="2929">
        <f>ROUND(SUMPRODUCT(PRODUCT(1+N3:N$21)),4)</f>
        <v>1.4274</v>
      </c>
      <c r="Y3" s="2929">
        <f>ROUND(SUMPRODUCT(PRODUCT(1+O3:O$21)),4)</f>
        <v>1.2685</v>
      </c>
      <c r="Z3" s="2929">
        <f t="shared" ref="Z3:Z19" si="0">Y3</f>
        <v>1.2685</v>
      </c>
      <c r="AA3" s="2929">
        <f>ROUND(SUMPRODUCT(PRODUCT(1+P3:P$21)),4)</f>
        <v>1.4825999999999999</v>
      </c>
      <c r="AB3" s="2929">
        <f>ROUND(SUMPRODUCT(PRODUCT(1+Q3:Q$21)),4)</f>
        <v>1.2309000000000001</v>
      </c>
      <c r="AD3" s="2930">
        <f>ROUND(AVERAGE(I3:I$22)/100,4)</f>
        <v>2.1899999999999999E-2</v>
      </c>
      <c r="AE3" s="2930">
        <f>ROUND(AVERAGE(J3:J$22)/100,4)</f>
        <v>1.47E-2</v>
      </c>
      <c r="AF3" s="2930">
        <f t="shared" ref="AF3:AF20" si="1">AE3</f>
        <v>1.47E-2</v>
      </c>
      <c r="AG3" s="2930">
        <f>ROUND(AVERAGE(K3:K$22)/100,4)</f>
        <v>2.4299999999999999E-2</v>
      </c>
      <c r="AH3" s="2930">
        <f>ROUND(AVERAGE(L3:L$22)/100,4)</f>
        <v>1.2500000000000001E-2</v>
      </c>
    </row>
    <row r="4" spans="1:34" s="1448" customFormat="1" ht="14.25">
      <c r="B4" s="1449"/>
      <c r="C4" s="1449"/>
      <c r="D4" s="1450"/>
      <c r="E4" s="1450"/>
      <c r="F4" s="1449"/>
      <c r="G4" s="1451"/>
      <c r="H4" s="1452"/>
      <c r="I4" s="2916"/>
      <c r="J4" s="2916"/>
      <c r="K4" s="2916"/>
      <c r="L4" s="2916"/>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3040</v>
      </c>
      <c r="B5" s="1786">
        <f t="shared" ref="B5" si="2">B6*(1+N5)</f>
        <v>439.19121308559727</v>
      </c>
      <c r="C5" s="1786">
        <f t="shared" ref="C5" si="3">C6*(1+O5)</f>
        <v>326.28510789673351</v>
      </c>
      <c r="D5" s="1786">
        <f t="shared" ref="D5" si="4">C5</f>
        <v>326.28510789673351</v>
      </c>
      <c r="E5" s="1786">
        <f t="shared" ref="E5" si="5">E6*(1+P5)</f>
        <v>626.49404043656455</v>
      </c>
      <c r="F5" s="1786">
        <f t="shared" ref="F5" si="6">F6*(1+Q5)</f>
        <v>283.46416215500358</v>
      </c>
      <c r="G5" s="2932">
        <v>2018</v>
      </c>
      <c r="H5" s="1725">
        <v>2</v>
      </c>
      <c r="I5" s="2917">
        <v>0</v>
      </c>
      <c r="J5" s="2917">
        <v>0</v>
      </c>
      <c r="K5" s="2917">
        <v>0</v>
      </c>
      <c r="L5" s="2917">
        <v>0</v>
      </c>
      <c r="N5" s="1462">
        <f t="shared" ref="N5" si="7">I5/100</f>
        <v>0</v>
      </c>
      <c r="O5" s="1462">
        <f t="shared" ref="O5" si="8">J5/100</f>
        <v>0</v>
      </c>
      <c r="P5" s="1462">
        <f t="shared" ref="P5" si="9">K5/100</f>
        <v>0</v>
      </c>
      <c r="Q5" s="1462">
        <f t="shared" ref="Q5" si="10">L5/100</f>
        <v>0</v>
      </c>
      <c r="R5" s="1727"/>
      <c r="S5" s="1728"/>
      <c r="T5" s="1727"/>
      <c r="U5" s="1727"/>
      <c r="V5" s="1727"/>
      <c r="W5" s="2921" t="s">
        <v>3035</v>
      </c>
      <c r="X5" s="1721">
        <f>ROUND(SUMPRODUCT(PRODUCT(1+N5:N$21)),4)</f>
        <v>1.4274</v>
      </c>
      <c r="Y5" s="1721">
        <f>ROUND(SUMPRODUCT(PRODUCT(1+O5:O$21)),4)</f>
        <v>1.2685</v>
      </c>
      <c r="Z5" s="1721">
        <f t="shared" ref="Z5" si="11">Y5</f>
        <v>1.2685</v>
      </c>
      <c r="AA5" s="1721">
        <f>ROUND(SUMPRODUCT(PRODUCT(1+P5:P$21)),4)</f>
        <v>1.4825999999999999</v>
      </c>
      <c r="AB5" s="1721">
        <f>ROUND(SUMPRODUCT(PRODUCT(1+Q5:Q$21)),4)</f>
        <v>1.2309000000000001</v>
      </c>
      <c r="AD5" s="1463">
        <f>ROUND(AVERAGE(I5:I$22)/100,4)</f>
        <v>2.1700000000000001E-2</v>
      </c>
      <c r="AE5" s="1463">
        <f>ROUND(AVERAGE(J5:J$22)/100,4)</f>
        <v>1.46E-2</v>
      </c>
      <c r="AF5" s="1463">
        <f t="shared" ref="AF5" si="12">AE5</f>
        <v>1.46E-2</v>
      </c>
      <c r="AG5" s="1463">
        <f>ROUND(AVERAGE(K5:K$22)/100,4)</f>
        <v>2.41E-2</v>
      </c>
      <c r="AH5" s="1463">
        <f>ROUND(AVERAGE(L5:L$22)/100,4)</f>
        <v>1.24E-2</v>
      </c>
    </row>
    <row r="6" spans="1:34" s="1461" customFormat="1" ht="13.5" thickBot="1">
      <c r="A6" s="1456" t="s">
        <v>3033</v>
      </c>
      <c r="B6" s="1472">
        <f t="shared" ref="B6" si="13">B7*(1+N6)</f>
        <v>439.19121308559727</v>
      </c>
      <c r="C6" s="1472">
        <f t="shared" ref="C6" si="14">C7*(1+O6)</f>
        <v>326.28510789673351</v>
      </c>
      <c r="D6" s="1472">
        <f t="shared" ref="D6" si="15">C6</f>
        <v>326.28510789673351</v>
      </c>
      <c r="E6" s="1472">
        <f t="shared" ref="E6" si="16">E7*(1+P6)</f>
        <v>626.49404043656455</v>
      </c>
      <c r="F6" s="1472">
        <f t="shared" ref="F6" si="17">F7*(1+Q6)</f>
        <v>283.46416215500358</v>
      </c>
      <c r="G6" s="2933">
        <v>2018</v>
      </c>
      <c r="H6" s="1459">
        <v>1</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f>B6/B7-1</f>
        <v>0</v>
      </c>
      <c r="T6" s="1468">
        <f t="shared" ref="T6" si="22">C6/C7-1</f>
        <v>0</v>
      </c>
      <c r="U6" s="1468">
        <f t="shared" ref="U6" si="23">D6/D7-1</f>
        <v>0</v>
      </c>
      <c r="V6" s="1468">
        <f t="shared" ref="V6" si="24">E6/E7-1</f>
        <v>0</v>
      </c>
      <c r="W6" s="1785"/>
      <c r="X6" s="1783">
        <f>ROUND(SUMPRODUCT(PRODUCT(1+N6:N$21)),4)</f>
        <v>1.4274</v>
      </c>
      <c r="Y6" s="1783">
        <f>ROUND(SUMPRODUCT(PRODUCT(1+O6:O$21)),4)</f>
        <v>1.2685</v>
      </c>
      <c r="Z6" s="1783">
        <f t="shared" ref="Z6" si="25">Y6</f>
        <v>1.2685</v>
      </c>
      <c r="AA6" s="1783">
        <f>ROUND(SUMPRODUCT(PRODUCT(1+P6:P$21)),4)</f>
        <v>1.4825999999999999</v>
      </c>
      <c r="AB6" s="1783">
        <f>ROUND(SUMPRODUCT(PRODUCT(1+Q6:Q$21)),4)</f>
        <v>1.2309000000000001</v>
      </c>
      <c r="AC6" s="1785"/>
      <c r="AD6" s="1784">
        <f>ROUND(AVERAGE(I6:I$22)/100,4)</f>
        <v>2.3E-2</v>
      </c>
      <c r="AE6" s="1784">
        <f>ROUND(AVERAGE(J6:J$22)/100,4)</f>
        <v>1.55E-2</v>
      </c>
      <c r="AF6" s="1784">
        <f t="shared" ref="AF6" si="26">AE6</f>
        <v>1.55E-2</v>
      </c>
      <c r="AG6" s="1784">
        <f>ROUND(AVERAGE(K6:K$22)/100,4)</f>
        <v>2.5499999999999998E-2</v>
      </c>
      <c r="AH6" s="1784">
        <f>ROUND(AVERAGE(L6:L$22)/100,4)</f>
        <v>1.3100000000000001E-2</v>
      </c>
    </row>
    <row r="7" spans="1:34">
      <c r="A7" s="1456" t="s">
        <v>3030</v>
      </c>
      <c r="B7" s="1464">
        <f t="shared" ref="B7" si="27">B8*(1+N7)</f>
        <v>439.19121308559727</v>
      </c>
      <c r="C7" s="1464">
        <f t="shared" ref="C7" si="28">C8*(1+O7)</f>
        <v>326.28510789673351</v>
      </c>
      <c r="D7" s="1464">
        <f t="shared" ref="D7" si="29">C7</f>
        <v>326.28510789673351</v>
      </c>
      <c r="E7" s="1464">
        <f t="shared" ref="E7" si="30">E8*(1+P7)</f>
        <v>626.49404043656455</v>
      </c>
      <c r="F7" s="1465">
        <f t="shared" ref="F7" si="31">F8*(1+Q7)</f>
        <v>283.46416215500358</v>
      </c>
      <c r="G7" s="2919">
        <v>2017</v>
      </c>
      <c r="H7" s="1457">
        <v>4</v>
      </c>
      <c r="I7" s="1457">
        <v>1.71</v>
      </c>
      <c r="J7" s="1457">
        <v>1.78</v>
      </c>
      <c r="K7" s="1457">
        <v>1.71</v>
      </c>
      <c r="L7" s="1458">
        <v>1.43</v>
      </c>
      <c r="N7" s="1467">
        <f t="shared" si="18"/>
        <v>1.7100000000000001E-2</v>
      </c>
      <c r="O7" s="1468">
        <f t="shared" ref="O7" si="32">J7/100</f>
        <v>1.78E-2</v>
      </c>
      <c r="P7" s="1468">
        <f t="shared" ref="P7" si="33">K7/100</f>
        <v>1.7100000000000001E-2</v>
      </c>
      <c r="Q7" s="1468">
        <f t="shared" ref="Q7" si="34">L7/100</f>
        <v>1.43E-2</v>
      </c>
      <c r="R7" s="1469"/>
      <c r="S7" s="1470"/>
      <c r="T7" s="1471"/>
      <c r="U7" s="1471"/>
      <c r="V7" s="1471"/>
      <c r="X7" s="1454">
        <f>ROUND(SUMPRODUCT(PRODUCT(1+N7:N$21)),4)</f>
        <v>1.4274</v>
      </c>
      <c r="Y7" s="1454">
        <f>ROUND(SUMPRODUCT(PRODUCT(1+O7:O$21)),4)</f>
        <v>1.2685</v>
      </c>
      <c r="Z7" s="1454">
        <f t="shared" si="0"/>
        <v>1.2685</v>
      </c>
      <c r="AA7" s="1454">
        <f>ROUND(SUMPRODUCT(PRODUCT(1+P7:P$21)),4)</f>
        <v>1.4825999999999999</v>
      </c>
      <c r="AB7" s="1454">
        <f>ROUND(SUMPRODUCT(PRODUCT(1+Q7:Q$21)),4)</f>
        <v>1.2309000000000001</v>
      </c>
      <c r="AD7" s="1455">
        <f>ROUND(AVERAGE(I7:I$22)/100,4)</f>
        <v>2.4500000000000001E-2</v>
      </c>
      <c r="AE7" s="1455">
        <f>ROUND(AVERAGE(J7:J$22)/100,4)</f>
        <v>1.6500000000000001E-2</v>
      </c>
      <c r="AF7" s="1455">
        <f t="shared" si="1"/>
        <v>1.6500000000000001E-2</v>
      </c>
      <c r="AG7" s="1455">
        <f>ROUND(AVERAGE(K7:K$22)/100,4)</f>
        <v>2.7099999999999999E-2</v>
      </c>
      <c r="AH7" s="1455">
        <f>ROUND(AVERAGE(L7:L$22)/100,4)</f>
        <v>1.3899999999999999E-2</v>
      </c>
    </row>
    <row r="8" spans="1:34" s="1461" customFormat="1" ht="13.5" thickBot="1">
      <c r="A8" s="1456" t="s">
        <v>3031</v>
      </c>
      <c r="B8" s="1472">
        <f t="shared" ref="B8:B9" si="35">B9*(1+N8)</f>
        <v>431.80730811680002</v>
      </c>
      <c r="C8" s="1472">
        <f t="shared" ref="C8:C9" si="36">C9*(1+O8)</f>
        <v>320.57880516480003</v>
      </c>
      <c r="D8" s="1472">
        <f t="shared" ref="D8:D9" si="37">C8</f>
        <v>320.57880516480003</v>
      </c>
      <c r="E8" s="1472">
        <f t="shared" ref="E8:E9" si="38">E9*(1+P8)</f>
        <v>615.96110553196797</v>
      </c>
      <c r="F8" s="1472">
        <f t="shared" ref="F8:F9" si="39">F9*(1+Q8)</f>
        <v>279.46777300108801</v>
      </c>
      <c r="G8" s="2915"/>
      <c r="H8" s="1459">
        <v>3</v>
      </c>
      <c r="I8" s="1459">
        <v>2.98</v>
      </c>
      <c r="J8" s="1459">
        <v>2.11</v>
      </c>
      <c r="K8" s="1459">
        <v>3.24</v>
      </c>
      <c r="L8" s="1473">
        <v>1.72</v>
      </c>
      <c r="M8" s="1466"/>
      <c r="N8" s="1467">
        <f t="shared" si="18"/>
        <v>2.98E-2</v>
      </c>
      <c r="O8" s="1468">
        <f t="shared" ref="O8" si="40">J8/100</f>
        <v>2.1099999999999997E-2</v>
      </c>
      <c r="P8" s="1468">
        <f t="shared" ref="P8" si="41">K8/100</f>
        <v>3.2400000000000005E-2</v>
      </c>
      <c r="Q8" s="1468">
        <f t="shared" ref="Q8" si="42">L8/100</f>
        <v>1.72E-2</v>
      </c>
      <c r="R8" s="1469"/>
      <c r="S8" s="1467"/>
      <c r="T8" s="1468"/>
      <c r="U8" s="1468"/>
      <c r="V8" s="1468"/>
      <c r="W8" s="1785"/>
      <c r="X8" s="1783">
        <f>ROUND(SUMPRODUCT(PRODUCT(1+N8:N$21)),4)</f>
        <v>1.4034</v>
      </c>
      <c r="Y8" s="1783">
        <f>ROUND(SUMPRODUCT(PRODUCT(1+O8:O$21)),4)</f>
        <v>1.2463</v>
      </c>
      <c r="Z8" s="1783">
        <f t="shared" si="0"/>
        <v>1.2463</v>
      </c>
      <c r="AA8" s="1783">
        <f>ROUND(SUMPRODUCT(PRODUCT(1+P8:P$21)),4)</f>
        <v>1.4577</v>
      </c>
      <c r="AB8" s="1783">
        <f>ROUND(SUMPRODUCT(PRODUCT(1+Q8:Q$21)),4)</f>
        <v>1.2136</v>
      </c>
      <c r="AC8" s="1785"/>
      <c r="AD8" s="1784">
        <f>ROUND(AVERAGE(I8:I$22)/100,4)</f>
        <v>2.4899999999999999E-2</v>
      </c>
      <c r="AE8" s="1784">
        <f>ROUND(AVERAGE(J8:J$22)/100,4)</f>
        <v>1.6400000000000001E-2</v>
      </c>
      <c r="AF8" s="1784">
        <f t="shared" si="1"/>
        <v>1.6400000000000001E-2</v>
      </c>
      <c r="AG8" s="1784">
        <f>ROUND(AVERAGE(K8:K$22)/100,4)</f>
        <v>2.7799999999999998E-2</v>
      </c>
      <c r="AH8" s="1784">
        <f>ROUND(AVERAGE(L8:L$22)/100,4)</f>
        <v>1.3899999999999999E-2</v>
      </c>
    </row>
    <row r="9" spans="1:34" s="1726" customFormat="1">
      <c r="A9" s="1456" t="s">
        <v>1386</v>
      </c>
      <c r="B9" s="1472">
        <f t="shared" si="35"/>
        <v>419.31181600000002</v>
      </c>
      <c r="C9" s="1472">
        <f t="shared" si="36"/>
        <v>313.95436800000004</v>
      </c>
      <c r="D9" s="1472">
        <f t="shared" si="37"/>
        <v>313.95436800000004</v>
      </c>
      <c r="E9" s="1472">
        <f t="shared" si="38"/>
        <v>596.63028431999999</v>
      </c>
      <c r="F9" s="1472">
        <f t="shared" si="39"/>
        <v>274.74220703999998</v>
      </c>
      <c r="G9" s="2914"/>
      <c r="H9" s="1460">
        <v>2</v>
      </c>
      <c r="I9" s="1460">
        <v>3.4</v>
      </c>
      <c r="J9" s="1460">
        <v>2</v>
      </c>
      <c r="K9" s="1460">
        <v>3.82</v>
      </c>
      <c r="L9" s="1474">
        <v>1.68</v>
      </c>
      <c r="M9" s="1466"/>
      <c r="N9" s="1467">
        <f t="shared" si="18"/>
        <v>3.4000000000000002E-2</v>
      </c>
      <c r="O9" s="1468">
        <f t="shared" ref="O9" si="43">J9/100</f>
        <v>0.02</v>
      </c>
      <c r="P9" s="1468">
        <f t="shared" ref="P9" si="44">K9/100</f>
        <v>3.8199999999999998E-2</v>
      </c>
      <c r="Q9" s="1468">
        <f t="shared" ref="Q9" si="45">L9/100</f>
        <v>1.6799999999999999E-2</v>
      </c>
      <c r="R9" s="1469"/>
      <c r="S9" s="1470"/>
      <c r="T9" s="1471"/>
      <c r="U9" s="1471"/>
      <c r="V9" s="1471"/>
      <c r="W9" s="1448"/>
      <c r="X9" s="1783">
        <f>ROUND(SUMPRODUCT(PRODUCT(1+N9:N$21)),4)</f>
        <v>1.3628</v>
      </c>
      <c r="Y9" s="1783">
        <f>ROUND(SUMPRODUCT(PRODUCT(1+O9:O$21)),4)</f>
        <v>1.2205999999999999</v>
      </c>
      <c r="Z9" s="1783">
        <f t="shared" si="0"/>
        <v>1.2205999999999999</v>
      </c>
      <c r="AA9" s="1783">
        <f>ROUND(SUMPRODUCT(PRODUCT(1+P9:P$21)),4)</f>
        <v>1.4118999999999999</v>
      </c>
      <c r="AB9" s="1783">
        <f>ROUND(SUMPRODUCT(PRODUCT(1+Q9:Q$21)),4)</f>
        <v>1.1930000000000001</v>
      </c>
      <c r="AC9" s="1448"/>
      <c r="AD9" s="1784">
        <f>ROUND(AVERAGE(I9:I$22)/100,4)</f>
        <v>2.46E-2</v>
      </c>
      <c r="AE9" s="1784">
        <f>ROUND(AVERAGE(J9:J$22)/100,4)</f>
        <v>1.6E-2</v>
      </c>
      <c r="AF9" s="1784">
        <f t="shared" si="1"/>
        <v>1.6E-2</v>
      </c>
      <c r="AG9" s="1784">
        <f>ROUND(AVERAGE(K9:K$22)/100,4)</f>
        <v>2.75E-2</v>
      </c>
      <c r="AH9" s="1784">
        <f>ROUND(AVERAGE(L9:L$22)/100,4)</f>
        <v>1.37E-2</v>
      </c>
    </row>
    <row r="10" spans="1:34" s="1461" customFormat="1" ht="13.5" thickBot="1">
      <c r="A10" s="1456" t="s">
        <v>1161</v>
      </c>
      <c r="B10" s="1472">
        <f>B11*(1+N10)</f>
        <v>405.524</v>
      </c>
      <c r="C10" s="1472">
        <f>C11*(1+O10)</f>
        <v>307.79840000000002</v>
      </c>
      <c r="D10" s="1472">
        <f>C10</f>
        <v>307.79840000000002</v>
      </c>
      <c r="E10" s="1472">
        <f>E11*(1+P10)</f>
        <v>574.67759999999998</v>
      </c>
      <c r="F10" s="1472">
        <f>F11*(1+Q10)</f>
        <v>270.20280000000002</v>
      </c>
      <c r="G10" s="2915"/>
      <c r="H10" s="1459">
        <v>1</v>
      </c>
      <c r="I10" s="1459">
        <v>3.45</v>
      </c>
      <c r="J10" s="1459">
        <v>1.92</v>
      </c>
      <c r="K10" s="1459">
        <v>3.92</v>
      </c>
      <c r="L10" s="1473">
        <v>1.58</v>
      </c>
      <c r="M10" s="1466"/>
      <c r="N10" s="1467">
        <f t="shared" si="18"/>
        <v>3.4500000000000003E-2</v>
      </c>
      <c r="O10" s="1468">
        <f t="shared" ref="O10:Q25" si="46">J10/100</f>
        <v>1.9199999999999998E-2</v>
      </c>
      <c r="P10" s="1468">
        <f t="shared" si="46"/>
        <v>3.9199999999999999E-2</v>
      </c>
      <c r="Q10" s="1468">
        <f t="shared" si="46"/>
        <v>1.5800000000000002E-2</v>
      </c>
      <c r="R10" s="1469"/>
      <c r="S10" s="1467">
        <f>B10/B11-1</f>
        <v>3.4499999999999975E-2</v>
      </c>
      <c r="T10" s="1468">
        <f t="shared" ref="T10:V10" si="47">C10/C11-1</f>
        <v>1.9200000000000106E-2</v>
      </c>
      <c r="U10" s="1468">
        <f t="shared" si="47"/>
        <v>1.9200000000000106E-2</v>
      </c>
      <c r="V10" s="1468">
        <f t="shared" si="47"/>
        <v>3.9199999999999902E-2</v>
      </c>
      <c r="W10" s="1785"/>
      <c r="X10" s="1783">
        <f>ROUND(SUMPRODUCT(PRODUCT(1+N10:N$21)),4)</f>
        <v>1.3180000000000001</v>
      </c>
      <c r="Y10" s="1783">
        <f>ROUND(SUMPRODUCT(PRODUCT(1+O10:O$21)),4)</f>
        <v>1.1966000000000001</v>
      </c>
      <c r="Z10" s="1783">
        <f t="shared" si="0"/>
        <v>1.1966000000000001</v>
      </c>
      <c r="AA10" s="1783">
        <f>ROUND(SUMPRODUCT(PRODUCT(1+P10:P$21)),4)</f>
        <v>1.36</v>
      </c>
      <c r="AB10" s="1783">
        <f>ROUND(SUMPRODUCT(PRODUCT(1+Q10:Q$21)),4)</f>
        <v>1.1733</v>
      </c>
      <c r="AC10" s="1785"/>
      <c r="AD10" s="1784">
        <f>ROUND(AVERAGE(I10:I$22)/100,4)</f>
        <v>2.3900000000000001E-2</v>
      </c>
      <c r="AE10" s="1784">
        <f>ROUND(AVERAGE(J10:J$22)/100,4)</f>
        <v>1.5699999999999999E-2</v>
      </c>
      <c r="AF10" s="1784">
        <f t="shared" si="1"/>
        <v>1.5699999999999999E-2</v>
      </c>
      <c r="AG10" s="1784">
        <f>ROUND(AVERAGE(K10:K$22)/100,4)</f>
        <v>2.6599999999999999E-2</v>
      </c>
      <c r="AH10" s="1784">
        <f>ROUND(AVERAGE(L10:L$22)/100,4)</f>
        <v>1.34E-2</v>
      </c>
    </row>
    <row r="11" spans="1:34">
      <c r="A11" s="1456" t="s">
        <v>154</v>
      </c>
      <c r="B11" s="1464">
        <v>392</v>
      </c>
      <c r="C11" s="1464">
        <v>302</v>
      </c>
      <c r="D11" s="1464">
        <f>C11</f>
        <v>302</v>
      </c>
      <c r="E11" s="1464">
        <v>553</v>
      </c>
      <c r="F11" s="1465">
        <v>266</v>
      </c>
      <c r="G11" s="3402">
        <v>2016</v>
      </c>
      <c r="H11" s="1457">
        <v>4</v>
      </c>
      <c r="I11" s="1457">
        <v>4.5599999999999996</v>
      </c>
      <c r="J11" s="1457">
        <v>2.15</v>
      </c>
      <c r="K11" s="1457">
        <v>5.32</v>
      </c>
      <c r="L11" s="1458">
        <v>1.57</v>
      </c>
      <c r="N11" s="1467">
        <f t="shared" si="18"/>
        <v>4.5599999999999995E-2</v>
      </c>
      <c r="O11" s="1468">
        <f t="shared" si="46"/>
        <v>2.1499999999999998E-2</v>
      </c>
      <c r="P11" s="1468">
        <f t="shared" si="46"/>
        <v>5.3200000000000004E-2</v>
      </c>
      <c r="Q11" s="1468">
        <f t="shared" si="46"/>
        <v>1.5700000000000002E-2</v>
      </c>
      <c r="R11" s="1469"/>
      <c r="S11" s="1470"/>
      <c r="T11" s="1471"/>
      <c r="U11" s="1471"/>
      <c r="V11" s="1471"/>
      <c r="X11" s="1454">
        <f>ROUND(SUMPRODUCT(PRODUCT(1+N11:N$21)),4)</f>
        <v>1.274</v>
      </c>
      <c r="Y11" s="1454">
        <f>ROUND(SUMPRODUCT(PRODUCT(1+O11:O$21)),4)</f>
        <v>1.1740999999999999</v>
      </c>
      <c r="Z11" s="1454">
        <f t="shared" si="0"/>
        <v>1.1740999999999999</v>
      </c>
      <c r="AA11" s="1454">
        <f>ROUND(SUMPRODUCT(PRODUCT(1+P11:P$21)),4)</f>
        <v>1.3087</v>
      </c>
      <c r="AB11" s="1454">
        <f>ROUND(SUMPRODUCT(PRODUCT(1+Q11:Q$21)),4)</f>
        <v>1.1551</v>
      </c>
      <c r="AD11" s="1455">
        <f>ROUND(AVERAGE(I11:I$22)/100,4)</f>
        <v>2.3E-2</v>
      </c>
      <c r="AE11" s="1455">
        <f>ROUND(AVERAGE(J11:J$22)/100,4)</f>
        <v>1.55E-2</v>
      </c>
      <c r="AF11" s="1455">
        <f t="shared" si="1"/>
        <v>1.55E-2</v>
      </c>
      <c r="AG11" s="1455">
        <f>ROUND(AVERAGE(K11:K$22)/100,4)</f>
        <v>2.5600000000000001E-2</v>
      </c>
      <c r="AH11" s="1455">
        <f>ROUND(AVERAGE(L11:L$22)/100,4)</f>
        <v>1.32E-2</v>
      </c>
    </row>
    <row r="12" spans="1:34">
      <c r="A12" s="1456" t="s">
        <v>153</v>
      </c>
      <c r="B12" s="1472">
        <f t="shared" ref="B12:C14" si="48">B11/(1+N11)</f>
        <v>374.90436113236416</v>
      </c>
      <c r="C12" s="1472">
        <f t="shared" si="48"/>
        <v>295.64366128242779</v>
      </c>
      <c r="D12" s="1472">
        <f t="shared" ref="D12:D71" si="49">C12</f>
        <v>295.64366128242779</v>
      </c>
      <c r="E12" s="1472">
        <f t="shared" ref="E12:F14" si="50">E11/(1+P11)</f>
        <v>525.06646410938095</v>
      </c>
      <c r="F12" s="1472">
        <f t="shared" si="50"/>
        <v>261.88835286009646</v>
      </c>
      <c r="G12" s="3399"/>
      <c r="H12" s="1459">
        <v>3</v>
      </c>
      <c r="I12" s="1459">
        <v>4.12</v>
      </c>
      <c r="J12" s="1459">
        <v>2</v>
      </c>
      <c r="K12" s="1459">
        <v>4.79</v>
      </c>
      <c r="L12" s="1473">
        <v>1.97</v>
      </c>
      <c r="N12" s="1467">
        <f t="shared" ref="N12:Q46" si="51">I12/100</f>
        <v>4.1200000000000001E-2</v>
      </c>
      <c r="O12" s="1468">
        <f t="shared" si="46"/>
        <v>0.02</v>
      </c>
      <c r="P12" s="1468">
        <f t="shared" si="46"/>
        <v>4.7899999999999998E-2</v>
      </c>
      <c r="Q12" s="1468">
        <f t="shared" si="46"/>
        <v>1.9699999999999999E-2</v>
      </c>
      <c r="R12" s="1469"/>
      <c r="S12" s="1467"/>
      <c r="T12" s="1468"/>
      <c r="U12" s="1468"/>
      <c r="V12" s="1468"/>
      <c r="X12" s="1454">
        <f>ROUND(SUMPRODUCT(PRODUCT(1+N12:N$21)),4)</f>
        <v>1.2184999999999999</v>
      </c>
      <c r="Y12" s="1454">
        <f>ROUND(SUMPRODUCT(PRODUCT(1+O12:O$21)),4)</f>
        <v>1.1494</v>
      </c>
      <c r="Z12" s="1454">
        <f t="shared" si="0"/>
        <v>1.1494</v>
      </c>
      <c r="AA12" s="1454">
        <f>ROUND(SUMPRODUCT(PRODUCT(1+P12:P$21)),4)</f>
        <v>1.2425999999999999</v>
      </c>
      <c r="AB12" s="1454">
        <f>ROUND(SUMPRODUCT(PRODUCT(1+Q12:Q$21)),4)</f>
        <v>1.1372</v>
      </c>
      <c r="AD12" s="1455">
        <f>ROUND(AVERAGE(I12:I$22)/100,4)</f>
        <v>2.0899999999999998E-2</v>
      </c>
      <c r="AE12" s="1455">
        <f>ROUND(AVERAGE(J12:J$22)/100,4)</f>
        <v>1.49E-2</v>
      </c>
      <c r="AF12" s="1455">
        <f t="shared" si="1"/>
        <v>1.49E-2</v>
      </c>
      <c r="AG12" s="1455">
        <f>ROUND(AVERAGE(K12:K$22)/100,4)</f>
        <v>2.3099999999999999E-2</v>
      </c>
      <c r="AH12" s="1455">
        <f>ROUND(AVERAGE(L12:L$22)/100,4)</f>
        <v>1.2999999999999999E-2</v>
      </c>
    </row>
    <row r="13" spans="1:34">
      <c r="A13" s="1456" t="s">
        <v>143</v>
      </c>
      <c r="B13" s="1472">
        <f t="shared" si="48"/>
        <v>360.06949782209392</v>
      </c>
      <c r="C13" s="1472">
        <f t="shared" si="48"/>
        <v>289.84672674747821</v>
      </c>
      <c r="D13" s="1472">
        <f t="shared" si="49"/>
        <v>289.84672674747821</v>
      </c>
      <c r="E13" s="1472">
        <f t="shared" si="50"/>
        <v>501.06543001181495</v>
      </c>
      <c r="F13" s="1472">
        <f t="shared" si="50"/>
        <v>256.82882500744967</v>
      </c>
      <c r="G13" s="3399"/>
      <c r="H13" s="1460">
        <v>2</v>
      </c>
      <c r="I13" s="1460">
        <v>3.85</v>
      </c>
      <c r="J13" s="1460">
        <v>1.95</v>
      </c>
      <c r="K13" s="1460">
        <v>4.4800000000000004</v>
      </c>
      <c r="L13" s="1474">
        <v>1.41</v>
      </c>
      <c r="N13" s="1467">
        <f t="shared" si="51"/>
        <v>3.85E-2</v>
      </c>
      <c r="O13" s="1468">
        <f t="shared" si="46"/>
        <v>1.95E-2</v>
      </c>
      <c r="P13" s="1468">
        <f t="shared" si="46"/>
        <v>4.4800000000000006E-2</v>
      </c>
      <c r="Q13" s="1468">
        <f t="shared" si="46"/>
        <v>1.41E-2</v>
      </c>
      <c r="R13" s="1469"/>
      <c r="S13" s="1467"/>
      <c r="T13" s="1468"/>
      <c r="U13" s="1468"/>
      <c r="V13" s="1468"/>
      <c r="X13" s="1454">
        <f>ROUND(SUMPRODUCT(PRODUCT(1+N13:N$21)),4)</f>
        <v>1.1702999999999999</v>
      </c>
      <c r="Y13" s="1454">
        <f>ROUND(SUMPRODUCT(PRODUCT(1+O13:O$21)),4)</f>
        <v>1.1269</v>
      </c>
      <c r="Z13" s="1454">
        <f t="shared" si="0"/>
        <v>1.1269</v>
      </c>
      <c r="AA13" s="1454">
        <f>ROUND(SUMPRODUCT(PRODUCT(1+P13:P$21)),4)</f>
        <v>1.1858</v>
      </c>
      <c r="AB13" s="1454">
        <f>ROUND(SUMPRODUCT(PRODUCT(1+Q13:Q$21)),4)</f>
        <v>1.1152</v>
      </c>
      <c r="AD13" s="1455">
        <f>ROUND(AVERAGE(I13:I$22)/100,4)</f>
        <v>1.89E-2</v>
      </c>
      <c r="AE13" s="1455">
        <f>ROUND(AVERAGE(J13:J$22)/100,4)</f>
        <v>1.44E-2</v>
      </c>
      <c r="AF13" s="1455">
        <f t="shared" si="1"/>
        <v>1.44E-2</v>
      </c>
      <c r="AG13" s="1455">
        <f>ROUND(AVERAGE(K13:K$22)/100,4)</f>
        <v>2.06E-2</v>
      </c>
      <c r="AH13" s="1455">
        <f>ROUND(AVERAGE(L13:L$22)/100,4)</f>
        <v>1.23E-2</v>
      </c>
    </row>
    <row r="14" spans="1:34" ht="13.5" thickBot="1">
      <c r="A14" s="1456" t="s">
        <v>152</v>
      </c>
      <c r="B14" s="1472">
        <f t="shared" si="48"/>
        <v>346.720748986128</v>
      </c>
      <c r="C14" s="1472">
        <f t="shared" si="48"/>
        <v>284.30282172386285</v>
      </c>
      <c r="D14" s="1472">
        <f t="shared" si="49"/>
        <v>284.30282172386285</v>
      </c>
      <c r="E14" s="1472">
        <f t="shared" si="50"/>
        <v>479.58023546306947</v>
      </c>
      <c r="F14" s="1472">
        <f t="shared" si="50"/>
        <v>253.25788877571213</v>
      </c>
      <c r="G14" s="3400"/>
      <c r="H14" s="1459">
        <v>1</v>
      </c>
      <c r="I14" s="1459">
        <v>4.09</v>
      </c>
      <c r="J14" s="1459">
        <v>2.93</v>
      </c>
      <c r="K14" s="1459">
        <v>4.54</v>
      </c>
      <c r="L14" s="1473">
        <v>1.48</v>
      </c>
      <c r="N14" s="1467">
        <f t="shared" si="51"/>
        <v>4.0899999999999999E-2</v>
      </c>
      <c r="O14" s="1468">
        <f t="shared" si="46"/>
        <v>2.9300000000000003E-2</v>
      </c>
      <c r="P14" s="1468">
        <f t="shared" si="46"/>
        <v>4.5400000000000003E-2</v>
      </c>
      <c r="Q14" s="1468">
        <f t="shared" si="46"/>
        <v>1.4800000000000001E-2</v>
      </c>
      <c r="R14" s="1469"/>
      <c r="S14" s="1475">
        <f>B14/B15-1</f>
        <v>4.1203450408792808E-2</v>
      </c>
      <c r="T14" s="1476">
        <f>C14/C15-1</f>
        <v>2.6363977342465095E-2</v>
      </c>
      <c r="U14" s="1476">
        <f>E14/E15-1</f>
        <v>4.4837114298626357E-2</v>
      </c>
      <c r="V14" s="1476">
        <f>F14/F15-1</f>
        <v>1.7099954922538574E-2</v>
      </c>
      <c r="X14" s="1454">
        <f>ROUND(SUMPRODUCT(PRODUCT(1+N14:N$21)),4)</f>
        <v>1.1269</v>
      </c>
      <c r="Y14" s="1454">
        <f>ROUND(SUMPRODUCT(PRODUCT(1+O14:O$21)),4)</f>
        <v>1.1052999999999999</v>
      </c>
      <c r="Z14" s="1454">
        <f t="shared" si="0"/>
        <v>1.1052999999999999</v>
      </c>
      <c r="AA14" s="1454">
        <f>ROUND(SUMPRODUCT(PRODUCT(1+P14:P$21)),4)</f>
        <v>1.1349</v>
      </c>
      <c r="AB14" s="1454">
        <f>ROUND(SUMPRODUCT(PRODUCT(1+Q14:Q$21)),4)</f>
        <v>1.0996999999999999</v>
      </c>
      <c r="AD14" s="1455">
        <f>ROUND(AVERAGE(I14:I$22)/100,4)</f>
        <v>1.67E-2</v>
      </c>
      <c r="AE14" s="1455">
        <f>ROUND(AVERAGE(J14:J$22)/100,4)</f>
        <v>1.38E-2</v>
      </c>
      <c r="AF14" s="1455">
        <f t="shared" si="1"/>
        <v>1.38E-2</v>
      </c>
      <c r="AG14" s="1455">
        <f>ROUND(AVERAGE(K14:K$22)/100,4)</f>
        <v>1.7899999999999999E-2</v>
      </c>
      <c r="AH14" s="1455">
        <f>ROUND(AVERAGE(L14:L$22)/100,4)</f>
        <v>1.21E-2</v>
      </c>
    </row>
    <row r="15" spans="1:34" ht="13.5" thickBot="1">
      <c r="A15" s="1456" t="s">
        <v>151</v>
      </c>
      <c r="B15" s="1464">
        <v>333</v>
      </c>
      <c r="C15" s="1464">
        <v>277</v>
      </c>
      <c r="D15" s="1464">
        <f t="shared" si="49"/>
        <v>277</v>
      </c>
      <c r="E15" s="1464">
        <v>459</v>
      </c>
      <c r="F15" s="1465">
        <v>249</v>
      </c>
      <c r="G15" s="3398">
        <v>2015</v>
      </c>
      <c r="H15" s="1477">
        <v>4</v>
      </c>
      <c r="I15" s="1477">
        <v>1.63</v>
      </c>
      <c r="J15" s="1477">
        <v>1.1100000000000001</v>
      </c>
      <c r="K15" s="1477">
        <v>1.77</v>
      </c>
      <c r="L15" s="1478">
        <v>1.89</v>
      </c>
      <c r="N15" s="1479">
        <f t="shared" si="51"/>
        <v>1.6299999999999999E-2</v>
      </c>
      <c r="O15" s="1480">
        <f t="shared" si="46"/>
        <v>1.11E-2</v>
      </c>
      <c r="P15" s="1480">
        <f t="shared" si="46"/>
        <v>1.77E-2</v>
      </c>
      <c r="Q15" s="1480">
        <f t="shared" si="46"/>
        <v>1.89E-2</v>
      </c>
      <c r="R15" s="1469"/>
      <c r="X15" s="1454">
        <f>ROUND(SUMPRODUCT(PRODUCT(1+N15:N$21)),4)</f>
        <v>1.0826</v>
      </c>
      <c r="Y15" s="1454">
        <f>ROUND(SUMPRODUCT(PRODUCT(1+O15:O$21)),4)</f>
        <v>1.0738000000000001</v>
      </c>
      <c r="Z15" s="1454">
        <f t="shared" si="0"/>
        <v>1.0738000000000001</v>
      </c>
      <c r="AA15" s="1454">
        <f>ROUND(SUMPRODUCT(PRODUCT(1+P15:P$21)),4)</f>
        <v>1.0855999999999999</v>
      </c>
      <c r="AB15" s="1454">
        <f>ROUND(SUMPRODUCT(PRODUCT(1+Q15:Q$21)),4)</f>
        <v>1.0837000000000001</v>
      </c>
      <c r="AD15" s="1455">
        <f>ROUND(AVERAGE(I15:I$22)/100,4)</f>
        <v>1.37E-2</v>
      </c>
      <c r="AE15" s="1455">
        <f>ROUND(AVERAGE(J15:J$22)/100,4)</f>
        <v>1.1900000000000001E-2</v>
      </c>
      <c r="AF15" s="1455">
        <f t="shared" si="1"/>
        <v>1.1900000000000001E-2</v>
      </c>
      <c r="AG15" s="1455">
        <f>ROUND(AVERAGE(K15:K$22)/100,4)</f>
        <v>1.4500000000000001E-2</v>
      </c>
      <c r="AH15" s="1455">
        <f>ROUND(AVERAGE(L15:L$22)/100,4)</f>
        <v>1.18E-2</v>
      </c>
    </row>
    <row r="16" spans="1:34">
      <c r="A16" s="1456" t="s">
        <v>150</v>
      </c>
      <c r="B16" s="1472">
        <f t="shared" ref="B16:C18" si="52">B15/(1+N15)</f>
        <v>327.65915576109415</v>
      </c>
      <c r="C16" s="1472">
        <f t="shared" si="52"/>
        <v>273.95905449510434</v>
      </c>
      <c r="D16" s="1472">
        <f t="shared" si="49"/>
        <v>273.95905449510434</v>
      </c>
      <c r="E16" s="1472">
        <f t="shared" ref="E16:F18" si="53">E15/(1+P15)</f>
        <v>451.01699911565294</v>
      </c>
      <c r="F16" s="1472">
        <f t="shared" si="53"/>
        <v>244.38119540681129</v>
      </c>
      <c r="G16" s="3399"/>
      <c r="H16" s="1482">
        <v>3</v>
      </c>
      <c r="I16" s="1482">
        <v>1.65</v>
      </c>
      <c r="J16" s="1482">
        <v>0.92</v>
      </c>
      <c r="K16" s="1482">
        <v>1.88</v>
      </c>
      <c r="L16" s="1483">
        <v>1.26</v>
      </c>
      <c r="N16" s="1467">
        <f t="shared" si="51"/>
        <v>1.6500000000000001E-2</v>
      </c>
      <c r="O16" s="1484">
        <f t="shared" si="46"/>
        <v>9.1999999999999998E-3</v>
      </c>
      <c r="P16" s="1484">
        <f t="shared" si="46"/>
        <v>1.8799999999999997E-2</v>
      </c>
      <c r="Q16" s="1484">
        <f t="shared" si="46"/>
        <v>1.26E-2</v>
      </c>
      <c r="R16" s="1469"/>
      <c r="S16" s="1467"/>
      <c r="T16" s="1468"/>
      <c r="U16" s="1468"/>
      <c r="V16" s="1468"/>
      <c r="X16" s="1454">
        <f>ROUND(SUMPRODUCT(PRODUCT(1+N16:N$21)),4)</f>
        <v>1.0651999999999999</v>
      </c>
      <c r="Y16" s="1454">
        <f>ROUND(SUMPRODUCT(PRODUCT(1+O16:O$21)),4)</f>
        <v>1.0621</v>
      </c>
      <c r="Z16" s="1454">
        <f t="shared" si="0"/>
        <v>1.0621</v>
      </c>
      <c r="AA16" s="1454">
        <f>ROUND(SUMPRODUCT(PRODUCT(1+P16:P$21)),4)</f>
        <v>1.0668</v>
      </c>
      <c r="AB16" s="1454">
        <f>ROUND(SUMPRODUCT(PRODUCT(1+Q16:Q$21)),4)</f>
        <v>1.0636000000000001</v>
      </c>
      <c r="AD16" s="1455">
        <f>ROUND(AVERAGE(I16:I$22)/100,4)</f>
        <v>1.3299999999999999E-2</v>
      </c>
      <c r="AE16" s="1455">
        <f>ROUND(AVERAGE(J16:J$22)/100,4)</f>
        <v>1.2E-2</v>
      </c>
      <c r="AF16" s="1455">
        <f t="shared" si="1"/>
        <v>1.2E-2</v>
      </c>
      <c r="AG16" s="1455">
        <f>ROUND(AVERAGE(K16:K$22)/100,4)</f>
        <v>1.4E-2</v>
      </c>
      <c r="AH16" s="1455">
        <f>ROUND(AVERAGE(L16:L$22)/100,4)</f>
        <v>1.0800000000000001E-2</v>
      </c>
    </row>
    <row r="17" spans="1:34">
      <c r="A17" s="1456" t="s">
        <v>149</v>
      </c>
      <c r="B17" s="1472">
        <f t="shared" si="52"/>
        <v>322.34053690220776</v>
      </c>
      <c r="C17" s="1472">
        <f t="shared" si="52"/>
        <v>271.46160770422546</v>
      </c>
      <c r="D17" s="1472">
        <f t="shared" si="49"/>
        <v>271.46160770422546</v>
      </c>
      <c r="E17" s="1472">
        <f t="shared" si="53"/>
        <v>442.69434542172456</v>
      </c>
      <c r="F17" s="1472">
        <f t="shared" si="53"/>
        <v>241.34030753190925</v>
      </c>
      <c r="G17" s="3399"/>
      <c r="H17" s="1460">
        <v>2</v>
      </c>
      <c r="I17" s="1460">
        <v>0.77</v>
      </c>
      <c r="J17" s="1460">
        <v>0.69</v>
      </c>
      <c r="K17" s="1460">
        <v>0.8</v>
      </c>
      <c r="L17" s="1474">
        <v>0.88</v>
      </c>
      <c r="N17" s="1467">
        <f t="shared" si="51"/>
        <v>7.7000000000000002E-3</v>
      </c>
      <c r="O17" s="1484">
        <f t="shared" si="46"/>
        <v>6.8999999999999999E-3</v>
      </c>
      <c r="P17" s="1484">
        <f t="shared" si="46"/>
        <v>8.0000000000000002E-3</v>
      </c>
      <c r="Q17" s="1484">
        <f t="shared" si="46"/>
        <v>8.8000000000000005E-3</v>
      </c>
      <c r="R17" s="1469"/>
      <c r="S17" s="1467"/>
      <c r="T17" s="1468"/>
      <c r="U17" s="1468"/>
      <c r="V17" s="1468"/>
      <c r="X17" s="1454">
        <f>ROUND(SUMPRODUCT(PRODUCT(1+N17:N$21)),4)</f>
        <v>1.048</v>
      </c>
      <c r="Y17" s="1454">
        <f>ROUND(SUMPRODUCT(PRODUCT(1+O17:O$21)),4)</f>
        <v>1.0524</v>
      </c>
      <c r="Z17" s="1454">
        <f t="shared" si="0"/>
        <v>1.0524</v>
      </c>
      <c r="AA17" s="1454">
        <f>ROUND(SUMPRODUCT(PRODUCT(1+P17:P$21)),4)</f>
        <v>1.0470999999999999</v>
      </c>
      <c r="AB17" s="1454">
        <f>ROUND(SUMPRODUCT(PRODUCT(1+Q17:Q$21)),4)</f>
        <v>1.0504</v>
      </c>
      <c r="AD17" s="1455">
        <f>ROUND(AVERAGE(I17:I$22)/100,4)</f>
        <v>1.2800000000000001E-2</v>
      </c>
      <c r="AE17" s="1455">
        <f>ROUND(AVERAGE(J17:J$22)/100,4)</f>
        <v>1.2500000000000001E-2</v>
      </c>
      <c r="AF17" s="1455">
        <f t="shared" si="1"/>
        <v>1.2500000000000001E-2</v>
      </c>
      <c r="AG17" s="1455">
        <f>ROUND(AVERAGE(K17:K$22)/100,4)</f>
        <v>1.32E-2</v>
      </c>
      <c r="AH17" s="1455">
        <f>ROUND(AVERAGE(L17:L$22)/100,4)</f>
        <v>1.0500000000000001E-2</v>
      </c>
    </row>
    <row r="18" spans="1:34">
      <c r="A18" s="1456" t="s">
        <v>148</v>
      </c>
      <c r="B18" s="1472">
        <f t="shared" si="52"/>
        <v>319.87748030386797</v>
      </c>
      <c r="C18" s="1472">
        <f t="shared" si="52"/>
        <v>269.60135833173649</v>
      </c>
      <c r="D18" s="1472">
        <f t="shared" si="49"/>
        <v>269.60135833173649</v>
      </c>
      <c r="E18" s="1472">
        <f t="shared" si="53"/>
        <v>439.18089823583784</v>
      </c>
      <c r="F18" s="1472">
        <f t="shared" si="53"/>
        <v>239.23503918706311</v>
      </c>
      <c r="G18" s="3400"/>
      <c r="H18" s="1459">
        <v>1</v>
      </c>
      <c r="I18" s="1459">
        <v>0.51</v>
      </c>
      <c r="J18" s="1459">
        <v>0.54</v>
      </c>
      <c r="K18" s="1459">
        <v>0.48</v>
      </c>
      <c r="L18" s="1473">
        <v>0.93</v>
      </c>
      <c r="N18" s="1475">
        <f t="shared" si="51"/>
        <v>5.1000000000000004E-3</v>
      </c>
      <c r="O18" s="1476">
        <f t="shared" si="46"/>
        <v>5.4000000000000003E-3</v>
      </c>
      <c r="P18" s="1476">
        <f t="shared" si="46"/>
        <v>4.7999999999999996E-3</v>
      </c>
      <c r="Q18" s="1476">
        <f t="shared" si="46"/>
        <v>9.300000000000001E-3</v>
      </c>
      <c r="R18" s="1469"/>
      <c r="S18" s="1475">
        <f>B18/B19-1</f>
        <v>5.9040261127922822E-3</v>
      </c>
      <c r="T18" s="1476">
        <f>C18/C19-1</f>
        <v>5.9752176557332781E-3</v>
      </c>
      <c r="U18" s="1476">
        <f>E18/E19-1</f>
        <v>4.9906138119859556E-3</v>
      </c>
      <c r="V18" s="1476">
        <f>F18/F19-1</f>
        <v>9.4305450930933787E-3</v>
      </c>
      <c r="X18" s="1454">
        <f>ROUND(SUMPRODUCT(PRODUCT(1+N18:N$21)),4)</f>
        <v>1.0399</v>
      </c>
      <c r="Y18" s="1454">
        <f>ROUND(SUMPRODUCT(PRODUCT(1+O18:O$21)),4)</f>
        <v>1.0451999999999999</v>
      </c>
      <c r="Z18" s="1454">
        <f t="shared" si="0"/>
        <v>1.0451999999999999</v>
      </c>
      <c r="AA18" s="1454">
        <f>ROUND(SUMPRODUCT(PRODUCT(1+P18:P$21)),4)</f>
        <v>1.0387999999999999</v>
      </c>
      <c r="AB18" s="1454">
        <f>ROUND(SUMPRODUCT(PRODUCT(1+Q18:Q$21)),4)</f>
        <v>1.0411999999999999</v>
      </c>
      <c r="AD18" s="1455">
        <f>ROUND(AVERAGE(I18:I$22)/100,4)</f>
        <v>1.38E-2</v>
      </c>
      <c r="AE18" s="1455">
        <f>ROUND(AVERAGE(J18:J$22)/100,4)</f>
        <v>1.3599999999999999E-2</v>
      </c>
      <c r="AF18" s="1455">
        <f t="shared" si="1"/>
        <v>1.3599999999999999E-2</v>
      </c>
      <c r="AG18" s="1455">
        <f>ROUND(AVERAGE(K18:K$22)/100,4)</f>
        <v>1.4200000000000001E-2</v>
      </c>
      <c r="AH18" s="1455">
        <f>ROUND(AVERAGE(L18:L$22)/100,4)</f>
        <v>1.0800000000000001E-2</v>
      </c>
    </row>
    <row r="19" spans="1:34" ht="13.5" thickBot="1">
      <c r="A19" s="1456" t="s">
        <v>147</v>
      </c>
      <c r="B19" s="1485">
        <v>318</v>
      </c>
      <c r="C19" s="1485">
        <v>268</v>
      </c>
      <c r="D19" s="1485">
        <f t="shared" si="49"/>
        <v>268</v>
      </c>
      <c r="E19" s="1485">
        <v>437</v>
      </c>
      <c r="F19" s="1486">
        <v>237</v>
      </c>
      <c r="G19" s="3398">
        <v>2014</v>
      </c>
      <c r="H19" s="1477">
        <v>4</v>
      </c>
      <c r="I19" s="1477">
        <v>0.21</v>
      </c>
      <c r="J19" s="1477">
        <v>0.41</v>
      </c>
      <c r="K19" s="1477">
        <v>0.12</v>
      </c>
      <c r="L19" s="1478">
        <v>0.89</v>
      </c>
      <c r="N19" s="1467">
        <f t="shared" si="51"/>
        <v>2.0999999999999999E-3</v>
      </c>
      <c r="O19" s="1468">
        <f t="shared" si="46"/>
        <v>4.0999999999999995E-3</v>
      </c>
      <c r="P19" s="1468">
        <f t="shared" si="46"/>
        <v>1.1999999999999999E-3</v>
      </c>
      <c r="Q19" s="1468">
        <f t="shared" si="46"/>
        <v>8.8999999999999999E-3</v>
      </c>
      <c r="R19" s="1469"/>
      <c r="S19" s="1470"/>
      <c r="T19" s="1471"/>
      <c r="U19" s="1471"/>
      <c r="V19" s="1471"/>
      <c r="X19" s="1454">
        <f>ROUND(SUMPRODUCT(PRODUCT(1+N19:N$21)),4)</f>
        <v>1.0347</v>
      </c>
      <c r="Y19" s="1454">
        <f>ROUND(SUMPRODUCT(PRODUCT(1+O19:O$21)),4)</f>
        <v>1.0395000000000001</v>
      </c>
      <c r="Z19" s="1454">
        <f t="shared" si="0"/>
        <v>1.0395000000000001</v>
      </c>
      <c r="AA19" s="1454">
        <f>ROUND(SUMPRODUCT(PRODUCT(1+P19:P$21)),4)</f>
        <v>1.0338000000000001</v>
      </c>
      <c r="AB19" s="1454">
        <f>ROUND(SUMPRODUCT(PRODUCT(1+Q19:Q$21)),4)</f>
        <v>1.0316000000000001</v>
      </c>
      <c r="AD19" s="1455">
        <f>ROUND(AVERAGE(I19:I$22)/100,4)</f>
        <v>1.6E-2</v>
      </c>
      <c r="AE19" s="1455">
        <f>ROUND(AVERAGE(J19:J$22)/100,4)</f>
        <v>1.5599999999999999E-2</v>
      </c>
      <c r="AF19" s="1455">
        <f t="shared" si="1"/>
        <v>1.5599999999999999E-2</v>
      </c>
      <c r="AG19" s="1455">
        <f>ROUND(AVERAGE(K19:K$22)/100,4)</f>
        <v>1.66E-2</v>
      </c>
      <c r="AH19" s="1455">
        <f>ROUND(AVERAGE(L19:L$22)/100,4)</f>
        <v>1.12E-2</v>
      </c>
    </row>
    <row r="20" spans="1:34">
      <c r="A20" s="1456" t="s">
        <v>146</v>
      </c>
      <c r="B20" s="1472">
        <f t="shared" ref="B20:C22" si="54">B19/(1+N19)</f>
        <v>317.33359944117353</v>
      </c>
      <c r="C20" s="1472">
        <f t="shared" si="54"/>
        <v>266.90568668459315</v>
      </c>
      <c r="D20" s="1472">
        <f t="shared" si="49"/>
        <v>266.90568668459315</v>
      </c>
      <c r="E20" s="1472">
        <f t="shared" ref="E20:F22" si="55">E19/(1+P19)</f>
        <v>436.47622852576905</v>
      </c>
      <c r="F20" s="1472">
        <f t="shared" si="55"/>
        <v>234.90930716622066</v>
      </c>
      <c r="G20" s="3399"/>
      <c r="H20" s="1487">
        <v>3</v>
      </c>
      <c r="I20" s="1487">
        <v>0.83</v>
      </c>
      <c r="J20" s="1487">
        <v>1.47</v>
      </c>
      <c r="K20" s="1487">
        <v>0.65</v>
      </c>
      <c r="L20" s="1488">
        <v>0.72</v>
      </c>
      <c r="N20" s="1467">
        <f t="shared" si="51"/>
        <v>8.3000000000000001E-3</v>
      </c>
      <c r="O20" s="1468">
        <f t="shared" si="46"/>
        <v>1.47E-2</v>
      </c>
      <c r="P20" s="1468">
        <f t="shared" si="46"/>
        <v>6.5000000000000006E-3</v>
      </c>
      <c r="Q20" s="1468">
        <f t="shared" si="46"/>
        <v>7.1999999999999998E-3</v>
      </c>
      <c r="R20" s="1469"/>
      <c r="S20" s="1467"/>
      <c r="T20" s="1468"/>
      <c r="U20" s="1468"/>
      <c r="V20" s="1468"/>
      <c r="X20" s="1454">
        <f>ROUND(SUMPRODUCT(PRODUCT(1+N20:N$21)),4)</f>
        <v>1.0325</v>
      </c>
      <c r="Y20" s="1454">
        <f>ROUND(SUMPRODUCT(PRODUCT(1+O20:O$21)),4)</f>
        <v>1.0353000000000001</v>
      </c>
      <c r="Z20" s="1454">
        <f t="shared" ref="Z20:Z21" si="56">Y20</f>
        <v>1.0353000000000001</v>
      </c>
      <c r="AA20" s="1454">
        <f>ROUND(SUMPRODUCT(PRODUCT(1+P20:P$21)),4)</f>
        <v>1.0326</v>
      </c>
      <c r="AB20" s="1454">
        <f>ROUND(SUMPRODUCT(PRODUCT(1+Q20:Q$21)),4)</f>
        <v>1.0225</v>
      </c>
      <c r="AD20" s="1455">
        <f>ROUND(AVERAGE(I20:I$22)/100,4)</f>
        <v>2.07E-2</v>
      </c>
      <c r="AE20" s="1455">
        <f>ROUND(AVERAGE(J20:J$22)/100,4)</f>
        <v>1.95E-2</v>
      </c>
      <c r="AF20" s="1455">
        <f t="shared" si="1"/>
        <v>1.95E-2</v>
      </c>
      <c r="AG20" s="1455">
        <f>ROUND(AVERAGE(K20:K$22)/100,4)</f>
        <v>2.1700000000000001E-2</v>
      </c>
      <c r="AH20" s="1455">
        <f>ROUND(AVERAGE(L20:L$22)/100,4)</f>
        <v>1.2E-2</v>
      </c>
    </row>
    <row r="21" spans="1:34" ht="13.5" thickBot="1">
      <c r="A21" s="1456" t="s">
        <v>145</v>
      </c>
      <c r="B21" s="1472">
        <f t="shared" si="54"/>
        <v>314.72141172386546</v>
      </c>
      <c r="C21" s="1472">
        <f t="shared" si="54"/>
        <v>263.03901319069001</v>
      </c>
      <c r="D21" s="1472">
        <f t="shared" si="49"/>
        <v>263.03901319069001</v>
      </c>
      <c r="E21" s="1472">
        <f t="shared" si="55"/>
        <v>433.65745506782821</v>
      </c>
      <c r="F21" s="1472">
        <f t="shared" si="55"/>
        <v>233.23005080045735</v>
      </c>
      <c r="G21" s="3399"/>
      <c r="H21" s="1477">
        <v>2</v>
      </c>
      <c r="I21" s="1477">
        <v>2.4</v>
      </c>
      <c r="J21" s="1477">
        <v>2.0299999999999998</v>
      </c>
      <c r="K21" s="1477">
        <v>2.59</v>
      </c>
      <c r="L21" s="1478">
        <v>1.52</v>
      </c>
      <c r="N21" s="1467">
        <f t="shared" si="51"/>
        <v>2.4E-2</v>
      </c>
      <c r="O21" s="1468">
        <f t="shared" si="46"/>
        <v>2.0299999999999999E-2</v>
      </c>
      <c r="P21" s="1468">
        <f t="shared" si="46"/>
        <v>2.5899999999999999E-2</v>
      </c>
      <c r="Q21" s="1468">
        <f t="shared" si="46"/>
        <v>1.52E-2</v>
      </c>
      <c r="R21" s="1469"/>
      <c r="S21" s="1467"/>
      <c r="T21" s="1468"/>
      <c r="U21" s="1468"/>
      <c r="V21" s="1468"/>
      <c r="X21" s="1454">
        <f>1+N21</f>
        <v>1.024</v>
      </c>
      <c r="Y21" s="1454">
        <f>1+O21</f>
        <v>1.0203</v>
      </c>
      <c r="Z21" s="1454">
        <f t="shared" si="56"/>
        <v>1.0203</v>
      </c>
      <c r="AA21" s="1454">
        <f>1+P21</f>
        <v>1.0259</v>
      </c>
      <c r="AB21" s="1454">
        <f>1+Q21</f>
        <v>1.0152000000000001</v>
      </c>
      <c r="AD21" s="1455">
        <f>ROUND(AVERAGE(I21:I$22)/100,4)</f>
        <v>2.69E-2</v>
      </c>
      <c r="AE21" s="1455">
        <f>ROUND(AVERAGE(J21:J$22)/100,4)</f>
        <v>2.1899999999999999E-2</v>
      </c>
      <c r="AF21" s="1455">
        <f t="shared" ref="AF21" si="57">AE21</f>
        <v>2.1899999999999999E-2</v>
      </c>
      <c r="AG21" s="1455">
        <f>ROUND(AVERAGE(K21:K$22)/100,4)</f>
        <v>2.9399999999999999E-2</v>
      </c>
      <c r="AH21" s="1455">
        <f>ROUND(AVERAGE(L21:L$22)/100,4)</f>
        <v>1.44E-2</v>
      </c>
    </row>
    <row r="22" spans="1:34" s="1493" customFormat="1" ht="13.5" thickBot="1">
      <c r="A22" s="1489" t="s">
        <v>144</v>
      </c>
      <c r="B22" s="1490">
        <f t="shared" si="54"/>
        <v>307.34512863658733</v>
      </c>
      <c r="C22" s="1490">
        <f t="shared" si="54"/>
        <v>257.80556031626975</v>
      </c>
      <c r="D22" s="1490">
        <f t="shared" si="49"/>
        <v>257.80556031626975</v>
      </c>
      <c r="E22" s="1490">
        <f t="shared" si="55"/>
        <v>422.70928459677179</v>
      </c>
      <c r="F22" s="1490">
        <f t="shared" si="55"/>
        <v>229.73803270336617</v>
      </c>
      <c r="G22" s="3400"/>
      <c r="H22" s="1491">
        <v>1</v>
      </c>
      <c r="I22" s="1491">
        <v>2.97</v>
      </c>
      <c r="J22" s="1491">
        <v>2.34</v>
      </c>
      <c r="K22" s="1491">
        <v>3.28</v>
      </c>
      <c r="L22" s="1492">
        <v>1.36</v>
      </c>
      <c r="N22" s="1494">
        <f t="shared" si="51"/>
        <v>2.9700000000000001E-2</v>
      </c>
      <c r="O22" s="1495">
        <f t="shared" si="46"/>
        <v>2.3399999999999997E-2</v>
      </c>
      <c r="P22" s="1495">
        <f t="shared" si="46"/>
        <v>3.2799999999999996E-2</v>
      </c>
      <c r="Q22" s="1495">
        <f t="shared" si="46"/>
        <v>1.3600000000000001E-2</v>
      </c>
      <c r="R22" s="1496"/>
      <c r="S22" s="1497">
        <f>B22/B23-1</f>
        <v>2.7910129219355539E-2</v>
      </c>
      <c r="T22" s="1498">
        <f>C22/C23-1</f>
        <v>2.3037937762975247E-2</v>
      </c>
      <c r="U22" s="1498">
        <f>E22/E23-1</f>
        <v>3.3519033243940788E-2</v>
      </c>
      <c r="V22" s="1498">
        <f>F22/F23-1</f>
        <v>1.2061818076502862E-2</v>
      </c>
      <c r="W22" s="1499" t="s">
        <v>1162</v>
      </c>
      <c r="X22" s="1500">
        <v>1</v>
      </c>
      <c r="Y22" s="1500">
        <v>1</v>
      </c>
      <c r="Z22" s="1500">
        <v>1</v>
      </c>
      <c r="AA22" s="1500">
        <v>1</v>
      </c>
      <c r="AB22" s="1500">
        <v>1</v>
      </c>
      <c r="AD22" s="1722">
        <f>I22/100</f>
        <v>2.9700000000000001E-2</v>
      </c>
      <c r="AE22" s="1722">
        <f>J22/100</f>
        <v>2.3399999999999997E-2</v>
      </c>
      <c r="AF22" s="1722">
        <f>AE22</f>
        <v>2.3399999999999997E-2</v>
      </c>
      <c r="AG22" s="1722">
        <f>K22/100</f>
        <v>3.2799999999999996E-2</v>
      </c>
      <c r="AH22" s="1722">
        <f>L22/100</f>
        <v>1.3600000000000001E-2</v>
      </c>
    </row>
    <row r="23" spans="1:34" ht="13.5" thickBot="1">
      <c r="A23" s="1456" t="s">
        <v>1163</v>
      </c>
      <c r="B23" s="1464">
        <v>299</v>
      </c>
      <c r="C23" s="1464">
        <v>252</v>
      </c>
      <c r="D23" s="1464">
        <f t="shared" si="49"/>
        <v>252</v>
      </c>
      <c r="E23" s="1464">
        <v>409</v>
      </c>
      <c r="F23" s="1465">
        <v>227</v>
      </c>
      <c r="G23" s="3403">
        <v>2013</v>
      </c>
      <c r="H23" s="1501">
        <v>4</v>
      </c>
      <c r="I23" s="1501">
        <v>1.83</v>
      </c>
      <c r="J23" s="1501">
        <v>1.68</v>
      </c>
      <c r="K23" s="1501">
        <v>1.97</v>
      </c>
      <c r="L23" s="1502">
        <v>0.87</v>
      </c>
      <c r="N23" s="1479">
        <f t="shared" si="51"/>
        <v>1.83E-2</v>
      </c>
      <c r="O23" s="1480">
        <f t="shared" si="46"/>
        <v>1.6799999999999999E-2</v>
      </c>
      <c r="P23" s="1480">
        <f t="shared" si="46"/>
        <v>1.9699999999999999E-2</v>
      </c>
      <c r="Q23" s="1480">
        <f t="shared" si="46"/>
        <v>8.6999999999999994E-3</v>
      </c>
      <c r="R23" s="1469"/>
      <c r="S23" s="1470"/>
      <c r="T23" s="1471"/>
      <c r="U23" s="1471"/>
      <c r="V23" s="1471"/>
      <c r="X23" s="1471"/>
      <c r="Y23" s="1471"/>
      <c r="Z23" s="1471"/>
    </row>
    <row r="24" spans="1:34">
      <c r="A24" s="1456" t="s">
        <v>1164</v>
      </c>
      <c r="B24" s="1472">
        <f t="shared" ref="B24:C26" si="58">B23/(1+N23)</f>
        <v>293.62663262299913</v>
      </c>
      <c r="C24" s="1472">
        <f t="shared" si="58"/>
        <v>247.83634933123525</v>
      </c>
      <c r="D24" s="1472">
        <f t="shared" si="49"/>
        <v>247.83634933123525</v>
      </c>
      <c r="E24" s="1472">
        <f t="shared" ref="E24:F26" si="59">E23/(1+P23)</f>
        <v>401.09836226341076</v>
      </c>
      <c r="F24" s="1472">
        <f t="shared" si="59"/>
        <v>225.04213343908003</v>
      </c>
      <c r="G24" s="3404"/>
      <c r="H24" s="1482">
        <v>3</v>
      </c>
      <c r="I24" s="1482">
        <v>1.86</v>
      </c>
      <c r="J24" s="1482">
        <v>1.72</v>
      </c>
      <c r="K24" s="1482">
        <v>1.98</v>
      </c>
      <c r="L24" s="1483">
        <v>0.88</v>
      </c>
      <c r="N24" s="1467">
        <f t="shared" si="51"/>
        <v>1.8600000000000002E-2</v>
      </c>
      <c r="O24" s="1484">
        <f t="shared" si="46"/>
        <v>1.72E-2</v>
      </c>
      <c r="P24" s="1484">
        <f t="shared" si="46"/>
        <v>1.9799999999999998E-2</v>
      </c>
      <c r="Q24" s="1484">
        <f t="shared" si="46"/>
        <v>8.8000000000000005E-3</v>
      </c>
      <c r="R24" s="1469"/>
      <c r="S24" s="1467"/>
      <c r="T24" s="1468"/>
      <c r="U24" s="1468"/>
      <c r="V24" s="1468"/>
    </row>
    <row r="25" spans="1:34">
      <c r="A25" s="1456" t="s">
        <v>1165</v>
      </c>
      <c r="B25" s="1472">
        <f t="shared" si="58"/>
        <v>288.2649053828776</v>
      </c>
      <c r="C25" s="1472">
        <f t="shared" si="58"/>
        <v>243.64564425013293</v>
      </c>
      <c r="D25" s="1472">
        <f t="shared" si="49"/>
        <v>243.64564425013293</v>
      </c>
      <c r="E25" s="1472">
        <f t="shared" si="59"/>
        <v>393.31080825986544</v>
      </c>
      <c r="F25" s="1472">
        <f t="shared" si="59"/>
        <v>223.07903790551154</v>
      </c>
      <c r="G25" s="3404"/>
      <c r="H25" s="1460">
        <v>2</v>
      </c>
      <c r="I25" s="1460">
        <v>2.04</v>
      </c>
      <c r="J25" s="1460">
        <v>2.33</v>
      </c>
      <c r="K25" s="1460">
        <v>2.0699999999999998</v>
      </c>
      <c r="L25" s="1474">
        <v>0.69</v>
      </c>
      <c r="N25" s="1467">
        <f t="shared" si="51"/>
        <v>2.0400000000000001E-2</v>
      </c>
      <c r="O25" s="1484">
        <f t="shared" si="46"/>
        <v>2.3300000000000001E-2</v>
      </c>
      <c r="P25" s="1484">
        <f t="shared" si="46"/>
        <v>2.07E-2</v>
      </c>
      <c r="Q25" s="1484">
        <f t="shared" si="46"/>
        <v>6.8999999999999999E-3</v>
      </c>
      <c r="R25" s="1469"/>
      <c r="S25" s="1467"/>
      <c r="T25" s="1468"/>
      <c r="U25" s="1468"/>
      <c r="V25" s="1468"/>
      <c r="X25" s="1503"/>
      <c r="Y25" s="1504"/>
    </row>
    <row r="26" spans="1:34">
      <c r="A26" s="1456" t="s">
        <v>1166</v>
      </c>
      <c r="B26" s="1472">
        <f t="shared" si="58"/>
        <v>282.50186729015837</v>
      </c>
      <c r="C26" s="1472">
        <f t="shared" si="58"/>
        <v>238.09796174155468</v>
      </c>
      <c r="D26" s="1472">
        <f t="shared" si="49"/>
        <v>238.09796174155468</v>
      </c>
      <c r="E26" s="1472">
        <f t="shared" si="59"/>
        <v>385.33438646014054</v>
      </c>
      <c r="F26" s="1472">
        <f t="shared" si="59"/>
        <v>221.55034055567739</v>
      </c>
      <c r="G26" s="3405"/>
      <c r="H26" s="1459">
        <v>1</v>
      </c>
      <c r="I26" s="1459">
        <v>1.67</v>
      </c>
      <c r="J26" s="1459">
        <v>1.31</v>
      </c>
      <c r="K26" s="1459">
        <v>1.85</v>
      </c>
      <c r="L26" s="1473">
        <v>0.96</v>
      </c>
      <c r="N26" s="1475">
        <f t="shared" si="51"/>
        <v>1.67E-2</v>
      </c>
      <c r="O26" s="1476">
        <f t="shared" si="51"/>
        <v>1.3100000000000001E-2</v>
      </c>
      <c r="P26" s="1476">
        <f t="shared" si="51"/>
        <v>1.8500000000000003E-2</v>
      </c>
      <c r="Q26" s="1476">
        <f t="shared" si="51"/>
        <v>9.5999999999999992E-3</v>
      </c>
      <c r="R26" s="1469"/>
      <c r="S26" s="1475">
        <f>B26/B27-1</f>
        <v>1.6193767230785472E-2</v>
      </c>
      <c r="T26" s="1476">
        <f>C26/C27-1</f>
        <v>1.7512657015190891E-2</v>
      </c>
      <c r="U26" s="1476">
        <f>E26/E27-1</f>
        <v>1.6713420739157048E-2</v>
      </c>
      <c r="V26" s="1476">
        <f>F26/F27-1</f>
        <v>7.0470025258062563E-3</v>
      </c>
      <c r="X26" s="1505"/>
      <c r="Y26" s="1455"/>
      <c r="Z26" s="1455"/>
    </row>
    <row r="27" spans="1:34" ht="13.5" thickBot="1">
      <c r="A27" s="1456" t="s">
        <v>1167</v>
      </c>
      <c r="B27" s="1506">
        <v>278</v>
      </c>
      <c r="C27" s="1506">
        <v>234</v>
      </c>
      <c r="D27" s="1506">
        <f t="shared" si="49"/>
        <v>234</v>
      </c>
      <c r="E27" s="1506">
        <v>379</v>
      </c>
      <c r="F27" s="1507">
        <v>220</v>
      </c>
      <c r="G27" s="3398">
        <v>2012</v>
      </c>
      <c r="H27" s="1477">
        <v>4</v>
      </c>
      <c r="I27" s="1477">
        <v>0.91</v>
      </c>
      <c r="J27" s="1477">
        <v>0.68</v>
      </c>
      <c r="K27" s="1477">
        <v>0.98</v>
      </c>
      <c r="L27" s="1478">
        <v>0.9</v>
      </c>
      <c r="N27" s="1467">
        <f t="shared" si="51"/>
        <v>9.1000000000000004E-3</v>
      </c>
      <c r="O27" s="1468">
        <f t="shared" si="51"/>
        <v>6.8000000000000005E-3</v>
      </c>
      <c r="P27" s="1468">
        <f t="shared" si="51"/>
        <v>9.7999999999999997E-3</v>
      </c>
      <c r="Q27" s="1468">
        <f t="shared" si="51"/>
        <v>9.0000000000000011E-3</v>
      </c>
      <c r="R27" s="1469"/>
      <c r="S27" s="1470"/>
      <c r="T27" s="1471"/>
      <c r="U27" s="1471"/>
      <c r="V27" s="1471"/>
      <c r="X27" s="1471"/>
      <c r="Y27" s="1471"/>
      <c r="Z27" s="1471"/>
    </row>
    <row r="28" spans="1:34">
      <c r="A28" s="1456" t="s">
        <v>1168</v>
      </c>
      <c r="B28" s="1472">
        <f>B27/(1+N27)</f>
        <v>275.49301357645425</v>
      </c>
      <c r="C28" s="1472">
        <f>C27/(1+O27)</f>
        <v>232.41954707985698</v>
      </c>
      <c r="D28" s="1472">
        <f t="shared" si="49"/>
        <v>232.41954707985698</v>
      </c>
      <c r="E28" s="1472">
        <f t="shared" ref="E28:F30" si="60">E27/(1+P27)</f>
        <v>375.32184591008121</v>
      </c>
      <c r="F28" s="1472">
        <f t="shared" si="60"/>
        <v>218.03766105054513</v>
      </c>
      <c r="G28" s="3399"/>
      <c r="H28" s="1482">
        <v>3</v>
      </c>
      <c r="I28" s="1482">
        <v>0.09</v>
      </c>
      <c r="J28" s="1482">
        <v>0.28999999999999998</v>
      </c>
      <c r="K28" s="1482">
        <v>-0.01</v>
      </c>
      <c r="L28" s="1483">
        <v>0.57999999999999996</v>
      </c>
      <c r="N28" s="1467">
        <f t="shared" si="51"/>
        <v>8.9999999999999998E-4</v>
      </c>
      <c r="O28" s="1468">
        <f t="shared" si="51"/>
        <v>2.8999999999999998E-3</v>
      </c>
      <c r="P28" s="1468">
        <f t="shared" si="51"/>
        <v>-1E-4</v>
      </c>
      <c r="Q28" s="1468">
        <f t="shared" si="51"/>
        <v>5.7999999999999996E-3</v>
      </c>
      <c r="R28" s="1469"/>
      <c r="S28" s="1467"/>
      <c r="T28" s="1468"/>
      <c r="U28" s="1468"/>
      <c r="V28" s="1468"/>
    </row>
    <row r="29" spans="1:34">
      <c r="A29" s="1456" t="s">
        <v>1169</v>
      </c>
      <c r="B29" s="1472">
        <f>B28/(1+N28)</f>
        <v>275.24529281292263</v>
      </c>
      <c r="C29" s="1472">
        <f>C28/(1+O28)</f>
        <v>231.74747938962707</v>
      </c>
      <c r="D29" s="1472">
        <f t="shared" si="49"/>
        <v>231.74747938962707</v>
      </c>
      <c r="E29" s="1472">
        <f t="shared" si="60"/>
        <v>375.35938184826603</v>
      </c>
      <c r="F29" s="1472">
        <f t="shared" si="60"/>
        <v>216.78033510692495</v>
      </c>
      <c r="G29" s="3399"/>
      <c r="H29" s="1460">
        <v>2</v>
      </c>
      <c r="I29" s="1460">
        <v>0.02</v>
      </c>
      <c r="J29" s="1460">
        <v>0.12</v>
      </c>
      <c r="K29" s="1460">
        <v>-0.08</v>
      </c>
      <c r="L29" s="1474">
        <v>1.24</v>
      </c>
      <c r="N29" s="1467">
        <f t="shared" si="51"/>
        <v>2.0000000000000001E-4</v>
      </c>
      <c r="O29" s="1468">
        <f t="shared" si="51"/>
        <v>1.1999999999999999E-3</v>
      </c>
      <c r="P29" s="1468">
        <f t="shared" si="51"/>
        <v>-8.0000000000000004E-4</v>
      </c>
      <c r="Q29" s="1468">
        <f t="shared" si="51"/>
        <v>1.24E-2</v>
      </c>
      <c r="R29" s="1469"/>
      <c r="S29" s="1467"/>
      <c r="T29" s="1468"/>
      <c r="U29" s="1468"/>
      <c r="V29" s="1468"/>
    </row>
    <row r="30" spans="1:34" ht="13.5" thickBot="1">
      <c r="A30" s="1456" t="s">
        <v>1170</v>
      </c>
      <c r="B30" s="1472">
        <f>B29/(1+N29)</f>
        <v>275.19025476197027</v>
      </c>
      <c r="C30" s="1508">
        <v>232</v>
      </c>
      <c r="D30" s="1508">
        <f t="shared" si="49"/>
        <v>232</v>
      </c>
      <c r="E30" s="1472">
        <f t="shared" si="60"/>
        <v>375.65990977608692</v>
      </c>
      <c r="F30" s="1472">
        <f t="shared" si="60"/>
        <v>214.12518283971252</v>
      </c>
      <c r="G30" s="3400"/>
      <c r="H30" s="1459">
        <v>1</v>
      </c>
      <c r="I30" s="1459">
        <v>0.02</v>
      </c>
      <c r="J30" s="1459">
        <v>0.13</v>
      </c>
      <c r="K30" s="1459">
        <v>-0.04</v>
      </c>
      <c r="L30" s="1473">
        <v>0.46</v>
      </c>
      <c r="N30" s="1467">
        <f t="shared" si="51"/>
        <v>2.0000000000000001E-4</v>
      </c>
      <c r="O30" s="1468">
        <f t="shared" si="51"/>
        <v>1.2999999999999999E-3</v>
      </c>
      <c r="P30" s="1468">
        <f t="shared" si="51"/>
        <v>-4.0000000000000002E-4</v>
      </c>
      <c r="Q30" s="1468">
        <f t="shared" si="51"/>
        <v>4.5999999999999999E-3</v>
      </c>
      <c r="R30" s="1469"/>
      <c r="S30" s="1475">
        <f>B30/B31-1</f>
        <v>6.9183549807361189E-4</v>
      </c>
      <c r="T30" s="1476">
        <f>C30/C31-1</f>
        <v>0</v>
      </c>
      <c r="U30" s="1476">
        <f>E30/E31-1</f>
        <v>-9.0449527636460303E-4</v>
      </c>
      <c r="V30" s="1476">
        <f>F30/F31-1</f>
        <v>5.2825485432512753E-3</v>
      </c>
      <c r="X30" s="1455"/>
      <c r="Y30" s="1455"/>
      <c r="Z30" s="1455"/>
    </row>
    <row r="31" spans="1:34" ht="13.5" thickBot="1">
      <c r="A31" s="1456" t="s">
        <v>1171</v>
      </c>
      <c r="B31" s="1464">
        <v>275</v>
      </c>
      <c r="C31" s="1464">
        <v>232</v>
      </c>
      <c r="D31" s="1464">
        <f t="shared" si="49"/>
        <v>232</v>
      </c>
      <c r="E31" s="1464">
        <v>376</v>
      </c>
      <c r="F31" s="1465">
        <v>213</v>
      </c>
      <c r="G31" s="3398">
        <v>2011</v>
      </c>
      <c r="H31" s="1477">
        <v>4</v>
      </c>
      <c r="I31" s="1477">
        <v>-0.2</v>
      </c>
      <c r="J31" s="1477">
        <v>0.04</v>
      </c>
      <c r="K31" s="1477">
        <v>-0.34</v>
      </c>
      <c r="L31" s="1478">
        <v>0.46</v>
      </c>
      <c r="N31" s="1479">
        <f t="shared" si="51"/>
        <v>-2E-3</v>
      </c>
      <c r="O31" s="1480">
        <f t="shared" si="51"/>
        <v>4.0000000000000002E-4</v>
      </c>
      <c r="P31" s="1480">
        <f t="shared" si="51"/>
        <v>-3.4000000000000002E-3</v>
      </c>
      <c r="Q31" s="1480">
        <f t="shared" si="51"/>
        <v>4.5999999999999999E-3</v>
      </c>
      <c r="R31" s="1469"/>
      <c r="S31" s="1470"/>
      <c r="T31" s="1471"/>
      <c r="U31" s="1471"/>
      <c r="V31" s="1471"/>
      <c r="X31" s="1471"/>
      <c r="Y31" s="1471"/>
      <c r="Z31" s="1471"/>
    </row>
    <row r="32" spans="1:34">
      <c r="A32" s="1456" t="s">
        <v>1172</v>
      </c>
      <c r="B32" s="1472">
        <f t="shared" ref="B32:C34" si="61">B31/(1+N31)</f>
        <v>275.55110220440883</v>
      </c>
      <c r="C32" s="1472">
        <f t="shared" si="61"/>
        <v>231.90723710515795</v>
      </c>
      <c r="D32" s="1472">
        <f t="shared" si="49"/>
        <v>231.90723710515795</v>
      </c>
      <c r="E32" s="1472">
        <f t="shared" ref="E32:F34" si="62">E31/(1+P31)</f>
        <v>377.28276138872161</v>
      </c>
      <c r="F32" s="1472">
        <f t="shared" si="62"/>
        <v>212.02468644236512</v>
      </c>
      <c r="G32" s="3399">
        <v>2011</v>
      </c>
      <c r="H32" s="1482">
        <v>3</v>
      </c>
      <c r="I32" s="1482">
        <v>0.13</v>
      </c>
      <c r="J32" s="1482">
        <v>0.75</v>
      </c>
      <c r="K32" s="1482">
        <v>-0.08</v>
      </c>
      <c r="L32" s="1483">
        <v>0.53</v>
      </c>
      <c r="N32" s="1467">
        <f t="shared" si="51"/>
        <v>1.2999999999999999E-3</v>
      </c>
      <c r="O32" s="1484">
        <f t="shared" si="51"/>
        <v>7.4999999999999997E-3</v>
      </c>
      <c r="P32" s="1484">
        <f t="shared" si="51"/>
        <v>-8.0000000000000004E-4</v>
      </c>
      <c r="Q32" s="1484">
        <f t="shared" si="51"/>
        <v>5.3E-3</v>
      </c>
      <c r="R32" s="1469"/>
      <c r="S32" s="1467"/>
      <c r="T32" s="1468"/>
      <c r="U32" s="1468"/>
      <c r="V32" s="1468"/>
    </row>
    <row r="33" spans="1:26">
      <c r="A33" s="1456" t="s">
        <v>1173</v>
      </c>
      <c r="B33" s="1472">
        <f t="shared" si="61"/>
        <v>275.19335084830601</v>
      </c>
      <c r="C33" s="1472">
        <f t="shared" si="61"/>
        <v>230.18088050139744</v>
      </c>
      <c r="D33" s="1472">
        <f t="shared" si="49"/>
        <v>230.18088050139744</v>
      </c>
      <c r="E33" s="1472">
        <f t="shared" si="62"/>
        <v>377.58482925212331</v>
      </c>
      <c r="F33" s="1472">
        <f t="shared" si="62"/>
        <v>210.90687997847917</v>
      </c>
      <c r="G33" s="3399">
        <v>2011</v>
      </c>
      <c r="H33" s="1460">
        <v>2</v>
      </c>
      <c r="I33" s="1460">
        <v>-0.4</v>
      </c>
      <c r="J33" s="1460">
        <v>0.17</v>
      </c>
      <c r="K33" s="1460">
        <v>-0.57999999999999996</v>
      </c>
      <c r="L33" s="1474">
        <v>-0.2</v>
      </c>
      <c r="N33" s="1467">
        <f t="shared" si="51"/>
        <v>-4.0000000000000001E-3</v>
      </c>
      <c r="O33" s="1484">
        <f t="shared" si="51"/>
        <v>1.7000000000000001E-3</v>
      </c>
      <c r="P33" s="1484">
        <f t="shared" si="51"/>
        <v>-5.7999999999999996E-3</v>
      </c>
      <c r="Q33" s="1484">
        <f t="shared" si="51"/>
        <v>-2E-3</v>
      </c>
      <c r="R33" s="1469"/>
      <c r="S33" s="1467"/>
      <c r="T33" s="1468"/>
      <c r="U33" s="1468"/>
      <c r="V33" s="1468"/>
    </row>
    <row r="34" spans="1:26" ht="13.5" thickBot="1">
      <c r="A34" s="1456" t="s">
        <v>1174</v>
      </c>
      <c r="B34" s="1472">
        <f t="shared" si="61"/>
        <v>276.29854502841971</v>
      </c>
      <c r="C34" s="1472">
        <f t="shared" si="61"/>
        <v>229.79023709833027</v>
      </c>
      <c r="D34" s="1472">
        <f t="shared" si="49"/>
        <v>229.79023709833027</v>
      </c>
      <c r="E34" s="1472">
        <f t="shared" si="62"/>
        <v>379.78759731655936</v>
      </c>
      <c r="F34" s="1472">
        <f t="shared" si="62"/>
        <v>211.32953905659235</v>
      </c>
      <c r="G34" s="3400">
        <v>2011</v>
      </c>
      <c r="H34" s="1459">
        <v>1</v>
      </c>
      <c r="I34" s="1459">
        <v>2.65</v>
      </c>
      <c r="J34" s="1459">
        <v>3.76</v>
      </c>
      <c r="K34" s="1459">
        <v>1.89</v>
      </c>
      <c r="L34" s="1473">
        <v>7.95</v>
      </c>
      <c r="N34" s="1475">
        <f t="shared" si="51"/>
        <v>2.6499999999999999E-2</v>
      </c>
      <c r="O34" s="1476">
        <f t="shared" si="51"/>
        <v>3.7599999999999995E-2</v>
      </c>
      <c r="P34" s="1476">
        <f t="shared" si="51"/>
        <v>1.89E-2</v>
      </c>
      <c r="Q34" s="1476">
        <f t="shared" si="51"/>
        <v>7.9500000000000001E-2</v>
      </c>
      <c r="R34" s="1469"/>
      <c r="S34" s="1475">
        <f>B34/B35-1</f>
        <v>2.713213765211786E-2</v>
      </c>
      <c r="T34" s="1476">
        <f>C34/C35-1</f>
        <v>3.9774828499231862E-2</v>
      </c>
      <c r="U34" s="1476">
        <f>E34/E35-1</f>
        <v>1.8197311840641772E-2</v>
      </c>
      <c r="V34" s="1476">
        <f>F34/F35-1</f>
        <v>7.8211933962205826E-2</v>
      </c>
      <c r="X34" s="1455"/>
      <c r="Y34" s="1455"/>
      <c r="Z34" s="1455"/>
    </row>
    <row r="35" spans="1:26" ht="13.5" thickBot="1">
      <c r="A35" s="1456" t="s">
        <v>1175</v>
      </c>
      <c r="B35" s="1464">
        <v>269</v>
      </c>
      <c r="C35" s="1464">
        <v>221</v>
      </c>
      <c r="D35" s="1464">
        <f t="shared" si="49"/>
        <v>221</v>
      </c>
      <c r="E35" s="1464">
        <v>373</v>
      </c>
      <c r="F35" s="1465">
        <v>196</v>
      </c>
      <c r="G35" s="3398">
        <v>2010</v>
      </c>
      <c r="H35" s="1477">
        <v>4</v>
      </c>
      <c r="I35" s="1477">
        <v>5.72</v>
      </c>
      <c r="J35" s="1477">
        <v>6.57</v>
      </c>
      <c r="K35" s="1477">
        <v>5.72</v>
      </c>
      <c r="L35" s="1478">
        <v>2.72</v>
      </c>
      <c r="N35" s="1467">
        <f t="shared" si="51"/>
        <v>5.7200000000000001E-2</v>
      </c>
      <c r="O35" s="1468">
        <f t="shared" si="51"/>
        <v>6.5700000000000008E-2</v>
      </c>
      <c r="P35" s="1468">
        <f t="shared" si="51"/>
        <v>5.7200000000000001E-2</v>
      </c>
      <c r="Q35" s="1468">
        <f t="shared" si="51"/>
        <v>2.7200000000000002E-2</v>
      </c>
      <c r="R35" s="1469"/>
      <c r="S35" s="1470"/>
      <c r="T35" s="1471"/>
      <c r="U35" s="1471"/>
      <c r="V35" s="1471"/>
      <c r="X35" s="1471"/>
      <c r="Y35" s="1471"/>
      <c r="Z35" s="1471"/>
    </row>
    <row r="36" spans="1:26">
      <c r="A36" s="1456" t="s">
        <v>1176</v>
      </c>
      <c r="B36" s="1472">
        <f t="shared" ref="B36:C38" si="63">B35/(1+N35)</f>
        <v>254.44570563753314</v>
      </c>
      <c r="C36" s="1472">
        <f t="shared" si="63"/>
        <v>207.37543398705074</v>
      </c>
      <c r="D36" s="1472">
        <f t="shared" si="49"/>
        <v>207.37543398705074</v>
      </c>
      <c r="E36" s="1472">
        <f t="shared" ref="E36:F38" si="64">E35/(1+P35)</f>
        <v>352.81876655315932</v>
      </c>
      <c r="F36" s="1472">
        <f t="shared" si="64"/>
        <v>190.809968847352</v>
      </c>
      <c r="G36" s="3399">
        <v>2010</v>
      </c>
      <c r="H36" s="1482">
        <v>3</v>
      </c>
      <c r="I36" s="1482">
        <v>4.7300000000000004</v>
      </c>
      <c r="J36" s="1482">
        <v>3.9</v>
      </c>
      <c r="K36" s="1482">
        <v>5.03</v>
      </c>
      <c r="L36" s="1483">
        <v>4.21</v>
      </c>
      <c r="N36" s="1467">
        <f t="shared" si="51"/>
        <v>4.7300000000000002E-2</v>
      </c>
      <c r="O36" s="1468">
        <f t="shared" si="51"/>
        <v>3.9E-2</v>
      </c>
      <c r="P36" s="1468">
        <f t="shared" si="51"/>
        <v>5.0300000000000004E-2</v>
      </c>
      <c r="Q36" s="1468">
        <f t="shared" si="51"/>
        <v>4.2099999999999999E-2</v>
      </c>
      <c r="R36" s="1469"/>
      <c r="S36" s="1467"/>
      <c r="T36" s="1468"/>
      <c r="U36" s="1468"/>
      <c r="V36" s="1468"/>
    </row>
    <row r="37" spans="1:26">
      <c r="A37" s="1456" t="s">
        <v>1177</v>
      </c>
      <c r="B37" s="1472">
        <f t="shared" si="63"/>
        <v>242.95398227588385</v>
      </c>
      <c r="C37" s="1472">
        <f t="shared" si="63"/>
        <v>199.59137053614126</v>
      </c>
      <c r="D37" s="1472">
        <f t="shared" si="49"/>
        <v>199.59137053614126</v>
      </c>
      <c r="E37" s="1472">
        <f t="shared" si="64"/>
        <v>335.92189522342125</v>
      </c>
      <c r="F37" s="1472">
        <f t="shared" si="64"/>
        <v>183.10139991109489</v>
      </c>
      <c r="G37" s="3399">
        <v>2010</v>
      </c>
      <c r="H37" s="1460">
        <v>2</v>
      </c>
      <c r="I37" s="1460">
        <v>4.6900000000000004</v>
      </c>
      <c r="J37" s="1460">
        <v>3.55</v>
      </c>
      <c r="K37" s="1460">
        <v>5.07</v>
      </c>
      <c r="L37" s="1474">
        <v>4.2300000000000004</v>
      </c>
      <c r="N37" s="1467">
        <f t="shared" si="51"/>
        <v>4.6900000000000004E-2</v>
      </c>
      <c r="O37" s="1468">
        <f t="shared" si="51"/>
        <v>3.5499999999999997E-2</v>
      </c>
      <c r="P37" s="1468">
        <f t="shared" si="51"/>
        <v>5.0700000000000002E-2</v>
      </c>
      <c r="Q37" s="1468">
        <f t="shared" si="51"/>
        <v>4.2300000000000004E-2</v>
      </c>
      <c r="R37" s="1469"/>
      <c r="S37" s="1467"/>
      <c r="T37" s="1468"/>
      <c r="U37" s="1468"/>
      <c r="V37" s="1468"/>
    </row>
    <row r="38" spans="1:26" ht="13.5" thickBot="1">
      <c r="A38" s="1456" t="s">
        <v>1178</v>
      </c>
      <c r="B38" s="1472">
        <f t="shared" si="63"/>
        <v>232.06990378821649</v>
      </c>
      <c r="C38" s="1472">
        <f t="shared" si="63"/>
        <v>192.74878854286936</v>
      </c>
      <c r="D38" s="1472">
        <f t="shared" si="49"/>
        <v>192.74878854286936</v>
      </c>
      <c r="E38" s="1472">
        <f t="shared" si="64"/>
        <v>319.71247284992984</v>
      </c>
      <c r="F38" s="1472">
        <f t="shared" si="64"/>
        <v>175.67053622862409</v>
      </c>
      <c r="G38" s="3400">
        <v>2010</v>
      </c>
      <c r="H38" s="1459">
        <v>1</v>
      </c>
      <c r="I38" s="1459">
        <v>5.4</v>
      </c>
      <c r="J38" s="1459">
        <v>3.2</v>
      </c>
      <c r="K38" s="1459">
        <v>6.16</v>
      </c>
      <c r="L38" s="1473">
        <v>4.51</v>
      </c>
      <c r="N38" s="1467">
        <f t="shared" si="51"/>
        <v>5.4000000000000006E-2</v>
      </c>
      <c r="O38" s="1468">
        <f t="shared" si="51"/>
        <v>3.2000000000000001E-2</v>
      </c>
      <c r="P38" s="1468">
        <f t="shared" si="51"/>
        <v>6.1600000000000002E-2</v>
      </c>
      <c r="Q38" s="1468">
        <f t="shared" si="51"/>
        <v>4.5100000000000001E-2</v>
      </c>
      <c r="R38" s="1469"/>
      <c r="S38" s="1475">
        <f>B38/B39-1</f>
        <v>5.4863199037347599E-2</v>
      </c>
      <c r="T38" s="1476">
        <f>C38/C39-1</f>
        <v>3.0742184721226584E-2</v>
      </c>
      <c r="U38" s="1476">
        <f>E38/E39-1</f>
        <v>6.2167683886810154E-2</v>
      </c>
      <c r="V38" s="1476">
        <f>F38/F39-1</f>
        <v>4.5657953741810031E-2</v>
      </c>
      <c r="X38" s="1455"/>
      <c r="Y38" s="1455"/>
      <c r="Z38" s="1455"/>
    </row>
    <row r="39" spans="1:26" ht="13.5" thickBot="1">
      <c r="A39" s="1456" t="s">
        <v>1179</v>
      </c>
      <c r="B39" s="1464">
        <v>220</v>
      </c>
      <c r="C39" s="1464">
        <v>187</v>
      </c>
      <c r="D39" s="1464">
        <f t="shared" si="49"/>
        <v>187</v>
      </c>
      <c r="E39" s="1464">
        <v>301</v>
      </c>
      <c r="F39" s="1465">
        <v>168</v>
      </c>
      <c r="G39" s="3398">
        <v>2009</v>
      </c>
      <c r="H39" s="1477">
        <v>4</v>
      </c>
      <c r="I39" s="1477">
        <v>2.2999999999999998</v>
      </c>
      <c r="J39" s="1477">
        <v>1.04</v>
      </c>
      <c r="K39" s="1477">
        <v>2.84</v>
      </c>
      <c r="L39" s="1478">
        <v>0.67</v>
      </c>
      <c r="N39" s="1479">
        <f t="shared" si="51"/>
        <v>2.3E-2</v>
      </c>
      <c r="O39" s="1480">
        <f t="shared" si="51"/>
        <v>1.04E-2</v>
      </c>
      <c r="P39" s="1480">
        <f t="shared" si="51"/>
        <v>2.8399999999999998E-2</v>
      </c>
      <c r="Q39" s="1480">
        <f t="shared" si="51"/>
        <v>6.7000000000000002E-3</v>
      </c>
      <c r="R39" s="1469"/>
      <c r="S39" s="1470"/>
      <c r="T39" s="1471"/>
      <c r="U39" s="1471"/>
      <c r="V39" s="1471"/>
      <c r="X39" s="1471"/>
      <c r="Y39" s="1471"/>
      <c r="Z39" s="1471"/>
    </row>
    <row r="40" spans="1:26">
      <c r="A40" s="1456" t="s">
        <v>1180</v>
      </c>
      <c r="B40" s="1472">
        <f t="shared" ref="B40:C42" si="65">B39/(1+N39)</f>
        <v>215.05376344086022</v>
      </c>
      <c r="C40" s="1472">
        <f t="shared" si="65"/>
        <v>185.0752177355503</v>
      </c>
      <c r="D40" s="1472">
        <f t="shared" si="49"/>
        <v>185.0752177355503</v>
      </c>
      <c r="E40" s="1472">
        <f t="shared" ref="E40:F42" si="66">E39/(1+P39)</f>
        <v>292.68767016725008</v>
      </c>
      <c r="F40" s="1472">
        <f t="shared" si="66"/>
        <v>166.88189132810174</v>
      </c>
      <c r="G40" s="3399">
        <v>2009</v>
      </c>
      <c r="H40" s="1482">
        <v>3</v>
      </c>
      <c r="I40" s="1482">
        <v>2.1</v>
      </c>
      <c r="J40" s="1482">
        <v>1.86</v>
      </c>
      <c r="K40" s="1482">
        <v>2.29</v>
      </c>
      <c r="L40" s="1483">
        <v>0.85</v>
      </c>
      <c r="N40" s="1467">
        <f t="shared" si="51"/>
        <v>2.1000000000000001E-2</v>
      </c>
      <c r="O40" s="1484">
        <f t="shared" si="51"/>
        <v>1.8600000000000002E-2</v>
      </c>
      <c r="P40" s="1484">
        <f t="shared" si="51"/>
        <v>2.29E-2</v>
      </c>
      <c r="Q40" s="1484">
        <f t="shared" si="51"/>
        <v>8.5000000000000006E-3</v>
      </c>
      <c r="R40" s="1469"/>
      <c r="S40" s="1467"/>
      <c r="T40" s="1468"/>
      <c r="U40" s="1468"/>
      <c r="V40" s="1468"/>
    </row>
    <row r="41" spans="1:26">
      <c r="A41" s="1456" t="s">
        <v>1181</v>
      </c>
      <c r="B41" s="1472">
        <f t="shared" si="65"/>
        <v>210.630522469011</v>
      </c>
      <c r="C41" s="1472">
        <f t="shared" si="65"/>
        <v>181.69567812247232</v>
      </c>
      <c r="D41" s="1472">
        <f t="shared" si="49"/>
        <v>181.69567812247232</v>
      </c>
      <c r="E41" s="1472">
        <f t="shared" si="66"/>
        <v>286.13517466736738</v>
      </c>
      <c r="F41" s="1472">
        <f t="shared" si="66"/>
        <v>165.47535084591149</v>
      </c>
      <c r="G41" s="3399">
        <v>2009</v>
      </c>
      <c r="H41" s="1460">
        <v>2</v>
      </c>
      <c r="I41" s="1460">
        <v>0.86</v>
      </c>
      <c r="J41" s="1460">
        <v>-1.1299999999999999</v>
      </c>
      <c r="K41" s="1460">
        <v>1.79</v>
      </c>
      <c r="L41" s="1474">
        <v>-2.0699999999999998</v>
      </c>
      <c r="N41" s="1467">
        <f t="shared" si="51"/>
        <v>8.6E-3</v>
      </c>
      <c r="O41" s="1484">
        <f t="shared" si="51"/>
        <v>-1.1299999999999999E-2</v>
      </c>
      <c r="P41" s="1484">
        <f t="shared" si="51"/>
        <v>1.7899999999999999E-2</v>
      </c>
      <c r="Q41" s="1484">
        <f t="shared" si="51"/>
        <v>-2.07E-2</v>
      </c>
      <c r="R41" s="1469"/>
      <c r="S41" s="1467"/>
      <c r="T41" s="1468"/>
      <c r="U41" s="1468"/>
      <c r="V41" s="1468"/>
    </row>
    <row r="42" spans="1:26">
      <c r="A42" s="1456" t="s">
        <v>1182</v>
      </c>
      <c r="B42" s="1472">
        <f t="shared" si="65"/>
        <v>208.83454537875372</v>
      </c>
      <c r="C42" s="1472">
        <f t="shared" si="65"/>
        <v>183.77230517090351</v>
      </c>
      <c r="D42" s="1472">
        <f t="shared" si="49"/>
        <v>183.77230517090351</v>
      </c>
      <c r="E42" s="1472">
        <f t="shared" si="66"/>
        <v>281.10342338870947</v>
      </c>
      <c r="F42" s="1472">
        <f t="shared" si="66"/>
        <v>168.97309388942256</v>
      </c>
      <c r="G42" s="3400">
        <v>2009</v>
      </c>
      <c r="H42" s="1459">
        <v>1</v>
      </c>
      <c r="I42" s="1459">
        <v>-2.64</v>
      </c>
      <c r="J42" s="1459">
        <v>-2.5299999999999998</v>
      </c>
      <c r="K42" s="1459">
        <v>-3.02</v>
      </c>
      <c r="L42" s="1473">
        <v>1.52</v>
      </c>
      <c r="N42" s="1475">
        <f t="shared" si="51"/>
        <v>-2.64E-2</v>
      </c>
      <c r="O42" s="1476">
        <f t="shared" si="51"/>
        <v>-2.53E-2</v>
      </c>
      <c r="P42" s="1476">
        <f t="shared" si="51"/>
        <v>-3.0200000000000001E-2</v>
      </c>
      <c r="Q42" s="1476">
        <f t="shared" si="51"/>
        <v>1.52E-2</v>
      </c>
      <c r="R42" s="1469"/>
      <c r="S42" s="1475">
        <f>B42/B43-1</f>
        <v>-2.4137638417038754E-2</v>
      </c>
      <c r="T42" s="1476">
        <f>C42/C43-1</f>
        <v>-2.248773845264096E-2</v>
      </c>
      <c r="U42" s="1476">
        <f>E42/E43-1</f>
        <v>-2.7323794502735366E-2</v>
      </c>
      <c r="V42" s="1476">
        <f>F42/F43-1</f>
        <v>1.7910204153148035E-2</v>
      </c>
      <c r="X42" s="1455"/>
      <c r="Y42" s="1455"/>
      <c r="Z42" s="1455"/>
    </row>
    <row r="43" spans="1:26" ht="13.5" thickBot="1">
      <c r="A43" s="1456" t="s">
        <v>1183</v>
      </c>
      <c r="B43" s="1506">
        <v>214</v>
      </c>
      <c r="C43" s="1506">
        <v>188</v>
      </c>
      <c r="D43" s="1506">
        <f t="shared" si="49"/>
        <v>188</v>
      </c>
      <c r="E43" s="1506">
        <v>289</v>
      </c>
      <c r="F43" s="1507">
        <v>166</v>
      </c>
      <c r="G43" s="3398">
        <v>2008</v>
      </c>
      <c r="H43" s="1477">
        <v>4</v>
      </c>
      <c r="I43" s="1477">
        <v>1.73</v>
      </c>
      <c r="J43" s="1477">
        <v>0.03</v>
      </c>
      <c r="K43" s="1477">
        <v>2.59</v>
      </c>
      <c r="L43" s="1478">
        <v>-1.66</v>
      </c>
      <c r="N43" s="1467">
        <f t="shared" si="51"/>
        <v>1.7299999999999999E-2</v>
      </c>
      <c r="O43" s="1468">
        <f t="shared" si="51"/>
        <v>2.9999999999999997E-4</v>
      </c>
      <c r="P43" s="1468">
        <f t="shared" si="51"/>
        <v>2.5899999999999999E-2</v>
      </c>
      <c r="Q43" s="1468">
        <f t="shared" si="51"/>
        <v>-1.66E-2</v>
      </c>
      <c r="R43" s="1469"/>
      <c r="S43" s="1470"/>
      <c r="T43" s="1471"/>
      <c r="U43" s="1471"/>
      <c r="V43" s="1471"/>
      <c r="X43" s="1471"/>
      <c r="Y43" s="1471"/>
      <c r="Z43" s="1471"/>
    </row>
    <row r="44" spans="1:26">
      <c r="A44" s="1456" t="s">
        <v>1184</v>
      </c>
      <c r="B44" s="1472">
        <f t="shared" ref="B44:C46" si="67">B43/(1+N43)</f>
        <v>210.36075887152265</v>
      </c>
      <c r="C44" s="1472">
        <f t="shared" si="67"/>
        <v>187.94361691492554</v>
      </c>
      <c r="D44" s="1472">
        <f t="shared" si="49"/>
        <v>187.94361691492554</v>
      </c>
      <c r="E44" s="1472">
        <f t="shared" ref="E44:F46" si="68">E43/(1+P43)</f>
        <v>281.70386977288234</v>
      </c>
      <c r="F44" s="1472">
        <f t="shared" si="68"/>
        <v>168.80211511083994</v>
      </c>
      <c r="G44" s="3399">
        <v>2008</v>
      </c>
      <c r="H44" s="1482">
        <v>3</v>
      </c>
      <c r="I44" s="1482">
        <v>1.96</v>
      </c>
      <c r="J44" s="1482">
        <v>2.36</v>
      </c>
      <c r="K44" s="1482">
        <v>1.82</v>
      </c>
      <c r="L44" s="1483">
        <v>2.2200000000000002</v>
      </c>
      <c r="N44" s="1467">
        <f t="shared" si="51"/>
        <v>1.9599999999999999E-2</v>
      </c>
      <c r="O44" s="1468">
        <f t="shared" si="51"/>
        <v>2.3599999999999999E-2</v>
      </c>
      <c r="P44" s="1468">
        <f t="shared" si="51"/>
        <v>1.8200000000000001E-2</v>
      </c>
      <c r="Q44" s="1468">
        <f t="shared" si="51"/>
        <v>2.2200000000000001E-2</v>
      </c>
      <c r="R44" s="1469"/>
      <c r="S44" s="1467"/>
      <c r="T44" s="1468"/>
      <c r="U44" s="1468"/>
      <c r="V44" s="1468"/>
    </row>
    <row r="45" spans="1:26">
      <c r="A45" s="1456" t="s">
        <v>1185</v>
      </c>
      <c r="B45" s="1472">
        <f t="shared" si="67"/>
        <v>206.31694671589116</v>
      </c>
      <c r="C45" s="1472">
        <f t="shared" si="67"/>
        <v>183.61041121036101</v>
      </c>
      <c r="D45" s="1472">
        <f t="shared" si="49"/>
        <v>183.61041121036101</v>
      </c>
      <c r="E45" s="1472">
        <f t="shared" si="68"/>
        <v>276.66850301795557</v>
      </c>
      <c r="F45" s="1472">
        <f t="shared" si="68"/>
        <v>165.1360938278614</v>
      </c>
      <c r="G45" s="3399">
        <v>2008</v>
      </c>
      <c r="H45" s="1460">
        <v>2</v>
      </c>
      <c r="I45" s="1460">
        <v>4.93</v>
      </c>
      <c r="J45" s="1460">
        <v>7.38</v>
      </c>
      <c r="K45" s="1460">
        <v>3.98</v>
      </c>
      <c r="L45" s="1474">
        <v>6.86</v>
      </c>
      <c r="N45" s="1467">
        <f t="shared" si="51"/>
        <v>4.9299999999999997E-2</v>
      </c>
      <c r="O45" s="1468">
        <f t="shared" si="51"/>
        <v>7.3800000000000004E-2</v>
      </c>
      <c r="P45" s="1468">
        <f t="shared" si="51"/>
        <v>3.9800000000000002E-2</v>
      </c>
      <c r="Q45" s="1468">
        <f t="shared" si="51"/>
        <v>6.8600000000000008E-2</v>
      </c>
      <c r="R45" s="1469"/>
      <c r="S45" s="1467"/>
      <c r="T45" s="1468"/>
      <c r="U45" s="1468"/>
      <c r="V45" s="1468"/>
    </row>
    <row r="46" spans="1:26" s="1512" customFormat="1" ht="13.5" thickBot="1">
      <c r="A46" s="1456" t="s">
        <v>1186</v>
      </c>
      <c r="B46" s="1509">
        <f t="shared" si="67"/>
        <v>196.62341248059772</v>
      </c>
      <c r="C46" s="1509">
        <f t="shared" si="67"/>
        <v>170.99125648199012</v>
      </c>
      <c r="D46" s="1509">
        <f t="shared" si="49"/>
        <v>170.99125648199012</v>
      </c>
      <c r="E46" s="1509">
        <f t="shared" si="68"/>
        <v>266.07857570490052</v>
      </c>
      <c r="F46" s="1509">
        <f t="shared" si="68"/>
        <v>154.53499328828505</v>
      </c>
      <c r="G46" s="3400">
        <v>2008</v>
      </c>
      <c r="H46" s="1510">
        <v>1</v>
      </c>
      <c r="I46" s="1510">
        <v>4.1399999999999997</v>
      </c>
      <c r="J46" s="1510">
        <v>3.45</v>
      </c>
      <c r="K46" s="1510">
        <v>4.95</v>
      </c>
      <c r="L46" s="1511">
        <v>4.82</v>
      </c>
      <c r="N46" s="1513">
        <f t="shared" si="51"/>
        <v>4.1399999999999999E-2</v>
      </c>
      <c r="O46" s="1514">
        <f t="shared" si="51"/>
        <v>3.4500000000000003E-2</v>
      </c>
      <c r="P46" s="1514">
        <f t="shared" si="51"/>
        <v>4.9500000000000002E-2</v>
      </c>
      <c r="Q46" s="1514">
        <f t="shared" si="51"/>
        <v>4.82E-2</v>
      </c>
      <c r="R46" s="1515"/>
      <c r="S46" s="1513">
        <f>B46/B47-1</f>
        <v>4.5869215322328349E-2</v>
      </c>
      <c r="T46" s="1514">
        <f>C46/C47-1</f>
        <v>3.6310645345394743E-2</v>
      </c>
      <c r="U46" s="1514">
        <f>E46/E47-1</f>
        <v>4.7553447657088688E-2</v>
      </c>
      <c r="V46" s="1514">
        <f>F46/F47-1</f>
        <v>4.4155360055980086E-2</v>
      </c>
      <c r="X46" s="1516"/>
      <c r="Y46" s="1516"/>
      <c r="Z46" s="1516"/>
    </row>
    <row r="47" spans="1:26" ht="13.5" thickBot="1">
      <c r="A47" s="1456" t="s">
        <v>1187</v>
      </c>
      <c r="B47" s="1464">
        <v>188</v>
      </c>
      <c r="C47" s="1464">
        <v>165</v>
      </c>
      <c r="D47" s="1464">
        <f t="shared" si="49"/>
        <v>165</v>
      </c>
      <c r="E47" s="1464">
        <v>254</v>
      </c>
      <c r="F47" s="1465">
        <v>148</v>
      </c>
      <c r="G47" s="3398">
        <v>2007</v>
      </c>
      <c r="H47" s="1517">
        <v>4</v>
      </c>
      <c r="I47" s="1517">
        <v>5.51</v>
      </c>
      <c r="J47" s="1517">
        <v>4.8899999999999997</v>
      </c>
      <c r="K47" s="1517">
        <v>6.43</v>
      </c>
      <c r="L47" s="1518">
        <v>5.36</v>
      </c>
      <c r="N47" s="1519">
        <f t="shared" ref="N47:O50" si="69">B47/B48-1</f>
        <v>4.1339718365245526E-2</v>
      </c>
      <c r="O47" s="1520">
        <f t="shared" si="69"/>
        <v>4.0324492593776018E-2</v>
      </c>
      <c r="P47" s="1520">
        <f t="shared" ref="P47:Q50" si="70">E47/E48-1</f>
        <v>6.1625555347990968E-2</v>
      </c>
      <c r="Q47" s="1520">
        <f t="shared" si="70"/>
        <v>4.6757569250590603E-2</v>
      </c>
      <c r="R47" s="1469"/>
      <c r="S47" s="1470"/>
      <c r="T47" s="1471"/>
      <c r="U47" s="1471"/>
      <c r="V47" s="1471"/>
      <c r="X47" s="1471"/>
      <c r="Y47" s="1471"/>
      <c r="Z47" s="1471"/>
    </row>
    <row r="48" spans="1:26">
      <c r="A48" s="1456" t="s">
        <v>1188</v>
      </c>
      <c r="B48" s="1472">
        <f t="shared" ref="B48:C50" si="71">B49+(B$47-B$51)*I48/SUM(I$47:I$50)</f>
        <v>180.5366651097618</v>
      </c>
      <c r="C48" s="1472">
        <f t="shared" si="71"/>
        <v>158.60435967302453</v>
      </c>
      <c r="D48" s="1472">
        <f t="shared" si="49"/>
        <v>158.60435967302453</v>
      </c>
      <c r="E48" s="1472">
        <f t="shared" ref="E48:F50" si="72">E49+(E$47-E$51)*K48/SUM(K$47:K$50)</f>
        <v>239.25573260785075</v>
      </c>
      <c r="F48" s="1472">
        <f t="shared" si="72"/>
        <v>141.38899430740037</v>
      </c>
      <c r="G48" s="3399">
        <v>2007</v>
      </c>
      <c r="H48" s="1482">
        <v>3</v>
      </c>
      <c r="I48" s="1482">
        <v>8.65</v>
      </c>
      <c r="J48" s="1482">
        <v>8.06</v>
      </c>
      <c r="K48" s="1482">
        <v>9.94</v>
      </c>
      <c r="L48" s="1483">
        <v>5.8</v>
      </c>
      <c r="N48" s="1519">
        <f t="shared" si="69"/>
        <v>6.940217571740015E-2</v>
      </c>
      <c r="O48" s="1520">
        <f t="shared" si="69"/>
        <v>7.1197482471153428E-2</v>
      </c>
      <c r="P48" s="1520">
        <f t="shared" si="70"/>
        <v>0.10529679922579582</v>
      </c>
      <c r="Q48" s="1520">
        <f t="shared" si="70"/>
        <v>5.3292245059512133E-2</v>
      </c>
      <c r="R48" s="1469"/>
      <c r="S48" s="1467"/>
      <c r="T48" s="1468"/>
      <c r="U48" s="1468"/>
      <c r="V48" s="1468"/>
      <c r="X48" s="1521"/>
      <c r="Y48" s="1521"/>
      <c r="Z48" s="1521"/>
    </row>
    <row r="49" spans="1:26">
      <c r="A49" s="1456" t="s">
        <v>1189</v>
      </c>
      <c r="B49" s="1472">
        <f t="shared" si="71"/>
        <v>168.82017748715555</v>
      </c>
      <c r="C49" s="1472">
        <f t="shared" si="71"/>
        <v>148.06267029972753</v>
      </c>
      <c r="D49" s="1472">
        <f t="shared" si="49"/>
        <v>148.06267029972753</v>
      </c>
      <c r="E49" s="1472">
        <f t="shared" si="72"/>
        <v>216.46288379323747</v>
      </c>
      <c r="F49" s="1472">
        <f t="shared" si="72"/>
        <v>134.23529411764704</v>
      </c>
      <c r="G49" s="3399">
        <v>2007</v>
      </c>
      <c r="H49" s="1460">
        <v>2</v>
      </c>
      <c r="I49" s="1460">
        <v>3.67</v>
      </c>
      <c r="J49" s="1460">
        <v>2.3199999999999998</v>
      </c>
      <c r="K49" s="1460">
        <v>5.0199999999999996</v>
      </c>
      <c r="L49" s="1474">
        <v>6.71</v>
      </c>
      <c r="N49" s="1519">
        <f t="shared" si="69"/>
        <v>3.0339138143848032E-2</v>
      </c>
      <c r="O49" s="1520">
        <f t="shared" si="69"/>
        <v>2.0922341588790472E-2</v>
      </c>
      <c r="P49" s="1520">
        <f t="shared" si="70"/>
        <v>5.6164796592717003E-2</v>
      </c>
      <c r="Q49" s="1520">
        <f t="shared" si="70"/>
        <v>6.5704536723887319E-2</v>
      </c>
      <c r="R49" s="1469"/>
      <c r="S49" s="1467"/>
      <c r="T49" s="1468"/>
      <c r="U49" s="1468"/>
      <c r="V49" s="1468"/>
      <c r="X49" s="1521"/>
      <c r="Y49" s="1521"/>
      <c r="Z49" s="1521"/>
    </row>
    <row r="50" spans="1:26">
      <c r="A50" s="1456" t="s">
        <v>1190</v>
      </c>
      <c r="B50" s="1472">
        <f t="shared" si="71"/>
        <v>163.84913591779542</v>
      </c>
      <c r="C50" s="1472">
        <f t="shared" si="71"/>
        <v>145.0283378746594</v>
      </c>
      <c r="D50" s="1472">
        <f t="shared" si="49"/>
        <v>145.0283378746594</v>
      </c>
      <c r="E50" s="1472">
        <f t="shared" si="72"/>
        <v>204.95180722891567</v>
      </c>
      <c r="F50" s="1472">
        <f t="shared" si="72"/>
        <v>125.95920303605313</v>
      </c>
      <c r="G50" s="3400">
        <v>2007</v>
      </c>
      <c r="H50" s="1459">
        <v>1</v>
      </c>
      <c r="I50" s="1459">
        <v>3.58</v>
      </c>
      <c r="J50" s="1459">
        <v>3.08</v>
      </c>
      <c r="K50" s="1459">
        <v>4.34</v>
      </c>
      <c r="L50" s="1473">
        <v>3.21</v>
      </c>
      <c r="N50" s="1522">
        <f t="shared" si="69"/>
        <v>3.0497710174814063E-2</v>
      </c>
      <c r="O50" s="1523">
        <f t="shared" si="69"/>
        <v>2.8569772160704998E-2</v>
      </c>
      <c r="P50" s="1523">
        <f t="shared" si="70"/>
        <v>5.1034908866234296E-2</v>
      </c>
      <c r="Q50" s="1523">
        <f t="shared" si="70"/>
        <v>3.245248390207478E-2</v>
      </c>
      <c r="R50" s="1469"/>
      <c r="S50" s="1475">
        <f>B50/B51-1</f>
        <v>3.0497710174814063E-2</v>
      </c>
      <c r="T50" s="1476">
        <f>C50/C51-1</f>
        <v>2.8569772160704998E-2</v>
      </c>
      <c r="U50" s="1476">
        <f>E50/E51-1</f>
        <v>5.1034908866234296E-2</v>
      </c>
      <c r="V50" s="1476">
        <f>F50/F51-1</f>
        <v>3.245248390207478E-2</v>
      </c>
      <c r="X50" s="1521"/>
      <c r="Y50" s="1521"/>
      <c r="Z50" s="1521"/>
    </row>
    <row r="51" spans="1:26" ht="13.5" thickBot="1">
      <c r="A51" s="1456" t="s">
        <v>1191</v>
      </c>
      <c r="B51" s="1485">
        <v>159</v>
      </c>
      <c r="C51" s="1485">
        <v>141</v>
      </c>
      <c r="D51" s="1485">
        <f t="shared" si="49"/>
        <v>141</v>
      </c>
      <c r="E51" s="1485">
        <v>195</v>
      </c>
      <c r="F51" s="1486">
        <v>122</v>
      </c>
      <c r="G51" s="3398">
        <v>2006</v>
      </c>
      <c r="H51" s="1477">
        <v>4</v>
      </c>
      <c r="I51" s="1477">
        <v>3.79</v>
      </c>
      <c r="J51" s="1477">
        <v>2.21</v>
      </c>
      <c r="K51" s="1477">
        <v>5.65</v>
      </c>
      <c r="L51" s="1478">
        <v>5.41</v>
      </c>
      <c r="N51" s="1519">
        <f t="shared" ref="N51:O54" si="73">I51/SUM(I$51:I$54)*(B$51/B$55-1)</f>
        <v>7.245466462748526E-2</v>
      </c>
      <c r="O51" s="1520">
        <f t="shared" si="73"/>
        <v>2.3237230038062766E-2</v>
      </c>
      <c r="P51" s="1520">
        <f t="shared" ref="P51:Q54" si="74">K51/SUM(K$51:K$54)*(E$51/E$55-1)</f>
        <v>0.16146893866323722</v>
      </c>
      <c r="Q51" s="1520">
        <f t="shared" si="74"/>
        <v>5.0755230321793784E-2</v>
      </c>
      <c r="R51" s="1469"/>
      <c r="S51" s="1470"/>
      <c r="T51" s="1471"/>
      <c r="U51" s="1471"/>
      <c r="V51" s="1471"/>
      <c r="X51" s="1521"/>
      <c r="Y51" s="1521"/>
      <c r="Z51" s="1521"/>
    </row>
    <row r="52" spans="1:26">
      <c r="A52" s="1456" t="s">
        <v>1192</v>
      </c>
      <c r="B52" s="1472">
        <f t="shared" ref="B52:C54" si="75">B53+(B$51-B$55)*I52/SUM(I$51:I$54)</f>
        <v>149.00125628140702</v>
      </c>
      <c r="C52" s="1472">
        <f t="shared" si="75"/>
        <v>137.95592286501378</v>
      </c>
      <c r="D52" s="1472">
        <f t="shared" si="49"/>
        <v>137.95592286501378</v>
      </c>
      <c r="E52" s="1472">
        <f t="shared" ref="E52:F54" si="76">E53+(E$51-E$55)*K52/SUM(K$51:K$54)</f>
        <v>169.97231450719823</v>
      </c>
      <c r="F52" s="1472">
        <f t="shared" si="76"/>
        <v>116.21390374331551</v>
      </c>
      <c r="G52" s="3399">
        <v>2006</v>
      </c>
      <c r="H52" s="1482">
        <v>3</v>
      </c>
      <c r="I52" s="1482">
        <v>0.92</v>
      </c>
      <c r="J52" s="1482">
        <v>1.08</v>
      </c>
      <c r="K52" s="1482">
        <v>0.73</v>
      </c>
      <c r="L52" s="1483">
        <v>1.08</v>
      </c>
      <c r="N52" s="1519">
        <f t="shared" si="73"/>
        <v>1.7587939698492462E-2</v>
      </c>
      <c r="O52" s="1520">
        <f t="shared" si="73"/>
        <v>1.1355750425840628E-2</v>
      </c>
      <c r="P52" s="1520">
        <f t="shared" si="74"/>
        <v>2.0862358446754544E-2</v>
      </c>
      <c r="Q52" s="1520">
        <f t="shared" si="74"/>
        <v>1.0132282578103011E-2</v>
      </c>
      <c r="R52" s="1469"/>
      <c r="S52" s="1467"/>
      <c r="T52" s="1468"/>
      <c r="U52" s="1468"/>
      <c r="V52" s="1468"/>
      <c r="X52" s="1521"/>
      <c r="Y52" s="1521"/>
      <c r="Z52" s="1521"/>
    </row>
    <row r="53" spans="1:26">
      <c r="A53" s="1456" t="s">
        <v>1193</v>
      </c>
      <c r="B53" s="1472">
        <f t="shared" si="75"/>
        <v>146.57412060301507</v>
      </c>
      <c r="C53" s="1472">
        <f t="shared" si="75"/>
        <v>136.46831955922866</v>
      </c>
      <c r="D53" s="1472">
        <f t="shared" si="49"/>
        <v>136.46831955922866</v>
      </c>
      <c r="E53" s="1472">
        <f t="shared" si="76"/>
        <v>166.73864894795128</v>
      </c>
      <c r="F53" s="1472">
        <f t="shared" si="76"/>
        <v>115.05882352941177</v>
      </c>
      <c r="G53" s="3399">
        <v>2006</v>
      </c>
      <c r="H53" s="1460">
        <v>2</v>
      </c>
      <c r="I53" s="1460">
        <v>0.96</v>
      </c>
      <c r="J53" s="1460">
        <v>0.25</v>
      </c>
      <c r="K53" s="1460">
        <v>1.9</v>
      </c>
      <c r="L53" s="1474">
        <v>0.95</v>
      </c>
      <c r="N53" s="1519">
        <f t="shared" si="73"/>
        <v>1.8352632728861701E-2</v>
      </c>
      <c r="O53" s="1520">
        <f t="shared" si="73"/>
        <v>2.6286459319075526E-3</v>
      </c>
      <c r="P53" s="1520">
        <f t="shared" si="74"/>
        <v>5.4299289107991269E-2</v>
      </c>
      <c r="Q53" s="1520">
        <f t="shared" si="74"/>
        <v>8.9126559714794995E-3</v>
      </c>
      <c r="R53" s="1469"/>
      <c r="S53" s="1467"/>
      <c r="T53" s="1468"/>
      <c r="U53" s="1468"/>
      <c r="V53" s="1468"/>
      <c r="X53" s="1521"/>
      <c r="Y53" s="1521"/>
      <c r="Z53" s="1521"/>
    </row>
    <row r="54" spans="1:26">
      <c r="A54" s="1456" t="s">
        <v>1194</v>
      </c>
      <c r="B54" s="1472">
        <f t="shared" si="75"/>
        <v>144.04145728643215</v>
      </c>
      <c r="C54" s="1472">
        <f t="shared" si="75"/>
        <v>136.12396694214877</v>
      </c>
      <c r="D54" s="1472">
        <f t="shared" si="49"/>
        <v>136.12396694214877</v>
      </c>
      <c r="E54" s="1472">
        <f t="shared" si="76"/>
        <v>158.32225913621264</v>
      </c>
      <c r="F54" s="1472">
        <f t="shared" si="76"/>
        <v>114.04278074866311</v>
      </c>
      <c r="G54" s="3400">
        <v>2006</v>
      </c>
      <c r="H54" s="1459">
        <v>1</v>
      </c>
      <c r="I54" s="1459">
        <v>2.29</v>
      </c>
      <c r="J54" s="1459">
        <v>3.72</v>
      </c>
      <c r="K54" s="1459">
        <v>0.75</v>
      </c>
      <c r="L54" s="1473">
        <v>0.04</v>
      </c>
      <c r="N54" s="1522">
        <f t="shared" si="73"/>
        <v>4.3778675988638847E-2</v>
      </c>
      <c r="O54" s="1523">
        <f t="shared" si="73"/>
        <v>3.9114251466784385E-2</v>
      </c>
      <c r="P54" s="1523">
        <f t="shared" si="74"/>
        <v>2.1433929911049188E-2</v>
      </c>
      <c r="Q54" s="1523">
        <f t="shared" si="74"/>
        <v>3.7526972511492629E-4</v>
      </c>
      <c r="R54" s="1469"/>
      <c r="S54" s="1475">
        <f>B54/B55-1</f>
        <v>4.3778675988638716E-2</v>
      </c>
      <c r="T54" s="1476">
        <f>C54/C55-1</f>
        <v>3.91142514667846E-2</v>
      </c>
      <c r="U54" s="1476">
        <f>E54/E55-1</f>
        <v>2.143392991104931E-2</v>
      </c>
      <c r="V54" s="1476">
        <f>F54/F55-1</f>
        <v>3.7526972511492396E-4</v>
      </c>
      <c r="X54" s="1521"/>
      <c r="Y54" s="1521"/>
      <c r="Z54" s="1521"/>
    </row>
    <row r="55" spans="1:26" ht="13.5" thickBot="1">
      <c r="A55" s="1456" t="s">
        <v>1195</v>
      </c>
      <c r="B55" s="1485">
        <v>138</v>
      </c>
      <c r="C55" s="1485">
        <v>131</v>
      </c>
      <c r="D55" s="1485">
        <f t="shared" si="49"/>
        <v>131</v>
      </c>
      <c r="E55" s="1485">
        <v>155</v>
      </c>
      <c r="F55" s="1486">
        <v>114</v>
      </c>
      <c r="G55" s="3398">
        <v>2005</v>
      </c>
      <c r="H55" s="1477">
        <v>4</v>
      </c>
      <c r="I55" s="1477">
        <v>3.29</v>
      </c>
      <c r="J55" s="1477">
        <v>1.44</v>
      </c>
      <c r="K55" s="1477">
        <v>0.66</v>
      </c>
      <c r="L55" s="1478">
        <v>7.78</v>
      </c>
      <c r="N55" s="1519">
        <f t="shared" ref="N55:O58" si="77">I55/SUM(I$55:I$58)*(B$55/B$59-1)</f>
        <v>9.9404603216919935E-2</v>
      </c>
      <c r="O55" s="1520">
        <f t="shared" si="77"/>
        <v>4.7636550760861554E-2</v>
      </c>
      <c r="P55" s="1520">
        <f t="shared" ref="P55:Q58" si="78">K55/SUM(K$55:K$58)*(E$55/E$59-1)</f>
        <v>8.3756345177664976E-2</v>
      </c>
      <c r="Q55" s="1520">
        <f t="shared" si="78"/>
        <v>5.2148766661559584E-2</v>
      </c>
      <c r="R55" s="1469"/>
      <c r="S55" s="1470"/>
      <c r="T55" s="1471"/>
      <c r="U55" s="1471"/>
      <c r="V55" s="1471"/>
      <c r="X55" s="1521"/>
      <c r="Y55" s="1521"/>
      <c r="Z55" s="1521"/>
    </row>
    <row r="56" spans="1:26">
      <c r="A56" s="1456" t="s">
        <v>1196</v>
      </c>
      <c r="B56" s="1472">
        <f t="shared" ref="B56:C58" si="79">B57+(B$55-B$59)*I56/SUM(I$55:I$58)</f>
        <v>125.9720430107527</v>
      </c>
      <c r="C56" s="1472">
        <f t="shared" si="79"/>
        <v>125.1883408071749</v>
      </c>
      <c r="D56" s="1472">
        <f t="shared" si="49"/>
        <v>125.1883408071749</v>
      </c>
      <c r="E56" s="1472">
        <f t="shared" ref="E56:F58" si="80">E57+(E$55-E$59)*K56/SUM(K$55:K$58)</f>
        <v>144.61421319796952</v>
      </c>
      <c r="F56" s="1472">
        <f t="shared" si="80"/>
        <v>108.42008196721311</v>
      </c>
      <c r="G56" s="3399">
        <v>2005</v>
      </c>
      <c r="H56" s="1482">
        <v>3</v>
      </c>
      <c r="I56" s="1482">
        <v>0.46</v>
      </c>
      <c r="J56" s="1482">
        <v>0.32</v>
      </c>
      <c r="K56" s="1482">
        <v>0.42</v>
      </c>
      <c r="L56" s="1483">
        <v>0.64</v>
      </c>
      <c r="N56" s="1519">
        <f t="shared" si="77"/>
        <v>1.3898515951301874E-2</v>
      </c>
      <c r="O56" s="1520">
        <f t="shared" si="77"/>
        <v>1.0585900169080346E-2</v>
      </c>
      <c r="P56" s="1520">
        <f t="shared" si="78"/>
        <v>5.3299492385786795E-2</v>
      </c>
      <c r="Q56" s="1520">
        <f t="shared" si="78"/>
        <v>4.2898728359123568E-3</v>
      </c>
      <c r="R56" s="1469"/>
      <c r="S56" s="1467"/>
      <c r="T56" s="1468"/>
      <c r="U56" s="1468"/>
      <c r="V56" s="1468"/>
      <c r="X56" s="1521"/>
      <c r="Y56" s="1521"/>
      <c r="Z56" s="1521"/>
    </row>
    <row r="57" spans="1:26">
      <c r="A57" s="1456" t="s">
        <v>1197</v>
      </c>
      <c r="B57" s="1472">
        <f t="shared" si="79"/>
        <v>124.29032258064517</v>
      </c>
      <c r="C57" s="1472">
        <f t="shared" si="79"/>
        <v>123.8968609865471</v>
      </c>
      <c r="D57" s="1472">
        <f t="shared" si="49"/>
        <v>123.8968609865471</v>
      </c>
      <c r="E57" s="1472">
        <f t="shared" si="80"/>
        <v>138.00507614213197</v>
      </c>
      <c r="F57" s="1472">
        <f t="shared" si="80"/>
        <v>107.96106557377048</v>
      </c>
      <c r="G57" s="3399">
        <v>2005</v>
      </c>
      <c r="H57" s="1460">
        <v>2</v>
      </c>
      <c r="I57" s="1460">
        <v>0.47</v>
      </c>
      <c r="J57" s="1460">
        <v>0.1</v>
      </c>
      <c r="K57" s="1460">
        <v>0.52</v>
      </c>
      <c r="L57" s="1474">
        <v>0.79</v>
      </c>
      <c r="N57" s="1519">
        <f t="shared" si="77"/>
        <v>1.420065760241713E-2</v>
      </c>
      <c r="O57" s="1520">
        <f t="shared" si="77"/>
        <v>3.3080938028376083E-3</v>
      </c>
      <c r="P57" s="1520">
        <f t="shared" si="78"/>
        <v>6.598984771573603E-2</v>
      </c>
      <c r="Q57" s="1520">
        <f t="shared" si="78"/>
        <v>5.2953117818293153E-3</v>
      </c>
      <c r="R57" s="1469"/>
      <c r="S57" s="1467"/>
      <c r="T57" s="1468"/>
      <c r="U57" s="1468"/>
      <c r="V57" s="1468"/>
      <c r="X57" s="1521"/>
      <c r="Y57" s="1521"/>
      <c r="Z57" s="1521"/>
    </row>
    <row r="58" spans="1:26">
      <c r="A58" s="1456" t="s">
        <v>1198</v>
      </c>
      <c r="B58" s="1472">
        <f t="shared" si="79"/>
        <v>122.57204301075269</v>
      </c>
      <c r="C58" s="1472">
        <f t="shared" si="79"/>
        <v>123.4932735426009</v>
      </c>
      <c r="D58" s="1472">
        <f t="shared" si="49"/>
        <v>123.4932735426009</v>
      </c>
      <c r="E58" s="1472">
        <f t="shared" si="80"/>
        <v>129.82233502538071</v>
      </c>
      <c r="F58" s="1472">
        <f t="shared" si="80"/>
        <v>107.39446721311475</v>
      </c>
      <c r="G58" s="3400">
        <v>2005</v>
      </c>
      <c r="H58" s="1459">
        <v>1</v>
      </c>
      <c r="I58" s="1459">
        <v>0.43</v>
      </c>
      <c r="J58" s="1459">
        <v>0.37</v>
      </c>
      <c r="K58" s="1459">
        <v>0.37</v>
      </c>
      <c r="L58" s="1473">
        <v>0.55000000000000004</v>
      </c>
      <c r="N58" s="1522">
        <f t="shared" si="77"/>
        <v>1.2992090997956099E-2</v>
      </c>
      <c r="O58" s="1523">
        <f t="shared" si="77"/>
        <v>1.2239947070499151E-2</v>
      </c>
      <c r="P58" s="1523">
        <f t="shared" si="78"/>
        <v>4.6954314720812178E-2</v>
      </c>
      <c r="Q58" s="1523">
        <f t="shared" si="78"/>
        <v>3.6866094683621815E-3</v>
      </c>
      <c r="R58" s="1469"/>
      <c r="S58" s="1475">
        <f>B58/B59-1</f>
        <v>1.2992090997956174E-2</v>
      </c>
      <c r="T58" s="1476">
        <f>C58/C59-1</f>
        <v>1.2239947070499246E-2</v>
      </c>
      <c r="U58" s="1476">
        <f>E58/E59-1</f>
        <v>4.695431472081224E-2</v>
      </c>
      <c r="V58" s="1476">
        <f>F58/F59-1</f>
        <v>3.6866094683620787E-3</v>
      </c>
      <c r="X58" s="1521"/>
      <c r="Y58" s="1521"/>
      <c r="Z58" s="1521"/>
    </row>
    <row r="59" spans="1:26" ht="13.5" thickBot="1">
      <c r="A59" s="1456" t="s">
        <v>1199</v>
      </c>
      <c r="B59" s="1506">
        <v>121</v>
      </c>
      <c r="C59" s="1506">
        <v>122</v>
      </c>
      <c r="D59" s="1506">
        <f t="shared" si="49"/>
        <v>122</v>
      </c>
      <c r="E59" s="1506">
        <v>124</v>
      </c>
      <c r="F59" s="1507">
        <v>107</v>
      </c>
      <c r="G59" s="3398">
        <v>2004</v>
      </c>
      <c r="H59" s="1477">
        <v>4</v>
      </c>
      <c r="I59" s="1477">
        <v>0.33</v>
      </c>
      <c r="J59" s="1477">
        <v>0.5</v>
      </c>
      <c r="K59" s="1477">
        <v>0.5</v>
      </c>
      <c r="L59" s="1478">
        <v>0</v>
      </c>
      <c r="N59" s="1519">
        <f t="shared" ref="N59:O62" si="81">I59/SUM(I$59:I$62)*(B$59/B$63-1)</f>
        <v>1.3391770148526898E-2</v>
      </c>
      <c r="O59" s="1520">
        <f t="shared" si="81"/>
        <v>1.063264221158958E-2</v>
      </c>
      <c r="P59" s="1520">
        <f t="shared" ref="P59:Q62" si="82">K59/SUM(K$59:K$62)*(E$59/E$63-1)</f>
        <v>2.2244466688911134E-2</v>
      </c>
      <c r="Q59" s="1520">
        <f t="shared" si="82"/>
        <v>0</v>
      </c>
      <c r="R59" s="1469"/>
      <c r="S59" s="1470"/>
      <c r="T59" s="1471"/>
      <c r="U59" s="1471"/>
      <c r="V59" s="1471"/>
      <c r="X59" s="1521"/>
      <c r="Y59" s="1521"/>
      <c r="Z59" s="1521"/>
    </row>
    <row r="60" spans="1:26">
      <c r="A60" s="1456" t="s">
        <v>1200</v>
      </c>
      <c r="B60" s="1472">
        <f t="shared" ref="B60:C62" si="83">B61+(B$59-B$63)*I60/SUM(I$59:I$62)</f>
        <v>119.51351351351352</v>
      </c>
      <c r="C60" s="1472">
        <f t="shared" si="83"/>
        <v>120.7878787878788</v>
      </c>
      <c r="D60" s="1472">
        <f t="shared" si="49"/>
        <v>120.7878787878788</v>
      </c>
      <c r="E60" s="1472">
        <f t="shared" ref="E60:F62" si="84">E61+(E$59-E$63)*K60/SUM(K$59:K$62)</f>
        <v>121.5975975975976</v>
      </c>
      <c r="F60" s="1472">
        <f t="shared" si="84"/>
        <v>107</v>
      </c>
      <c r="G60" s="3399">
        <v>2004</v>
      </c>
      <c r="H60" s="1482">
        <v>3</v>
      </c>
      <c r="I60" s="1482">
        <v>0.56000000000000005</v>
      </c>
      <c r="J60" s="1482">
        <v>0.8</v>
      </c>
      <c r="K60" s="1482">
        <v>0.83</v>
      </c>
      <c r="L60" s="1483">
        <v>0.06</v>
      </c>
      <c r="N60" s="1519">
        <f t="shared" si="81"/>
        <v>2.2725428130833527E-2</v>
      </c>
      <c r="O60" s="1520">
        <f t="shared" si="81"/>
        <v>1.7012227538543329E-2</v>
      </c>
      <c r="P60" s="1520">
        <f t="shared" si="82"/>
        <v>3.6925814703592477E-2</v>
      </c>
      <c r="Q60" s="1520">
        <f t="shared" si="82"/>
        <v>2.8846153846153744E-2</v>
      </c>
      <c r="R60" s="1469"/>
      <c r="S60" s="1467"/>
      <c r="T60" s="1468"/>
      <c r="U60" s="1468"/>
      <c r="V60" s="1468"/>
      <c r="X60" s="1521"/>
      <c r="Y60" s="1521"/>
      <c r="Z60" s="1521"/>
    </row>
    <row r="61" spans="1:26">
      <c r="A61" s="1456" t="s">
        <v>1201</v>
      </c>
      <c r="B61" s="1472">
        <f t="shared" si="83"/>
        <v>116.99099099099099</v>
      </c>
      <c r="C61" s="1472">
        <f t="shared" si="83"/>
        <v>118.84848484848486</v>
      </c>
      <c r="D61" s="1472">
        <f t="shared" si="49"/>
        <v>118.84848484848486</v>
      </c>
      <c r="E61" s="1472">
        <f t="shared" si="84"/>
        <v>117.60960960960961</v>
      </c>
      <c r="F61" s="1472">
        <f t="shared" si="84"/>
        <v>104</v>
      </c>
      <c r="G61" s="3399">
        <v>2004</v>
      </c>
      <c r="H61" s="1460">
        <v>2</v>
      </c>
      <c r="I61" s="1460">
        <v>1</v>
      </c>
      <c r="J61" s="1460">
        <v>1.5</v>
      </c>
      <c r="K61" s="1460">
        <v>1.5</v>
      </c>
      <c r="L61" s="1474">
        <v>0</v>
      </c>
      <c r="N61" s="1519">
        <f t="shared" si="81"/>
        <v>4.0581121662202721E-2</v>
      </c>
      <c r="O61" s="1520">
        <f t="shared" si="81"/>
        <v>3.1897926634768738E-2</v>
      </c>
      <c r="P61" s="1520">
        <f t="shared" si="82"/>
        <v>6.6733400066733395E-2</v>
      </c>
      <c r="Q61" s="1520">
        <f t="shared" si="82"/>
        <v>0</v>
      </c>
      <c r="R61" s="1469"/>
      <c r="S61" s="1467"/>
      <c r="T61" s="1468"/>
      <c r="U61" s="1468"/>
      <c r="V61" s="1468"/>
      <c r="X61" s="1521"/>
      <c r="Y61" s="1521"/>
      <c r="Z61" s="1521"/>
    </row>
    <row r="62" spans="1:26" s="1512" customFormat="1" ht="13.5" thickBot="1">
      <c r="A62" s="1456" t="s">
        <v>1202</v>
      </c>
      <c r="B62" s="1509">
        <f t="shared" si="83"/>
        <v>112.48648648648648</v>
      </c>
      <c r="C62" s="1509">
        <f t="shared" si="83"/>
        <v>115.21212121212122</v>
      </c>
      <c r="D62" s="1509">
        <f t="shared" si="49"/>
        <v>115.21212121212122</v>
      </c>
      <c r="E62" s="1509">
        <f t="shared" si="84"/>
        <v>110.4024024024024</v>
      </c>
      <c r="F62" s="1509">
        <f t="shared" si="84"/>
        <v>104</v>
      </c>
      <c r="G62" s="3400">
        <v>2004</v>
      </c>
      <c r="H62" s="1510">
        <v>1</v>
      </c>
      <c r="I62" s="1510">
        <v>0.33</v>
      </c>
      <c r="J62" s="1510">
        <v>0.5</v>
      </c>
      <c r="K62" s="1510">
        <v>0.5</v>
      </c>
      <c r="L62" s="1511">
        <v>0</v>
      </c>
      <c r="N62" s="1524">
        <f t="shared" si="81"/>
        <v>1.3391770148526898E-2</v>
      </c>
      <c r="O62" s="1525">
        <f t="shared" si="81"/>
        <v>1.063264221158958E-2</v>
      </c>
      <c r="P62" s="1525">
        <f t="shared" si="82"/>
        <v>2.2244466688911134E-2</v>
      </c>
      <c r="Q62" s="1525">
        <f t="shared" si="82"/>
        <v>0</v>
      </c>
      <c r="R62" s="1515"/>
      <c r="S62" s="1513">
        <f>B62/B63-1</f>
        <v>1.3391770148526883E-2</v>
      </c>
      <c r="T62" s="1514">
        <f>C62/C63-1</f>
        <v>1.063264221158966E-2</v>
      </c>
      <c r="U62" s="1514">
        <f>E62/E63-1</f>
        <v>2.2244466688911224E-2</v>
      </c>
      <c r="V62" s="1514">
        <f>F62/F63-1</f>
        <v>0</v>
      </c>
      <c r="X62" s="1526"/>
      <c r="Y62" s="1526"/>
      <c r="Z62" s="1526"/>
    </row>
    <row r="63" spans="1:26" ht="13.5" thickBot="1">
      <c r="A63" s="1456" t="s">
        <v>1203</v>
      </c>
      <c r="B63" s="1527">
        <v>111</v>
      </c>
      <c r="C63" s="1527">
        <v>114</v>
      </c>
      <c r="D63" s="1527">
        <f t="shared" si="49"/>
        <v>114</v>
      </c>
      <c r="E63" s="1527">
        <v>108</v>
      </c>
      <c r="F63" s="1528">
        <v>104</v>
      </c>
      <c r="G63" s="3398">
        <v>2003</v>
      </c>
      <c r="H63" s="1517">
        <v>4</v>
      </c>
      <c r="I63" s="1529"/>
      <c r="J63" s="1529"/>
      <c r="K63" s="1529"/>
      <c r="L63" s="1529"/>
      <c r="N63" s="1530"/>
      <c r="O63" s="1529"/>
      <c r="P63" s="1529"/>
      <c r="Q63" s="1529"/>
      <c r="S63" s="1530"/>
      <c r="T63" s="1529"/>
      <c r="U63" s="1529"/>
      <c r="V63" s="1529"/>
      <c r="X63" s="1521"/>
      <c r="Y63" s="1521"/>
      <c r="Z63" s="1521"/>
    </row>
    <row r="64" spans="1:26">
      <c r="A64" s="1456" t="s">
        <v>1204</v>
      </c>
      <c r="B64" s="1531">
        <f t="shared" ref="B64:C66" si="85">B65+(B$63-B$67)/4</f>
        <v>109.75</v>
      </c>
      <c r="C64" s="1531">
        <f t="shared" si="85"/>
        <v>112.25</v>
      </c>
      <c r="D64" s="1531">
        <f t="shared" si="49"/>
        <v>112.25</v>
      </c>
      <c r="E64" s="1531">
        <f t="shared" ref="E64:F66" si="86">E65+(E$63-E$67)/4</f>
        <v>107.25</v>
      </c>
      <c r="F64" s="1531">
        <f t="shared" si="86"/>
        <v>103.5</v>
      </c>
      <c r="G64" s="3399">
        <v>2003</v>
      </c>
      <c r="H64" s="1482">
        <v>3</v>
      </c>
      <c r="I64" s="1529"/>
      <c r="J64" s="1529"/>
      <c r="K64" s="1529"/>
      <c r="L64" s="1529"/>
      <c r="X64" s="1521"/>
      <c r="Y64" s="1521"/>
      <c r="Z64" s="1521"/>
    </row>
    <row r="65" spans="1:26">
      <c r="A65" s="1456" t="s">
        <v>1205</v>
      </c>
      <c r="B65" s="1531">
        <f t="shared" si="85"/>
        <v>108.5</v>
      </c>
      <c r="C65" s="1531">
        <f t="shared" si="85"/>
        <v>110.5</v>
      </c>
      <c r="D65" s="1531">
        <f t="shared" si="49"/>
        <v>110.5</v>
      </c>
      <c r="E65" s="1531">
        <f t="shared" si="86"/>
        <v>106.5</v>
      </c>
      <c r="F65" s="1531">
        <f t="shared" si="86"/>
        <v>103</v>
      </c>
      <c r="G65" s="3399">
        <v>2003</v>
      </c>
      <c r="H65" s="1460">
        <v>2</v>
      </c>
      <c r="I65" s="1529"/>
      <c r="J65" s="1529"/>
      <c r="K65" s="1529"/>
      <c r="L65" s="1529"/>
      <c r="X65" s="1521"/>
      <c r="Y65" s="1521"/>
      <c r="Z65" s="1521"/>
    </row>
    <row r="66" spans="1:26" ht="13.5" thickBot="1">
      <c r="A66" s="1456" t="s">
        <v>1206</v>
      </c>
      <c r="B66" s="1531">
        <f t="shared" si="85"/>
        <v>107.25</v>
      </c>
      <c r="C66" s="1531">
        <f t="shared" si="85"/>
        <v>108.75</v>
      </c>
      <c r="D66" s="1531">
        <f t="shared" si="49"/>
        <v>108.75</v>
      </c>
      <c r="E66" s="1531">
        <f t="shared" si="86"/>
        <v>105.75</v>
      </c>
      <c r="F66" s="1531">
        <f t="shared" si="86"/>
        <v>102.5</v>
      </c>
      <c r="G66" s="3400">
        <v>2003</v>
      </c>
      <c r="H66" s="1532">
        <v>1</v>
      </c>
      <c r="I66" s="1529"/>
      <c r="J66" s="1529"/>
      <c r="K66" s="1529"/>
      <c r="L66" s="1529"/>
      <c r="S66" s="1467"/>
      <c r="T66" s="1468"/>
      <c r="U66" s="1468"/>
      <c r="X66" s="1521"/>
      <c r="Y66" s="1521"/>
      <c r="Z66" s="1521"/>
    </row>
    <row r="67" spans="1:26" ht="13.5" thickBot="1">
      <c r="A67" s="1456" t="s">
        <v>1207</v>
      </c>
      <c r="B67" s="1533">
        <v>106</v>
      </c>
      <c r="C67" s="1533">
        <v>107</v>
      </c>
      <c r="D67" s="1533">
        <f t="shared" si="49"/>
        <v>107</v>
      </c>
      <c r="E67" s="1533">
        <v>105</v>
      </c>
      <c r="F67" s="1534">
        <v>102</v>
      </c>
      <c r="G67" s="3398">
        <v>2002</v>
      </c>
      <c r="H67" s="1477">
        <v>4</v>
      </c>
      <c r="I67" s="1529"/>
      <c r="J67" s="1529"/>
      <c r="K67" s="1529"/>
      <c r="L67" s="1529"/>
      <c r="N67" s="1530"/>
      <c r="O67" s="1529"/>
      <c r="P67" s="1529"/>
      <c r="Q67" s="1529"/>
      <c r="S67" s="1530"/>
      <c r="T67" s="1529"/>
      <c r="U67" s="1529"/>
      <c r="V67" s="1529"/>
      <c r="X67" s="1521"/>
      <c r="Y67" s="1521"/>
      <c r="Z67" s="1521"/>
    </row>
    <row r="68" spans="1:26">
      <c r="A68" s="1456" t="s">
        <v>1208</v>
      </c>
      <c r="B68" s="1531">
        <f t="shared" ref="B68:C70" si="87">B69+(B$67-B$71)/4</f>
        <v>105</v>
      </c>
      <c r="C68" s="1531">
        <f t="shared" si="87"/>
        <v>106</v>
      </c>
      <c r="D68" s="1531">
        <f t="shared" si="49"/>
        <v>106</v>
      </c>
      <c r="E68" s="1531">
        <f t="shared" ref="E68:F70" si="88">E69+(E$67-E$71)/4</f>
        <v>104.5</v>
      </c>
      <c r="F68" s="1531">
        <f t="shared" si="88"/>
        <v>101.5</v>
      </c>
      <c r="G68" s="3399">
        <v>2002</v>
      </c>
      <c r="H68" s="1482">
        <v>3</v>
      </c>
      <c r="I68" s="1529"/>
      <c r="J68" s="1529"/>
      <c r="K68" s="1529"/>
      <c r="L68" s="1529"/>
      <c r="X68" s="1521"/>
      <c r="Y68" s="1521"/>
      <c r="Z68" s="1521"/>
    </row>
    <row r="69" spans="1:26">
      <c r="A69" s="1456" t="s">
        <v>1209</v>
      </c>
      <c r="B69" s="1531">
        <f t="shared" si="87"/>
        <v>104</v>
      </c>
      <c r="C69" s="1531">
        <f t="shared" si="87"/>
        <v>105</v>
      </c>
      <c r="D69" s="1531">
        <f t="shared" si="49"/>
        <v>105</v>
      </c>
      <c r="E69" s="1531">
        <f t="shared" si="88"/>
        <v>104</v>
      </c>
      <c r="F69" s="1531">
        <f t="shared" si="88"/>
        <v>101</v>
      </c>
      <c r="G69" s="3399">
        <v>2002</v>
      </c>
      <c r="H69" s="1460">
        <v>2</v>
      </c>
      <c r="I69" s="1529"/>
      <c r="J69" s="1529"/>
      <c r="K69" s="1529"/>
      <c r="L69" s="1529"/>
      <c r="X69" s="1521"/>
      <c r="Y69" s="1521"/>
      <c r="Z69" s="1521"/>
    </row>
    <row r="70" spans="1:26" s="1493" customFormat="1" ht="13.5" thickBot="1">
      <c r="A70" s="1489" t="s">
        <v>1210</v>
      </c>
      <c r="B70" s="1535">
        <f t="shared" si="87"/>
        <v>103</v>
      </c>
      <c r="C70" s="1535">
        <f t="shared" si="87"/>
        <v>104</v>
      </c>
      <c r="D70" s="1535">
        <f t="shared" si="49"/>
        <v>104</v>
      </c>
      <c r="E70" s="1535">
        <f t="shared" si="88"/>
        <v>103.5</v>
      </c>
      <c r="F70" s="1535">
        <f t="shared" si="88"/>
        <v>100.5</v>
      </c>
      <c r="G70" s="3400">
        <v>2002</v>
      </c>
      <c r="H70" s="1536">
        <v>1</v>
      </c>
      <c r="I70" s="1537"/>
      <c r="J70" s="1537"/>
      <c r="K70" s="1537"/>
      <c r="L70" s="1537"/>
      <c r="N70" s="1538"/>
      <c r="S70" s="1538"/>
      <c r="X70" s="1539"/>
      <c r="Y70" s="1539"/>
      <c r="Z70" s="1539"/>
    </row>
    <row r="71" spans="1:26" ht="13.5" thickBot="1">
      <c r="B71" s="1540">
        <v>102</v>
      </c>
      <c r="C71" s="1541">
        <v>103</v>
      </c>
      <c r="D71" s="1541">
        <f t="shared" si="49"/>
        <v>103</v>
      </c>
      <c r="E71" s="1541">
        <v>103</v>
      </c>
      <c r="F71" s="1542">
        <v>100</v>
      </c>
      <c r="I71" s="1529"/>
      <c r="J71" s="1529"/>
      <c r="K71" s="1529"/>
      <c r="L71" s="1529"/>
      <c r="N71" s="1530"/>
      <c r="O71" s="1529"/>
      <c r="P71" s="1529"/>
      <c r="Q71" s="1529"/>
      <c r="S71" s="1530"/>
      <c r="T71" s="1529"/>
      <c r="U71" s="1529"/>
      <c r="V71" s="1529"/>
      <c r="X71" s="1471"/>
      <c r="Y71" s="1471"/>
      <c r="Z71" s="1471"/>
    </row>
    <row r="73" spans="1:26" s="1544" customFormat="1">
      <c r="A73" s="1543" t="s">
        <v>1211</v>
      </c>
      <c r="G73" s="1545"/>
      <c r="N73" s="1545"/>
      <c r="S73" s="1545"/>
    </row>
    <row r="74" spans="1:26" s="1544" customFormat="1">
      <c r="A74" s="1544" t="s">
        <v>1212</v>
      </c>
      <c r="G74" s="1545"/>
      <c r="N74" s="1545"/>
      <c r="S74" s="1545"/>
    </row>
    <row r="75" spans="1:26" s="1544" customFormat="1">
      <c r="A75" s="1544" t="s">
        <v>1213</v>
      </c>
      <c r="G75" s="1545"/>
      <c r="I75" s="1546"/>
      <c r="J75" s="1546"/>
      <c r="K75" s="1546"/>
      <c r="L75" s="1546"/>
      <c r="N75" s="1547"/>
      <c r="O75" s="1546"/>
      <c r="P75" s="1546"/>
      <c r="Q75" s="1546"/>
      <c r="S75" s="1547"/>
      <c r="T75" s="1546"/>
      <c r="U75" s="1546"/>
      <c r="V75" s="1546"/>
    </row>
    <row r="76" spans="1:26" s="1544" customFormat="1">
      <c r="A76" s="1544" t="s">
        <v>1214</v>
      </c>
      <c r="G76" s="1545"/>
      <c r="N76" s="1545"/>
      <c r="S76" s="1545"/>
    </row>
    <row r="83" spans="7:22" ht="13.5" thickBot="1"/>
    <row r="84" spans="7:22">
      <c r="G84" s="1466"/>
      <c r="S84" s="1548" t="s">
        <v>1215</v>
      </c>
      <c r="T84" s="1549" t="s">
        <v>1216</v>
      </c>
      <c r="U84" s="1549" t="s">
        <v>1217</v>
      </c>
      <c r="V84" s="1549" t="s">
        <v>1218</v>
      </c>
    </row>
    <row r="85" spans="7:22">
      <c r="G85" s="1466"/>
      <c r="N85" s="1470"/>
      <c r="O85" s="1471"/>
      <c r="P85" s="1471"/>
      <c r="Q85" s="1471"/>
      <c r="S85" s="1550">
        <v>2006</v>
      </c>
      <c r="T85" s="1551">
        <v>15.1</v>
      </c>
      <c r="U85" s="1551">
        <v>7.43</v>
      </c>
      <c r="V85" s="1551">
        <v>26.26</v>
      </c>
    </row>
    <row r="86" spans="7:22">
      <c r="G86" s="1466"/>
      <c r="N86" s="1470"/>
      <c r="O86" s="1471"/>
      <c r="P86" s="1471"/>
      <c r="Q86" s="1471"/>
      <c r="S86" s="1552">
        <v>2005</v>
      </c>
      <c r="T86" s="1553">
        <v>13.9</v>
      </c>
      <c r="U86" s="1553">
        <v>7.49</v>
      </c>
      <c r="V86" s="1553">
        <v>24.92</v>
      </c>
    </row>
    <row r="87" spans="7:22">
      <c r="G87" s="1466"/>
      <c r="N87" s="1470"/>
      <c r="O87" s="1471"/>
      <c r="P87" s="1471"/>
      <c r="Q87" s="1471"/>
      <c r="S87" s="1550">
        <v>2004</v>
      </c>
      <c r="T87" s="1551">
        <v>9.48</v>
      </c>
      <c r="U87" s="1551">
        <v>7.2</v>
      </c>
      <c r="V87" s="1551">
        <v>14.68</v>
      </c>
    </row>
    <row r="88" spans="7:22">
      <c r="G88" s="1466"/>
      <c r="N88" s="1470"/>
      <c r="O88" s="1471"/>
      <c r="P88" s="1471"/>
      <c r="Q88" s="1471"/>
      <c r="S88" s="1552">
        <v>2003</v>
      </c>
      <c r="T88" s="1553">
        <v>4.5</v>
      </c>
      <c r="U88" s="1553">
        <v>6.12</v>
      </c>
      <c r="V88" s="1553">
        <v>2.34</v>
      </c>
    </row>
    <row r="89" spans="7:22" ht="13.5" thickBot="1">
      <c r="G89" s="1466"/>
      <c r="N89" s="1470"/>
      <c r="O89" s="1471"/>
      <c r="P89" s="1471"/>
      <c r="Q89" s="1471"/>
      <c r="S89" s="1554">
        <v>2002</v>
      </c>
      <c r="T89" s="1555">
        <v>3.59</v>
      </c>
      <c r="U89" s="1555">
        <v>4.54</v>
      </c>
      <c r="V89" s="1555">
        <v>2.5499999999999998</v>
      </c>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4" sqref="U24"/>
    </sheetView>
  </sheetViews>
  <sheetFormatPr defaultRowHeight="12.75"/>
  <cols>
    <col min="1" max="1" width="47.875" style="138" customWidth="1"/>
    <col min="2" max="2" width="9.25" style="26" customWidth="1"/>
    <col min="3" max="3" width="6.37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8"/>
    <col min="20" max="45" width="9" style="789"/>
    <col min="46" max="16384" width="9" style="138"/>
  </cols>
  <sheetData>
    <row r="1" spans="1:45" ht="14.25" customHeight="1" thickBot="1">
      <c r="A1" s="154"/>
      <c r="B1" s="1201" t="s">
        <v>3005</v>
      </c>
      <c r="C1" s="3407" t="s">
        <v>3006</v>
      </c>
      <c r="D1" s="3408"/>
      <c r="E1" s="3408"/>
      <c r="F1" s="3408"/>
      <c r="G1" s="3408"/>
      <c r="H1" s="3408"/>
      <c r="I1" s="3408"/>
      <c r="J1" s="3408"/>
      <c r="K1" s="3408"/>
      <c r="L1" s="3408"/>
      <c r="M1" s="3408"/>
      <c r="N1" s="3408"/>
      <c r="O1" s="3408"/>
      <c r="P1" s="3408"/>
      <c r="Q1" s="3408"/>
      <c r="R1" s="3408"/>
      <c r="S1" s="3409"/>
      <c r="T1" s="1201" t="s">
        <v>3007</v>
      </c>
    </row>
    <row r="2" spans="1:45" s="705" customFormat="1" ht="38.25">
      <c r="A2" s="1202"/>
      <c r="B2" s="701" t="s">
        <v>3008</v>
      </c>
      <c r="C2" s="702" t="str">
        <f t="shared" ref="C2:L2" si="0">C3&amp;"(含)"&amp;"-"&amp;D3</f>
        <v>0(含)-100</v>
      </c>
      <c r="D2" s="703" t="str">
        <f t="shared" si="0"/>
        <v>100(含)-200</v>
      </c>
      <c r="E2" s="703" t="str">
        <f t="shared" si="0"/>
        <v>200(含)-300</v>
      </c>
      <c r="F2" s="703" t="str">
        <f t="shared" si="0"/>
        <v>300(含)-400</v>
      </c>
      <c r="G2" s="703" t="str">
        <f t="shared" si="0"/>
        <v>400(含)-500</v>
      </c>
      <c r="H2" s="703" t="str">
        <f t="shared" si="0"/>
        <v>500(含)-1000</v>
      </c>
      <c r="I2" s="703" t="str">
        <f t="shared" si="0"/>
        <v>1000(含)-2000</v>
      </c>
      <c r="J2" s="703" t="str">
        <f t="shared" si="0"/>
        <v>2000(含)-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8" customFormat="1">
      <c r="A3" s="1204"/>
      <c r="B3" s="706"/>
      <c r="C3" s="3048">
        <v>0</v>
      </c>
      <c r="D3" s="3049">
        <v>100</v>
      </c>
      <c r="E3" s="3049">
        <v>200</v>
      </c>
      <c r="F3" s="3049">
        <v>300</v>
      </c>
      <c r="G3" s="3049">
        <v>400</v>
      </c>
      <c r="H3" s="1699">
        <v>500</v>
      </c>
      <c r="I3" s="1699">
        <v>1000</v>
      </c>
      <c r="J3" s="1699">
        <v>2000</v>
      </c>
      <c r="K3" s="1699"/>
      <c r="L3" s="1700"/>
      <c r="M3" s="1701"/>
      <c r="N3" s="1701"/>
      <c r="O3" s="1699"/>
      <c r="P3" s="1699"/>
      <c r="Q3" s="1699"/>
      <c r="R3" s="1699"/>
      <c r="S3" s="1702"/>
      <c r="T3" s="707"/>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8" customFormat="1" ht="13.5" thickBot="1">
      <c r="A4" s="1205"/>
      <c r="B4" s="1206"/>
      <c r="C4" s="3050">
        <v>100</v>
      </c>
      <c r="D4" s="3051">
        <v>99</v>
      </c>
      <c r="E4" s="3051">
        <v>98</v>
      </c>
      <c r="F4" s="3051">
        <v>97</v>
      </c>
      <c r="G4" s="3051">
        <v>96</v>
      </c>
      <c r="H4" s="1703">
        <v>95</v>
      </c>
      <c r="I4" s="1703">
        <v>94</v>
      </c>
      <c r="J4" s="1703">
        <v>93</v>
      </c>
      <c r="K4" s="1703"/>
      <c r="L4" s="1703"/>
      <c r="M4" s="1704"/>
      <c r="N4" s="1704"/>
      <c r="O4" s="1703"/>
      <c r="P4" s="1703"/>
      <c r="Q4" s="1703"/>
      <c r="R4" s="1703"/>
      <c r="S4" s="1705"/>
      <c r="T4" s="121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7" customFormat="1" ht="24">
      <c r="A5" s="1212"/>
      <c r="B5" s="3075" t="s">
        <v>3368</v>
      </c>
      <c r="C5" s="3015" t="s">
        <v>3214</v>
      </c>
      <c r="D5" s="3016" t="s">
        <v>3216</v>
      </c>
      <c r="E5" s="1214"/>
      <c r="F5" s="1706"/>
      <c r="G5" s="1706"/>
      <c r="H5" s="1706"/>
      <c r="I5" s="1706"/>
      <c r="J5" s="1706"/>
      <c r="K5" s="1706"/>
      <c r="L5" s="1707"/>
      <c r="M5" s="1708"/>
      <c r="N5" s="1708"/>
      <c r="O5" s="1706"/>
      <c r="P5" s="1706"/>
      <c r="Q5" s="1706"/>
      <c r="R5" s="1706"/>
      <c r="S5" s="1709"/>
      <c r="T5" s="1216">
        <v>3</v>
      </c>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7" customFormat="1" ht="13.5" thickBot="1">
      <c r="A6" s="1212"/>
      <c r="B6" s="1113"/>
      <c r="C6" s="1119">
        <v>100</v>
      </c>
      <c r="D6" s="1116">
        <f>C6-$T5</f>
        <v>97</v>
      </c>
      <c r="E6" s="1116">
        <f t="shared" ref="E6:S6" si="7">D6-$T5</f>
        <v>94</v>
      </c>
      <c r="F6" s="1710">
        <f t="shared" si="7"/>
        <v>91</v>
      </c>
      <c r="G6" s="1710">
        <f t="shared" si="7"/>
        <v>88</v>
      </c>
      <c r="H6" s="1710">
        <f t="shared" si="7"/>
        <v>85</v>
      </c>
      <c r="I6" s="1710">
        <f t="shared" si="7"/>
        <v>82</v>
      </c>
      <c r="J6" s="1710">
        <f t="shared" si="7"/>
        <v>79</v>
      </c>
      <c r="K6" s="1710">
        <f t="shared" si="7"/>
        <v>76</v>
      </c>
      <c r="L6" s="1710">
        <f t="shared" si="7"/>
        <v>73</v>
      </c>
      <c r="M6" s="1710">
        <f t="shared" si="7"/>
        <v>70</v>
      </c>
      <c r="N6" s="1710">
        <f t="shared" si="7"/>
        <v>67</v>
      </c>
      <c r="O6" s="1710">
        <f t="shared" si="7"/>
        <v>64</v>
      </c>
      <c r="P6" s="1710">
        <f t="shared" si="7"/>
        <v>61</v>
      </c>
      <c r="Q6" s="1710">
        <f t="shared" si="7"/>
        <v>58</v>
      </c>
      <c r="R6" s="1710">
        <f t="shared" si="7"/>
        <v>55</v>
      </c>
      <c r="S6" s="1710">
        <f t="shared" si="7"/>
        <v>52</v>
      </c>
      <c r="T6" s="1115"/>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7" customFormat="1">
      <c r="A7" s="1212"/>
      <c r="B7" s="3076" t="s">
        <v>3369</v>
      </c>
      <c r="C7" s="3077" t="s">
        <v>3370</v>
      </c>
      <c r="D7" s="3078" t="s">
        <v>3371</v>
      </c>
      <c r="E7" s="3078" t="s">
        <v>3372</v>
      </c>
      <c r="F7" s="1711"/>
      <c r="G7" s="1711"/>
      <c r="H7" s="1711"/>
      <c r="I7" s="1711"/>
      <c r="J7" s="1711"/>
      <c r="K7" s="1711"/>
      <c r="L7" s="1711"/>
      <c r="M7" s="1712"/>
      <c r="N7" s="1713"/>
      <c r="O7" s="1714"/>
      <c r="P7" s="1715"/>
      <c r="Q7" s="1716"/>
      <c r="R7" s="1717"/>
      <c r="S7" s="1718"/>
      <c r="T7" s="709">
        <v>5</v>
      </c>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7" customFormat="1" ht="13.5" thickBot="1">
      <c r="A8" s="1212"/>
      <c r="B8" s="1113"/>
      <c r="C8" s="1119">
        <v>100</v>
      </c>
      <c r="D8" s="1116">
        <f>C8-$T7</f>
        <v>95</v>
      </c>
      <c r="E8" s="1116">
        <f t="shared" ref="E8:S8" si="8">D8-$T7</f>
        <v>90</v>
      </c>
      <c r="F8" s="1710">
        <f t="shared" si="8"/>
        <v>85</v>
      </c>
      <c r="G8" s="1710">
        <f t="shared" si="8"/>
        <v>80</v>
      </c>
      <c r="H8" s="1710">
        <f t="shared" si="8"/>
        <v>75</v>
      </c>
      <c r="I8" s="1710">
        <f t="shared" si="8"/>
        <v>70</v>
      </c>
      <c r="J8" s="1710">
        <f t="shared" si="8"/>
        <v>65</v>
      </c>
      <c r="K8" s="1710">
        <f t="shared" si="8"/>
        <v>60</v>
      </c>
      <c r="L8" s="1710">
        <f t="shared" si="8"/>
        <v>55</v>
      </c>
      <c r="M8" s="1710">
        <f t="shared" si="8"/>
        <v>50</v>
      </c>
      <c r="N8" s="1710">
        <f t="shared" si="8"/>
        <v>45</v>
      </c>
      <c r="O8" s="1710">
        <f t="shared" si="8"/>
        <v>40</v>
      </c>
      <c r="P8" s="1710">
        <f t="shared" si="8"/>
        <v>35</v>
      </c>
      <c r="Q8" s="1710">
        <f t="shared" si="8"/>
        <v>30</v>
      </c>
      <c r="R8" s="1710">
        <f t="shared" si="8"/>
        <v>25</v>
      </c>
      <c r="S8" s="1710">
        <f t="shared" si="8"/>
        <v>20</v>
      </c>
      <c r="T8" s="1115"/>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7" customFormat="1">
      <c r="A9" s="1212"/>
      <c r="B9" s="1765" t="s">
        <v>3009</v>
      </c>
      <c r="C9" s="1118"/>
      <c r="D9" s="1112"/>
      <c r="E9" s="1112"/>
      <c r="F9" s="1711"/>
      <c r="G9" s="1711"/>
      <c r="H9" s="1711"/>
      <c r="I9" s="1711"/>
      <c r="J9" s="1711"/>
      <c r="K9" s="1711"/>
      <c r="L9" s="1719"/>
      <c r="M9" s="1712"/>
      <c r="N9" s="1713"/>
      <c r="O9" s="1714"/>
      <c r="P9" s="1715"/>
      <c r="Q9" s="1716"/>
      <c r="R9" s="1717"/>
      <c r="S9" s="1718"/>
      <c r="T9" s="709"/>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7"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7" customFormat="1">
      <c r="A11" s="1212"/>
      <c r="B11" s="1764" t="s">
        <v>3010</v>
      </c>
      <c r="C11" s="1213"/>
      <c r="D11" s="1214"/>
      <c r="E11" s="1214"/>
      <c r="F11" s="1214"/>
      <c r="G11" s="1214"/>
      <c r="H11" s="1214"/>
      <c r="I11" s="1214"/>
      <c r="J11" s="1214"/>
      <c r="K11" s="1214"/>
      <c r="L11" s="1214"/>
      <c r="M11" s="1215"/>
      <c r="N11" s="1219"/>
      <c r="O11" s="1220"/>
      <c r="P11" s="1221"/>
      <c r="Q11" s="1222"/>
      <c r="R11" s="1223"/>
      <c r="S11" s="1224"/>
      <c r="T11" s="1216"/>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7" customFormat="1">
      <c r="A13" s="1212"/>
      <c r="B13" s="1764" t="s">
        <v>3011</v>
      </c>
      <c r="C13" s="1213"/>
      <c r="D13" s="1214"/>
      <c r="E13" s="1214"/>
      <c r="F13" s="1214"/>
      <c r="G13" s="1214"/>
      <c r="H13" s="1214"/>
      <c r="I13" s="1214"/>
      <c r="J13" s="1214"/>
      <c r="K13" s="1214"/>
      <c r="L13" s="1214"/>
      <c r="M13" s="1215"/>
      <c r="N13" s="1219"/>
      <c r="O13" s="1220"/>
      <c r="P13" s="1221"/>
      <c r="Q13" s="1222"/>
      <c r="R13" s="1223"/>
      <c r="S13" s="1224"/>
      <c r="T13" s="1225"/>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7" customFormat="1">
      <c r="A15" s="1212"/>
      <c r="B15" s="1764" t="s">
        <v>3012</v>
      </c>
      <c r="C15" s="1213"/>
      <c r="D15" s="1214"/>
      <c r="E15" s="1214"/>
      <c r="F15" s="1214"/>
      <c r="G15" s="1214"/>
      <c r="H15" s="1214"/>
      <c r="I15" s="1214"/>
      <c r="J15" s="1214"/>
      <c r="K15" s="1214"/>
      <c r="L15" s="1214"/>
      <c r="M15" s="1215"/>
      <c r="N15" s="1219"/>
      <c r="O15" s="1220"/>
      <c r="P15" s="1221"/>
      <c r="Q15" s="1222"/>
      <c r="R15" s="1223"/>
      <c r="S15" s="1224"/>
      <c r="T15" s="1225"/>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5" customFormat="1">
      <c r="A17" s="2909" t="s">
        <v>3013</v>
      </c>
      <c r="B17" s="2910" t="s">
        <v>3014</v>
      </c>
      <c r="C17" s="3042" t="s">
        <v>3280</v>
      </c>
      <c r="D17" s="3043" t="s">
        <v>3281</v>
      </c>
      <c r="E17" s="3043" t="s">
        <v>3282</v>
      </c>
      <c r="F17" s="3043" t="s">
        <v>3283</v>
      </c>
      <c r="G17" s="3043" t="s">
        <v>3284</v>
      </c>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0"/>
      <c r="AS17" s="790"/>
    </row>
    <row r="18" spans="1:45" s="705" customFormat="1" ht="13.5" thickBot="1">
      <c r="A18" s="1237"/>
      <c r="B18" s="1238"/>
      <c r="C18" s="3044">
        <v>100</v>
      </c>
      <c r="D18" s="3045">
        <v>85</v>
      </c>
      <c r="E18" s="3045">
        <v>70</v>
      </c>
      <c r="F18" s="3045">
        <v>60</v>
      </c>
      <c r="G18" s="3045">
        <v>50</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0"/>
      <c r="AS18" s="790"/>
    </row>
    <row r="19" spans="1:45">
      <c r="A19" s="137"/>
      <c r="B19" s="167"/>
      <c r="C19" s="167"/>
      <c r="D19" s="2911" t="s">
        <v>3015</v>
      </c>
      <c r="E19" s="1787"/>
      <c r="F19" s="1787"/>
      <c r="G19" s="1787"/>
      <c r="H19" s="1275"/>
      <c r="I19" s="167"/>
      <c r="J19" s="167"/>
      <c r="K19" s="167"/>
      <c r="L19" s="167"/>
      <c r="M19" s="167"/>
      <c r="N19" s="167"/>
      <c r="O19" s="167"/>
      <c r="P19" s="167"/>
      <c r="Q19" s="167"/>
      <c r="R19" s="782"/>
      <c r="S19" s="137"/>
    </row>
    <row r="20" spans="1:45" ht="16.5" thickBot="1">
      <c r="A20" s="711" t="s">
        <v>3016</v>
      </c>
      <c r="B20" s="337">
        <f ca="1">IF(D20="——",S22,S22-F20)</f>
        <v>38497</v>
      </c>
      <c r="C20" s="167"/>
      <c r="D20" s="2912" t="s">
        <v>70</v>
      </c>
      <c r="E20" s="1788"/>
      <c r="F20" s="1201">
        <f ca="1">SUMIF(INDIRECT("'"&amp;H20&amp;"'"&amp;"!A:A"),"承租人权益价值",INDIRECT("'"&amp;H20&amp;"'"&amp;"!c:c"))</f>
        <v>0</v>
      </c>
      <c r="G20" s="1201" t="s">
        <v>3017</v>
      </c>
      <c r="H20" s="2913" t="s">
        <v>3122</v>
      </c>
      <c r="I20" s="167"/>
      <c r="J20" s="167"/>
      <c r="K20" s="167"/>
      <c r="L20" s="167"/>
      <c r="M20" s="167"/>
      <c r="N20" s="167"/>
      <c r="O20" s="167"/>
      <c r="P20" s="167"/>
      <c r="Q20" s="167"/>
      <c r="R20" s="782"/>
      <c r="S20" s="137"/>
    </row>
    <row r="21" spans="1:45" ht="15.75">
      <c r="A21" s="711" t="s">
        <v>3018</v>
      </c>
      <c r="B21" s="337">
        <f ca="1">R22</f>
        <v>27304</v>
      </c>
      <c r="C21" s="167"/>
      <c r="D21" s="167"/>
      <c r="E21" s="167"/>
      <c r="F21" s="167"/>
      <c r="G21" s="167"/>
      <c r="H21" s="167"/>
      <c r="I21" s="167"/>
      <c r="J21" s="167"/>
      <c r="K21" s="167"/>
      <c r="L21" s="167"/>
      <c r="M21" s="167"/>
      <c r="N21" s="167"/>
      <c r="O21" s="167"/>
      <c r="P21" s="167"/>
      <c r="Q21" s="167"/>
      <c r="R21" s="782"/>
      <c r="S21" s="137"/>
    </row>
    <row r="22" spans="1:45">
      <c r="A22" s="360" t="s">
        <v>3019</v>
      </c>
      <c r="B22" s="23">
        <f>SUM(B24:B10000)</f>
        <v>14099.390000000001</v>
      </c>
      <c r="C22" s="3186" t="s">
        <v>33</v>
      </c>
      <c r="D22" s="3187"/>
      <c r="E22" s="3187"/>
      <c r="F22" s="3187"/>
      <c r="G22" s="3187"/>
      <c r="H22" s="3187"/>
      <c r="I22" s="3187"/>
      <c r="J22" s="3187"/>
      <c r="K22" s="3187"/>
      <c r="L22" s="3187"/>
      <c r="M22" s="3187"/>
      <c r="N22" s="3187"/>
      <c r="O22" s="3187"/>
      <c r="P22" s="3187"/>
      <c r="Q22" s="3406"/>
      <c r="R22" s="712">
        <f ca="1">ROUND(S22*10000/B22,0)</f>
        <v>27304</v>
      </c>
      <c r="S22" s="23">
        <f ca="1">SUM(S24:S10000)</f>
        <v>38497</v>
      </c>
    </row>
    <row r="23" spans="1:45" s="12" customFormat="1" ht="24">
      <c r="A23" s="11" t="s">
        <v>3020</v>
      </c>
      <c r="B23" s="11" t="s">
        <v>3021</v>
      </c>
      <c r="C23" s="11" t="s">
        <v>3022</v>
      </c>
      <c r="D23" s="11" t="str">
        <f>B5</f>
        <v>层高</v>
      </c>
      <c r="E23" s="11" t="s">
        <v>3022</v>
      </c>
      <c r="F23" s="11" t="str">
        <f>B7</f>
        <v>内部装修</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3" t="s">
        <v>3023</v>
      </c>
      <c r="S23" s="11" t="s">
        <v>3024</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ht="25.5">
      <c r="A24" s="3079" t="str">
        <f>Sheet1!C29</f>
        <v>江岸区后湖大道105号统建·同安家园五期59、60号楼裙楼栋1-2层商4室</v>
      </c>
      <c r="B24" s="3080">
        <f>Sheet1!E29</f>
        <v>790.58</v>
      </c>
      <c r="C24" s="3081">
        <v>1</v>
      </c>
      <c r="D24" s="3082" t="s">
        <v>3215</v>
      </c>
      <c r="E24" s="3081">
        <v>1</v>
      </c>
      <c r="F24" s="3082" t="s">
        <v>3103</v>
      </c>
      <c r="G24" s="3081">
        <v>1</v>
      </c>
      <c r="H24" s="3082"/>
      <c r="I24" s="3081">
        <v>1</v>
      </c>
      <c r="J24" s="3082"/>
      <c r="K24" s="3081">
        <v>1</v>
      </c>
      <c r="L24" s="3082"/>
      <c r="M24" s="3081">
        <v>1</v>
      </c>
      <c r="N24" s="3082"/>
      <c r="O24" s="3081">
        <v>1</v>
      </c>
      <c r="P24" s="3082" t="s">
        <v>3212</v>
      </c>
      <c r="Q24" s="3081">
        <v>1</v>
      </c>
      <c r="R24" s="3083">
        <f ca="1">结果表!G20</f>
        <v>28092</v>
      </c>
      <c r="S24" s="3081">
        <f t="shared" ref="S24:S54" ca="1" si="11">ROUND(R24*B24/10000,0)</f>
        <v>2221</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ht="25.5">
      <c r="A25" s="3079" t="str">
        <f>Sheet1!C30</f>
        <v>江岸区后湖乡新益村统建·同安家园五期59、60号楼裙楼栋1-2层商5</v>
      </c>
      <c r="B25" s="3080">
        <f>Sheet1!E30</f>
        <v>347.08</v>
      </c>
      <c r="C25" s="11">
        <f>IF(B25="",1,(LOOKUP(B25,$3:$3,$4:$4)-LOOKUP($B$24,$3:$3,$4:$4)+100)/100)</f>
        <v>1.02</v>
      </c>
      <c r="D25" s="3082" t="s">
        <v>3215</v>
      </c>
      <c r="E25" s="11">
        <f>(SUMIF($5:$5,D25,$6:$6)-SUMIF($5:$5,$D$24,$6:$6)+100)/100</f>
        <v>1</v>
      </c>
      <c r="F25" s="3082" t="s">
        <v>3103</v>
      </c>
      <c r="G25" s="11">
        <f>(SUMIF($7:$7,F25,$8:$8)-SUMIF($7:$7,$F$24,$8:$8)+100)/100</f>
        <v>1</v>
      </c>
      <c r="H25" s="3082"/>
      <c r="I25" s="11">
        <f>(SUMIF($9:$9,H25,$10:$10)-SUMIF($9:$9,$H$24,$10:$10)+100)/100</f>
        <v>1</v>
      </c>
      <c r="J25" s="3082"/>
      <c r="K25" s="11">
        <f>(SUMIF($11:$11,J25,$12:$12)-SUMIF($11:$11,$J$24,$12:$12)+100)/100</f>
        <v>1</v>
      </c>
      <c r="L25" s="3082"/>
      <c r="M25" s="11">
        <f>(SUMIF($13:$13,L25,$14:$14)-SUMIF($13:$13,$L$24,$14:$14)+100)/100</f>
        <v>1</v>
      </c>
      <c r="N25" s="3082"/>
      <c r="O25" s="11">
        <f>(SUMIF($15:$15,N25,$16:$16)-SUMIF($15:$15,$N$24,$16:$16)+100)/100</f>
        <v>1</v>
      </c>
      <c r="P25" s="3082" t="s">
        <v>3212</v>
      </c>
      <c r="Q25" s="11">
        <f>(SUMIF($17:$17,P25,$18:$18)-SUMIF($17:$17,$P$24,$18:$18)+100)/100</f>
        <v>1</v>
      </c>
      <c r="R25" s="713">
        <f ca="1">IF(B25="",0,ROUND($R$24*C25*E25*G25*I25*K25*M25*O25*Q25,0))</f>
        <v>28654</v>
      </c>
      <c r="S25" s="3084">
        <f t="shared" ca="1" si="11"/>
        <v>995</v>
      </c>
      <c r="V25" s="794"/>
    </row>
    <row r="26" spans="1:45" ht="25.5">
      <c r="A26" s="3079" t="str">
        <f>Sheet1!C31</f>
        <v>江岸区后湖乡新益村统建·同安家园五期59、60号楼裙楼栋1-2层商6</v>
      </c>
      <c r="B26" s="3080">
        <f>Sheet1!E31</f>
        <v>515.83000000000004</v>
      </c>
      <c r="C26" s="11">
        <f t="shared" ref="C26:C89" si="12">IF(B26="",1,(LOOKUP(B26,$3:$3,$4:$4)-LOOKUP($B$24,$3:$3,$4:$4)+100)/100)</f>
        <v>1</v>
      </c>
      <c r="D26" s="3082" t="s">
        <v>3215</v>
      </c>
      <c r="E26" s="11">
        <f t="shared" ref="E26:E89" si="13">(SUMIF($5:$5,D26,$6:$6)-SUMIF($5:$5,$D$24,$6:$6)+100)/100</f>
        <v>1</v>
      </c>
      <c r="F26" s="3082" t="s">
        <v>3103</v>
      </c>
      <c r="G26" s="11">
        <f t="shared" ref="G26:G89" si="14">(SUMIF($7:$7,F26,$8:$8)-SUMIF($7:$7,$F$24,$8:$8)+100)/100</f>
        <v>1</v>
      </c>
      <c r="H26" s="3082"/>
      <c r="I26" s="11">
        <f t="shared" ref="I26:I89" si="15">(SUMIF($9:$9,H26,$10:$10)-SUMIF($9:$9,$H$24,$10:$10)+100)/100</f>
        <v>1</v>
      </c>
      <c r="J26" s="3082"/>
      <c r="K26" s="11">
        <f t="shared" ref="K26:K89" si="16">(SUMIF($11:$11,J26,$12:$12)-SUMIF($11:$11,$J$24,$12:$12)+100)/100</f>
        <v>1</v>
      </c>
      <c r="L26" s="3082"/>
      <c r="M26" s="11">
        <f t="shared" ref="M26:M89" si="17">(SUMIF($13:$13,L26,$14:$14)-SUMIF($13:$13,$L$24,$14:$14)+100)/100</f>
        <v>1</v>
      </c>
      <c r="N26" s="3082"/>
      <c r="O26" s="11">
        <f t="shared" ref="O26:O89" si="18">(SUMIF($15:$15,N26,$16:$16)-SUMIF($15:$15,$N$24,$16:$16)+100)/100</f>
        <v>1</v>
      </c>
      <c r="P26" s="3082" t="s">
        <v>3212</v>
      </c>
      <c r="Q26" s="11">
        <f t="shared" ref="Q26:Q89" si="19">(SUMIF($17:$17,P26,$18:$18)-SUMIF($17:$17,$P$24,$18:$18)+100)/100</f>
        <v>1</v>
      </c>
      <c r="R26" s="713">
        <f t="shared" ref="R26:R89" ca="1" si="20">IF(B26="",0,ROUND($R$24*C26*E26*G26*I26*K26*M26*O26*Q26,0))</f>
        <v>28092</v>
      </c>
      <c r="S26" s="3084">
        <f t="shared" ca="1" si="11"/>
        <v>1449</v>
      </c>
      <c r="V26" s="794"/>
    </row>
    <row r="27" spans="1:45" ht="25.5">
      <c r="A27" s="3079" t="str">
        <f>Sheet1!C32</f>
        <v>江岸区后湖乡新益村统建·同安家园五期59、60号楼裙楼栋1-2层商7</v>
      </c>
      <c r="B27" s="3080">
        <f>Sheet1!E32</f>
        <v>369.45</v>
      </c>
      <c r="C27" s="11">
        <f t="shared" si="12"/>
        <v>1.02</v>
      </c>
      <c r="D27" s="3082" t="s">
        <v>3215</v>
      </c>
      <c r="E27" s="11">
        <f t="shared" si="13"/>
        <v>1</v>
      </c>
      <c r="F27" s="3082" t="s">
        <v>3103</v>
      </c>
      <c r="G27" s="11">
        <f t="shared" si="14"/>
        <v>1</v>
      </c>
      <c r="H27" s="3082"/>
      <c r="I27" s="11">
        <f t="shared" si="15"/>
        <v>1</v>
      </c>
      <c r="J27" s="3082"/>
      <c r="K27" s="11">
        <f t="shared" si="16"/>
        <v>1</v>
      </c>
      <c r="L27" s="3082"/>
      <c r="M27" s="11">
        <f t="shared" si="17"/>
        <v>1</v>
      </c>
      <c r="N27" s="3082"/>
      <c r="O27" s="11">
        <f t="shared" si="18"/>
        <v>1</v>
      </c>
      <c r="P27" s="3082" t="s">
        <v>3212</v>
      </c>
      <c r="Q27" s="11">
        <f t="shared" si="19"/>
        <v>1</v>
      </c>
      <c r="R27" s="713">
        <f t="shared" ca="1" si="20"/>
        <v>28654</v>
      </c>
      <c r="S27" s="3084">
        <f t="shared" ca="1" si="11"/>
        <v>1059</v>
      </c>
      <c r="V27" s="794"/>
    </row>
    <row r="28" spans="1:45" ht="25.5">
      <c r="A28" s="3079" t="str">
        <f>Sheet1!C33</f>
        <v>江岸区后湖乡新益村统建·同安家园五期59、60号楼裙楼栋1-2层商8</v>
      </c>
      <c r="B28" s="3080">
        <f>Sheet1!E33</f>
        <v>257.56</v>
      </c>
      <c r="C28" s="11">
        <f t="shared" si="12"/>
        <v>1.03</v>
      </c>
      <c r="D28" s="3082" t="s">
        <v>3215</v>
      </c>
      <c r="E28" s="11">
        <f t="shared" si="13"/>
        <v>1</v>
      </c>
      <c r="F28" s="3082" t="s">
        <v>3103</v>
      </c>
      <c r="G28" s="11">
        <f t="shared" si="14"/>
        <v>1</v>
      </c>
      <c r="H28" s="3082"/>
      <c r="I28" s="11">
        <f t="shared" si="15"/>
        <v>1</v>
      </c>
      <c r="J28" s="3082"/>
      <c r="K28" s="11">
        <f t="shared" si="16"/>
        <v>1</v>
      </c>
      <c r="L28" s="3082"/>
      <c r="M28" s="11">
        <f t="shared" si="17"/>
        <v>1</v>
      </c>
      <c r="N28" s="3082"/>
      <c r="O28" s="11">
        <f t="shared" si="18"/>
        <v>1</v>
      </c>
      <c r="P28" s="3082" t="s">
        <v>3212</v>
      </c>
      <c r="Q28" s="11">
        <f t="shared" si="19"/>
        <v>1</v>
      </c>
      <c r="R28" s="713">
        <f t="shared" ca="1" si="20"/>
        <v>28935</v>
      </c>
      <c r="S28" s="3084">
        <f t="shared" ca="1" si="11"/>
        <v>745</v>
      </c>
      <c r="U28" s="789">
        <f ca="1">S22-S24</f>
        <v>36276</v>
      </c>
      <c r="V28" s="794"/>
    </row>
    <row r="29" spans="1:45" ht="25.5">
      <c r="A29" s="3079" t="str">
        <f>Sheet1!C34</f>
        <v>江岸区后湖乡新益村统建·同安家园五期59、60号楼裙楼栋1-2层商2</v>
      </c>
      <c r="B29" s="3080">
        <f>Sheet1!E34</f>
        <v>471</v>
      </c>
      <c r="C29" s="11">
        <f t="shared" si="12"/>
        <v>1.01</v>
      </c>
      <c r="D29" s="3082" t="s">
        <v>3215</v>
      </c>
      <c r="E29" s="11">
        <f t="shared" si="13"/>
        <v>1</v>
      </c>
      <c r="F29" s="3082" t="s">
        <v>3103</v>
      </c>
      <c r="G29" s="11">
        <f t="shared" si="14"/>
        <v>1</v>
      </c>
      <c r="H29" s="3082"/>
      <c r="I29" s="11">
        <f t="shared" si="15"/>
        <v>1</v>
      </c>
      <c r="J29" s="3082"/>
      <c r="K29" s="11">
        <f t="shared" si="16"/>
        <v>1</v>
      </c>
      <c r="L29" s="3082"/>
      <c r="M29" s="11">
        <f t="shared" si="17"/>
        <v>1</v>
      </c>
      <c r="N29" s="3082"/>
      <c r="O29" s="11">
        <f t="shared" si="18"/>
        <v>1</v>
      </c>
      <c r="P29" s="3082" t="s">
        <v>3212</v>
      </c>
      <c r="Q29" s="11">
        <f t="shared" si="19"/>
        <v>1</v>
      </c>
      <c r="R29" s="713">
        <f t="shared" ca="1" si="20"/>
        <v>28373</v>
      </c>
      <c r="S29" s="3084">
        <f t="shared" ca="1" si="11"/>
        <v>1336</v>
      </c>
      <c r="V29" s="794"/>
    </row>
    <row r="30" spans="1:45">
      <c r="A30" s="3079" t="str">
        <f>Sheet1!C35</f>
        <v>江岸区新益村统建同安家园四期57栋1层商2</v>
      </c>
      <c r="B30" s="3080">
        <f>Sheet1!E35</f>
        <v>104.62</v>
      </c>
      <c r="C30" s="11">
        <f t="shared" si="12"/>
        <v>1.04</v>
      </c>
      <c r="D30" s="3082" t="s">
        <v>3215</v>
      </c>
      <c r="E30" s="11">
        <f t="shared" si="13"/>
        <v>1</v>
      </c>
      <c r="F30" s="3082" t="s">
        <v>3103</v>
      </c>
      <c r="G30" s="11">
        <f t="shared" si="14"/>
        <v>1</v>
      </c>
      <c r="H30" s="3082"/>
      <c r="I30" s="11">
        <f t="shared" si="15"/>
        <v>1</v>
      </c>
      <c r="J30" s="3082"/>
      <c r="K30" s="11">
        <f t="shared" si="16"/>
        <v>1</v>
      </c>
      <c r="L30" s="3082"/>
      <c r="M30" s="11">
        <f t="shared" si="17"/>
        <v>1</v>
      </c>
      <c r="N30" s="3082"/>
      <c r="O30" s="11">
        <f t="shared" si="18"/>
        <v>1</v>
      </c>
      <c r="P30" s="3082" t="s">
        <v>3117</v>
      </c>
      <c r="Q30" s="11">
        <f t="shared" si="19"/>
        <v>1.1499999999999999</v>
      </c>
      <c r="R30" s="713">
        <f t="shared" ca="1" si="20"/>
        <v>33598</v>
      </c>
      <c r="S30" s="3084">
        <f t="shared" ca="1" si="11"/>
        <v>352</v>
      </c>
      <c r="V30" s="794"/>
    </row>
    <row r="31" spans="1:45">
      <c r="A31" s="3079" t="str">
        <f>Sheet1!C36</f>
        <v>江岸区新益村统建同安家园四期57栋1-2层商6</v>
      </c>
      <c r="B31" s="3080">
        <f>Sheet1!E36</f>
        <v>279.61</v>
      </c>
      <c r="C31" s="11">
        <f t="shared" si="12"/>
        <v>1.03</v>
      </c>
      <c r="D31" s="3082" t="s">
        <v>3215</v>
      </c>
      <c r="E31" s="11">
        <f t="shared" si="13"/>
        <v>1</v>
      </c>
      <c r="F31" s="3082" t="s">
        <v>3103</v>
      </c>
      <c r="G31" s="11">
        <f t="shared" si="14"/>
        <v>1</v>
      </c>
      <c r="H31" s="3082"/>
      <c r="I31" s="11">
        <f t="shared" si="15"/>
        <v>1</v>
      </c>
      <c r="J31" s="3082"/>
      <c r="K31" s="11">
        <f t="shared" si="16"/>
        <v>1</v>
      </c>
      <c r="L31" s="3082"/>
      <c r="M31" s="11">
        <f t="shared" si="17"/>
        <v>1</v>
      </c>
      <c r="N31" s="3082"/>
      <c r="O31" s="11">
        <f t="shared" si="18"/>
        <v>1</v>
      </c>
      <c r="P31" s="3082" t="s">
        <v>3212</v>
      </c>
      <c r="Q31" s="11">
        <f t="shared" si="19"/>
        <v>1</v>
      </c>
      <c r="R31" s="713">
        <f t="shared" ca="1" si="20"/>
        <v>28935</v>
      </c>
      <c r="S31" s="3084">
        <f t="shared" ca="1" si="11"/>
        <v>809</v>
      </c>
      <c r="V31" s="794"/>
    </row>
    <row r="32" spans="1:45">
      <c r="A32" s="3079" t="str">
        <f>Sheet1!C37</f>
        <v>江岸区新益村统建同安家园四期58栋1-2层商6</v>
      </c>
      <c r="B32" s="3080">
        <f>Sheet1!E37</f>
        <v>143.63</v>
      </c>
      <c r="C32" s="11">
        <f t="shared" si="12"/>
        <v>1.04</v>
      </c>
      <c r="D32" s="3082" t="s">
        <v>3215</v>
      </c>
      <c r="E32" s="11">
        <f t="shared" si="13"/>
        <v>1</v>
      </c>
      <c r="F32" s="3082" t="s">
        <v>3103</v>
      </c>
      <c r="G32" s="11">
        <f t="shared" si="14"/>
        <v>1</v>
      </c>
      <c r="H32" s="3082"/>
      <c r="I32" s="11">
        <f t="shared" si="15"/>
        <v>1</v>
      </c>
      <c r="J32" s="3082"/>
      <c r="K32" s="11">
        <f t="shared" si="16"/>
        <v>1</v>
      </c>
      <c r="L32" s="3082"/>
      <c r="M32" s="11">
        <f t="shared" si="17"/>
        <v>1</v>
      </c>
      <c r="N32" s="3082"/>
      <c r="O32" s="11">
        <f t="shared" si="18"/>
        <v>1</v>
      </c>
      <c r="P32" s="3082" t="s">
        <v>3212</v>
      </c>
      <c r="Q32" s="11">
        <f t="shared" si="19"/>
        <v>1</v>
      </c>
      <c r="R32" s="713">
        <f t="shared" ca="1" si="20"/>
        <v>29216</v>
      </c>
      <c r="S32" s="3084">
        <f t="shared" ca="1" si="11"/>
        <v>420</v>
      </c>
      <c r="V32" s="794"/>
    </row>
    <row r="33" spans="1:22">
      <c r="A33" s="3079" t="str">
        <f>Sheet1!C38</f>
        <v>江岸区新益村统建同安家园四期58栋1-2层商7</v>
      </c>
      <c r="B33" s="3080">
        <f>Sheet1!E38</f>
        <v>192.42</v>
      </c>
      <c r="C33" s="11">
        <f t="shared" si="12"/>
        <v>1.04</v>
      </c>
      <c r="D33" s="3082" t="s">
        <v>3215</v>
      </c>
      <c r="E33" s="11">
        <f t="shared" si="13"/>
        <v>1</v>
      </c>
      <c r="F33" s="3082" t="s">
        <v>3103</v>
      </c>
      <c r="G33" s="11">
        <f t="shared" si="14"/>
        <v>1</v>
      </c>
      <c r="H33" s="3082"/>
      <c r="I33" s="11">
        <f t="shared" si="15"/>
        <v>1</v>
      </c>
      <c r="J33" s="3082"/>
      <c r="K33" s="11">
        <f t="shared" si="16"/>
        <v>1</v>
      </c>
      <c r="L33" s="3082"/>
      <c r="M33" s="11">
        <f t="shared" si="17"/>
        <v>1</v>
      </c>
      <c r="N33" s="3082"/>
      <c r="O33" s="11">
        <f t="shared" si="18"/>
        <v>1</v>
      </c>
      <c r="P33" s="3082" t="s">
        <v>3212</v>
      </c>
      <c r="Q33" s="11">
        <f t="shared" si="19"/>
        <v>1</v>
      </c>
      <c r="R33" s="713">
        <f t="shared" ca="1" si="20"/>
        <v>29216</v>
      </c>
      <c r="S33" s="3084">
        <f t="shared" ca="1" si="11"/>
        <v>562</v>
      </c>
      <c r="V33" s="794"/>
    </row>
    <row r="34" spans="1:22">
      <c r="A34" s="3079" t="str">
        <f>Sheet1!C39</f>
        <v>江岸区新益村统建同安家园四期58栋1-2层商9</v>
      </c>
      <c r="B34" s="3080">
        <f>Sheet1!E39</f>
        <v>198.3</v>
      </c>
      <c r="C34" s="11">
        <f t="shared" si="12"/>
        <v>1.04</v>
      </c>
      <c r="D34" s="3082" t="s">
        <v>3215</v>
      </c>
      <c r="E34" s="11">
        <f t="shared" si="13"/>
        <v>1</v>
      </c>
      <c r="F34" s="3082" t="s">
        <v>3103</v>
      </c>
      <c r="G34" s="11">
        <f t="shared" si="14"/>
        <v>1</v>
      </c>
      <c r="H34" s="3082"/>
      <c r="I34" s="11">
        <f t="shared" si="15"/>
        <v>1</v>
      </c>
      <c r="J34" s="3082"/>
      <c r="K34" s="11">
        <f t="shared" si="16"/>
        <v>1</v>
      </c>
      <c r="L34" s="3082"/>
      <c r="M34" s="11">
        <f t="shared" si="17"/>
        <v>1</v>
      </c>
      <c r="N34" s="3082"/>
      <c r="O34" s="11">
        <f t="shared" si="18"/>
        <v>1</v>
      </c>
      <c r="P34" s="3082" t="s">
        <v>3212</v>
      </c>
      <c r="Q34" s="11">
        <f t="shared" si="19"/>
        <v>1</v>
      </c>
      <c r="R34" s="713">
        <f t="shared" ca="1" si="20"/>
        <v>29216</v>
      </c>
      <c r="S34" s="3084">
        <f t="shared" ca="1" si="11"/>
        <v>579</v>
      </c>
      <c r="V34" s="794"/>
    </row>
    <row r="35" spans="1:22" ht="25.5">
      <c r="A35" s="3079" t="str">
        <f>Sheet1!C40</f>
        <v>江岸区后湖大道105号统建·同安家园五期59、60号楼裙楼栋1-2层商12室（房产证+土地证）</v>
      </c>
      <c r="B35" s="3080">
        <f>Sheet1!E40</f>
        <v>613.21</v>
      </c>
      <c r="C35" s="11">
        <f t="shared" si="12"/>
        <v>1</v>
      </c>
      <c r="D35" s="3082" t="s">
        <v>3215</v>
      </c>
      <c r="E35" s="11">
        <f t="shared" si="13"/>
        <v>1</v>
      </c>
      <c r="F35" s="3082" t="s">
        <v>3103</v>
      </c>
      <c r="G35" s="11">
        <f t="shared" si="14"/>
        <v>1</v>
      </c>
      <c r="H35" s="3082"/>
      <c r="I35" s="11">
        <f t="shared" si="15"/>
        <v>1</v>
      </c>
      <c r="J35" s="3082"/>
      <c r="K35" s="11">
        <f t="shared" si="16"/>
        <v>1</v>
      </c>
      <c r="L35" s="3082"/>
      <c r="M35" s="11">
        <f t="shared" si="17"/>
        <v>1</v>
      </c>
      <c r="N35" s="3082"/>
      <c r="O35" s="11">
        <f t="shared" si="18"/>
        <v>1</v>
      </c>
      <c r="P35" s="3082" t="s">
        <v>3212</v>
      </c>
      <c r="Q35" s="11">
        <f t="shared" si="19"/>
        <v>1</v>
      </c>
      <c r="R35" s="713">
        <f t="shared" ca="1" si="20"/>
        <v>28092</v>
      </c>
      <c r="S35" s="3084">
        <f t="shared" ca="1" si="11"/>
        <v>1723</v>
      </c>
      <c r="V35" s="794"/>
    </row>
    <row r="36" spans="1:22" ht="25.5">
      <c r="A36" s="3079" t="str">
        <f>Sheet1!C41</f>
        <v>江岸区后湖大道105号统建·同安家园五期59、60号楼裙楼栋3层商1室（1层）（房产证+土地证）</v>
      </c>
      <c r="B36" s="3080">
        <f>Sheet1!E41</f>
        <v>884</v>
      </c>
      <c r="C36" s="11">
        <f t="shared" si="12"/>
        <v>1</v>
      </c>
      <c r="D36" s="3082" t="s">
        <v>3215</v>
      </c>
      <c r="E36" s="11">
        <f t="shared" si="13"/>
        <v>1</v>
      </c>
      <c r="F36" s="3082" t="s">
        <v>3099</v>
      </c>
      <c r="G36" s="11">
        <f t="shared" si="14"/>
        <v>1.1000000000000001</v>
      </c>
      <c r="H36" s="3082"/>
      <c r="I36" s="11">
        <f t="shared" si="15"/>
        <v>1</v>
      </c>
      <c r="J36" s="3082"/>
      <c r="K36" s="11">
        <f t="shared" si="16"/>
        <v>1</v>
      </c>
      <c r="L36" s="3082"/>
      <c r="M36" s="11">
        <f t="shared" si="17"/>
        <v>1</v>
      </c>
      <c r="N36" s="3082"/>
      <c r="O36" s="11">
        <f t="shared" si="18"/>
        <v>1</v>
      </c>
      <c r="P36" s="3082" t="s">
        <v>3117</v>
      </c>
      <c r="Q36" s="11">
        <f t="shared" si="19"/>
        <v>1.1499999999999999</v>
      </c>
      <c r="R36" s="713">
        <f t="shared" ca="1" si="20"/>
        <v>35536</v>
      </c>
      <c r="S36" s="3084">
        <f t="shared" ca="1" si="11"/>
        <v>3141</v>
      </c>
      <c r="V36" s="794"/>
    </row>
    <row r="37" spans="1:22" ht="25.5">
      <c r="A37" s="3079" t="str">
        <f>Sheet1!C42</f>
        <v>江岸区后湖大道105号统建·同安家园五期59、60号楼裙楼栋3层商1室（2层）（房产证+土地证）</v>
      </c>
      <c r="B37" s="3080">
        <f>Sheet1!E42</f>
        <v>884</v>
      </c>
      <c r="C37" s="11">
        <f t="shared" si="12"/>
        <v>1</v>
      </c>
      <c r="D37" s="3082" t="s">
        <v>3215</v>
      </c>
      <c r="E37" s="11">
        <f t="shared" si="13"/>
        <v>1</v>
      </c>
      <c r="F37" s="3082" t="s">
        <v>3099</v>
      </c>
      <c r="G37" s="11">
        <f t="shared" si="14"/>
        <v>1.1000000000000001</v>
      </c>
      <c r="H37" s="3082"/>
      <c r="I37" s="11">
        <f t="shared" si="15"/>
        <v>1</v>
      </c>
      <c r="J37" s="3082"/>
      <c r="K37" s="11">
        <f t="shared" si="16"/>
        <v>1</v>
      </c>
      <c r="L37" s="3082"/>
      <c r="M37" s="11">
        <f t="shared" si="17"/>
        <v>1</v>
      </c>
      <c r="N37" s="3082"/>
      <c r="O37" s="11">
        <f t="shared" si="18"/>
        <v>1</v>
      </c>
      <c r="P37" s="3082" t="s">
        <v>3119</v>
      </c>
      <c r="Q37" s="11">
        <f t="shared" si="19"/>
        <v>0.85</v>
      </c>
      <c r="R37" s="713">
        <f t="shared" ca="1" si="20"/>
        <v>26266</v>
      </c>
      <c r="S37" s="3084">
        <f t="shared" ca="1" si="11"/>
        <v>2322</v>
      </c>
      <c r="V37" s="794"/>
    </row>
    <row r="38" spans="1:22" ht="25.5">
      <c r="A38" s="3079" t="str">
        <f>Sheet1!C43</f>
        <v>江岸区后湖大道105号统建·同安家园五期59、60号楼裙楼栋3层商1室（3层）（房产证+土地证）</v>
      </c>
      <c r="B38" s="3080">
        <f>Sheet1!E43</f>
        <v>884</v>
      </c>
      <c r="C38" s="11">
        <f t="shared" si="12"/>
        <v>1</v>
      </c>
      <c r="D38" s="3082" t="s">
        <v>3215</v>
      </c>
      <c r="E38" s="11">
        <f t="shared" si="13"/>
        <v>1</v>
      </c>
      <c r="F38" s="3082" t="s">
        <v>3099</v>
      </c>
      <c r="G38" s="11">
        <f t="shared" si="14"/>
        <v>1.1000000000000001</v>
      </c>
      <c r="H38" s="3082"/>
      <c r="I38" s="11">
        <f t="shared" si="15"/>
        <v>1</v>
      </c>
      <c r="J38" s="3082"/>
      <c r="K38" s="11">
        <f t="shared" si="16"/>
        <v>1</v>
      </c>
      <c r="L38" s="3082"/>
      <c r="M38" s="11">
        <f t="shared" si="17"/>
        <v>1</v>
      </c>
      <c r="N38" s="3082"/>
      <c r="O38" s="11">
        <f t="shared" si="18"/>
        <v>1</v>
      </c>
      <c r="P38" s="3082" t="s">
        <v>3120</v>
      </c>
      <c r="Q38" s="11">
        <f t="shared" si="19"/>
        <v>0.75</v>
      </c>
      <c r="R38" s="713">
        <f t="shared" ca="1" si="20"/>
        <v>23176</v>
      </c>
      <c r="S38" s="3084">
        <f t="shared" ca="1" si="11"/>
        <v>2049</v>
      </c>
      <c r="V38" s="794"/>
    </row>
    <row r="39" spans="1:22" ht="25.5">
      <c r="A39" s="3079" t="str">
        <f>Sheet1!C44</f>
        <v>江岸区后湖大道105号统建·同安家园五期59、60号楼裙楼栋1-2层商11室（房产证+土地证）</v>
      </c>
      <c r="B39" s="3080">
        <f>Sheet1!E44</f>
        <v>399.38</v>
      </c>
      <c r="C39" s="11">
        <f t="shared" si="12"/>
        <v>1.02</v>
      </c>
      <c r="D39" s="3082" t="s">
        <v>3215</v>
      </c>
      <c r="E39" s="11">
        <f t="shared" si="13"/>
        <v>1</v>
      </c>
      <c r="F39" s="3082" t="s">
        <v>3103</v>
      </c>
      <c r="G39" s="11">
        <f t="shared" si="14"/>
        <v>1</v>
      </c>
      <c r="H39" s="3082"/>
      <c r="I39" s="11">
        <f t="shared" si="15"/>
        <v>1</v>
      </c>
      <c r="J39" s="3082"/>
      <c r="K39" s="11">
        <f t="shared" si="16"/>
        <v>1</v>
      </c>
      <c r="L39" s="3082"/>
      <c r="M39" s="11">
        <f t="shared" si="17"/>
        <v>1</v>
      </c>
      <c r="N39" s="3082"/>
      <c r="O39" s="11">
        <f t="shared" si="18"/>
        <v>1</v>
      </c>
      <c r="P39" s="3082" t="s">
        <v>3212</v>
      </c>
      <c r="Q39" s="11">
        <f t="shared" si="19"/>
        <v>1</v>
      </c>
      <c r="R39" s="713">
        <f t="shared" ca="1" si="20"/>
        <v>28654</v>
      </c>
      <c r="S39" s="3084">
        <f t="shared" ca="1" si="11"/>
        <v>1144</v>
      </c>
      <c r="V39" s="794"/>
    </row>
    <row r="40" spans="1:22" ht="25.5">
      <c r="A40" s="3079" t="str">
        <f>Sheet1!C45</f>
        <v>江岸区后湖大道105号统建·同安家园五期59、60号楼裙楼栋1-4层商6室（1层）（房产证+土地证）</v>
      </c>
      <c r="B40" s="3080">
        <f>Sheet1!E45</f>
        <v>1691.18</v>
      </c>
      <c r="C40" s="11">
        <f t="shared" si="12"/>
        <v>0.99</v>
      </c>
      <c r="D40" s="3082" t="s">
        <v>3215</v>
      </c>
      <c r="E40" s="11">
        <f t="shared" si="13"/>
        <v>1</v>
      </c>
      <c r="F40" s="3082" t="s">
        <v>3099</v>
      </c>
      <c r="G40" s="11">
        <f t="shared" si="14"/>
        <v>1.1000000000000001</v>
      </c>
      <c r="H40" s="3082"/>
      <c r="I40" s="11">
        <f t="shared" si="15"/>
        <v>1</v>
      </c>
      <c r="J40" s="3082"/>
      <c r="K40" s="11">
        <f t="shared" si="16"/>
        <v>1</v>
      </c>
      <c r="L40" s="3082"/>
      <c r="M40" s="11">
        <f t="shared" si="17"/>
        <v>1</v>
      </c>
      <c r="N40" s="3082"/>
      <c r="O40" s="11">
        <f t="shared" si="18"/>
        <v>1</v>
      </c>
      <c r="P40" s="3082" t="s">
        <v>3117</v>
      </c>
      <c r="Q40" s="11">
        <f t="shared" si="19"/>
        <v>1.1499999999999999</v>
      </c>
      <c r="R40" s="713">
        <f t="shared" ca="1" si="20"/>
        <v>35181</v>
      </c>
      <c r="S40" s="3084">
        <f t="shared" ca="1" si="11"/>
        <v>5950</v>
      </c>
      <c r="V40" s="794"/>
    </row>
    <row r="41" spans="1:22" ht="25.5">
      <c r="A41" s="3079" t="str">
        <f>Sheet1!C46</f>
        <v>江岸区后湖大道105号统建·同安家园五期59、60号楼裙楼栋1-4层商6室（2层）（房产证+土地证）</v>
      </c>
      <c r="B41" s="3080">
        <f>Sheet1!E46</f>
        <v>1691.18</v>
      </c>
      <c r="C41" s="11">
        <f t="shared" si="12"/>
        <v>0.99</v>
      </c>
      <c r="D41" s="3082" t="s">
        <v>3215</v>
      </c>
      <c r="E41" s="11">
        <f t="shared" si="13"/>
        <v>1</v>
      </c>
      <c r="F41" s="3082" t="s">
        <v>3099</v>
      </c>
      <c r="G41" s="11">
        <f t="shared" si="14"/>
        <v>1.1000000000000001</v>
      </c>
      <c r="H41" s="3082"/>
      <c r="I41" s="11">
        <f t="shared" si="15"/>
        <v>1</v>
      </c>
      <c r="J41" s="3082"/>
      <c r="K41" s="11">
        <f t="shared" si="16"/>
        <v>1</v>
      </c>
      <c r="L41" s="3082"/>
      <c r="M41" s="11">
        <f t="shared" si="17"/>
        <v>1</v>
      </c>
      <c r="N41" s="3082"/>
      <c r="O41" s="11">
        <f t="shared" si="18"/>
        <v>1</v>
      </c>
      <c r="P41" s="3082" t="s">
        <v>3119</v>
      </c>
      <c r="Q41" s="11">
        <f t="shared" si="19"/>
        <v>0.85</v>
      </c>
      <c r="R41" s="713">
        <f t="shared" ca="1" si="20"/>
        <v>26003</v>
      </c>
      <c r="S41" s="3084">
        <f t="shared" ca="1" si="11"/>
        <v>4398</v>
      </c>
      <c r="V41" s="794"/>
    </row>
    <row r="42" spans="1:22" ht="25.5">
      <c r="A42" s="3079" t="str">
        <f>Sheet1!C47</f>
        <v>江岸区后湖大道105号统建·同安家园五期59、60号楼裙楼栋1-4层商6室（3层）（房产证+土地证）</v>
      </c>
      <c r="B42" s="3080">
        <f>Sheet1!E47</f>
        <v>1691.18</v>
      </c>
      <c r="C42" s="11">
        <f t="shared" si="12"/>
        <v>0.99</v>
      </c>
      <c r="D42" s="3082" t="s">
        <v>3215</v>
      </c>
      <c r="E42" s="11">
        <f t="shared" si="13"/>
        <v>1</v>
      </c>
      <c r="F42" s="3082" t="s">
        <v>3099</v>
      </c>
      <c r="G42" s="11">
        <f t="shared" si="14"/>
        <v>1.1000000000000001</v>
      </c>
      <c r="H42" s="3082"/>
      <c r="I42" s="11">
        <f t="shared" si="15"/>
        <v>1</v>
      </c>
      <c r="J42" s="3082"/>
      <c r="K42" s="11">
        <f t="shared" si="16"/>
        <v>1</v>
      </c>
      <c r="L42" s="3082"/>
      <c r="M42" s="11">
        <f t="shared" si="17"/>
        <v>1</v>
      </c>
      <c r="N42" s="3082"/>
      <c r="O42" s="11">
        <f t="shared" si="18"/>
        <v>1</v>
      </c>
      <c r="P42" s="3082" t="s">
        <v>3120</v>
      </c>
      <c r="Q42" s="11">
        <f t="shared" si="19"/>
        <v>0.75</v>
      </c>
      <c r="R42" s="713">
        <f t="shared" ca="1" si="20"/>
        <v>22944</v>
      </c>
      <c r="S42" s="3084">
        <f t="shared" ca="1" si="11"/>
        <v>3880</v>
      </c>
      <c r="V42" s="794"/>
    </row>
    <row r="43" spans="1:22" ht="25.5">
      <c r="A43" s="3079" t="str">
        <f>Sheet1!C48</f>
        <v>江岸区后湖大道105号统建·同安家园五期59、60号楼裙楼栋1-4层商6室（4层）（房产证+土地证）</v>
      </c>
      <c r="B43" s="3080">
        <f>Sheet1!E48</f>
        <v>1691.18</v>
      </c>
      <c r="C43" s="11">
        <f t="shared" si="12"/>
        <v>0.99</v>
      </c>
      <c r="D43" s="3082" t="s">
        <v>3215</v>
      </c>
      <c r="E43" s="11">
        <f t="shared" si="13"/>
        <v>1</v>
      </c>
      <c r="F43" s="3082" t="s">
        <v>3099</v>
      </c>
      <c r="G43" s="11">
        <f t="shared" si="14"/>
        <v>1.1000000000000001</v>
      </c>
      <c r="H43" s="3082"/>
      <c r="I43" s="11">
        <f t="shared" si="15"/>
        <v>1</v>
      </c>
      <c r="J43" s="3082"/>
      <c r="K43" s="11">
        <f t="shared" si="16"/>
        <v>1</v>
      </c>
      <c r="L43" s="3082"/>
      <c r="M43" s="11">
        <f t="shared" si="17"/>
        <v>1</v>
      </c>
      <c r="N43" s="3082"/>
      <c r="O43" s="11">
        <f t="shared" si="18"/>
        <v>1</v>
      </c>
      <c r="P43" s="3082" t="s">
        <v>3121</v>
      </c>
      <c r="Q43" s="11">
        <f t="shared" si="19"/>
        <v>0.65</v>
      </c>
      <c r="R43" s="713">
        <f t="shared" ca="1" si="20"/>
        <v>19885</v>
      </c>
      <c r="S43" s="3084">
        <f t="shared" ca="1" si="11"/>
        <v>3363</v>
      </c>
      <c r="V43" s="794"/>
    </row>
    <row r="44" spans="1:22">
      <c r="A44" s="3006"/>
      <c r="B44" s="714"/>
      <c r="C44" s="23">
        <f t="shared" si="12"/>
        <v>1</v>
      </c>
      <c r="D44" s="715" t="s">
        <v>3215</v>
      </c>
      <c r="E44" s="23">
        <f t="shared" si="13"/>
        <v>1</v>
      </c>
      <c r="F44" s="715"/>
      <c r="G44" s="23">
        <f t="shared" si="14"/>
        <v>0.1</v>
      </c>
      <c r="H44" s="715"/>
      <c r="I44" s="23">
        <f t="shared" si="15"/>
        <v>1</v>
      </c>
      <c r="J44" s="715"/>
      <c r="K44" s="23">
        <f t="shared" si="16"/>
        <v>1</v>
      </c>
      <c r="L44" s="715"/>
      <c r="M44" s="23">
        <f t="shared" si="17"/>
        <v>1</v>
      </c>
      <c r="N44" s="715"/>
      <c r="O44" s="23">
        <f t="shared" si="18"/>
        <v>1</v>
      </c>
      <c r="P44" s="715"/>
      <c r="Q44" s="23">
        <f t="shared" si="19"/>
        <v>0.15</v>
      </c>
      <c r="R44" s="712">
        <f t="shared" si="20"/>
        <v>0</v>
      </c>
      <c r="S44" s="360">
        <f t="shared" si="11"/>
        <v>0</v>
      </c>
      <c r="V44" s="794"/>
    </row>
    <row r="45" spans="1:22">
      <c r="A45" s="3006"/>
      <c r="B45" s="714"/>
      <c r="C45" s="23">
        <f t="shared" si="12"/>
        <v>1</v>
      </c>
      <c r="D45" s="715" t="s">
        <v>3215</v>
      </c>
      <c r="E45" s="23">
        <f t="shared" si="13"/>
        <v>1</v>
      </c>
      <c r="F45" s="715"/>
      <c r="G45" s="23">
        <f t="shared" si="14"/>
        <v>0.1</v>
      </c>
      <c r="H45" s="715"/>
      <c r="I45" s="23">
        <f t="shared" si="15"/>
        <v>1</v>
      </c>
      <c r="J45" s="715"/>
      <c r="K45" s="23">
        <f t="shared" si="16"/>
        <v>1</v>
      </c>
      <c r="L45" s="715"/>
      <c r="M45" s="23">
        <f t="shared" si="17"/>
        <v>1</v>
      </c>
      <c r="N45" s="715"/>
      <c r="O45" s="23">
        <f t="shared" si="18"/>
        <v>1</v>
      </c>
      <c r="P45" s="715"/>
      <c r="Q45" s="23">
        <f t="shared" si="19"/>
        <v>0.15</v>
      </c>
      <c r="R45" s="712">
        <f t="shared" si="20"/>
        <v>0</v>
      </c>
      <c r="S45" s="360">
        <f t="shared" si="11"/>
        <v>0</v>
      </c>
      <c r="V45" s="794"/>
    </row>
    <row r="46" spans="1:22">
      <c r="A46" s="3006"/>
      <c r="B46" s="714"/>
      <c r="C46" s="23">
        <f t="shared" si="12"/>
        <v>1</v>
      </c>
      <c r="D46" s="715" t="s">
        <v>3215</v>
      </c>
      <c r="E46" s="23">
        <f t="shared" si="13"/>
        <v>1</v>
      </c>
      <c r="F46" s="715"/>
      <c r="G46" s="23">
        <f t="shared" si="14"/>
        <v>0.1</v>
      </c>
      <c r="H46" s="715"/>
      <c r="I46" s="23">
        <f t="shared" si="15"/>
        <v>1</v>
      </c>
      <c r="J46" s="715"/>
      <c r="K46" s="23">
        <f t="shared" si="16"/>
        <v>1</v>
      </c>
      <c r="L46" s="715"/>
      <c r="M46" s="23">
        <f t="shared" si="17"/>
        <v>1</v>
      </c>
      <c r="N46" s="715"/>
      <c r="O46" s="23">
        <f t="shared" si="18"/>
        <v>1</v>
      </c>
      <c r="P46" s="715"/>
      <c r="Q46" s="23">
        <f t="shared" si="19"/>
        <v>0.15</v>
      </c>
      <c r="R46" s="712">
        <f t="shared" si="20"/>
        <v>0</v>
      </c>
      <c r="S46" s="360">
        <f t="shared" si="11"/>
        <v>0</v>
      </c>
      <c r="V46" s="794"/>
    </row>
    <row r="47" spans="1:22">
      <c r="A47" s="3006"/>
      <c r="B47" s="714"/>
      <c r="C47" s="23">
        <f t="shared" si="12"/>
        <v>1</v>
      </c>
      <c r="D47" s="715" t="s">
        <v>3114</v>
      </c>
      <c r="E47" s="23">
        <f t="shared" si="13"/>
        <v>1.03</v>
      </c>
      <c r="F47" s="715"/>
      <c r="G47" s="23">
        <f t="shared" si="14"/>
        <v>0.1</v>
      </c>
      <c r="H47" s="715"/>
      <c r="I47" s="23">
        <f t="shared" si="15"/>
        <v>1</v>
      </c>
      <c r="J47" s="715"/>
      <c r="K47" s="23">
        <f t="shared" si="16"/>
        <v>1</v>
      </c>
      <c r="L47" s="715"/>
      <c r="M47" s="23">
        <f t="shared" si="17"/>
        <v>1</v>
      </c>
      <c r="N47" s="715"/>
      <c r="O47" s="23">
        <f t="shared" si="18"/>
        <v>1</v>
      </c>
      <c r="P47" s="715" t="s">
        <v>3117</v>
      </c>
      <c r="Q47" s="23">
        <f t="shared" si="19"/>
        <v>1.1499999999999999</v>
      </c>
      <c r="R47" s="712">
        <f t="shared" si="20"/>
        <v>0</v>
      </c>
      <c r="S47" s="360">
        <f t="shared" si="11"/>
        <v>0</v>
      </c>
      <c r="V47" s="794"/>
    </row>
    <row r="48" spans="1:22">
      <c r="A48" s="3006"/>
      <c r="B48" s="714"/>
      <c r="C48" s="23">
        <f t="shared" si="12"/>
        <v>1</v>
      </c>
      <c r="D48" s="715" t="s">
        <v>3114</v>
      </c>
      <c r="E48" s="23">
        <f t="shared" si="13"/>
        <v>1.03</v>
      </c>
      <c r="F48" s="715"/>
      <c r="G48" s="23">
        <f t="shared" si="14"/>
        <v>0.1</v>
      </c>
      <c r="H48" s="715"/>
      <c r="I48" s="23">
        <f t="shared" si="15"/>
        <v>1</v>
      </c>
      <c r="J48" s="715"/>
      <c r="K48" s="23">
        <f t="shared" si="16"/>
        <v>1</v>
      </c>
      <c r="L48" s="715"/>
      <c r="M48" s="23">
        <f t="shared" si="17"/>
        <v>1</v>
      </c>
      <c r="N48" s="715"/>
      <c r="O48" s="23">
        <f t="shared" si="18"/>
        <v>1</v>
      </c>
      <c r="P48" s="715" t="s">
        <v>3117</v>
      </c>
      <c r="Q48" s="23">
        <f t="shared" si="19"/>
        <v>1.1499999999999999</v>
      </c>
      <c r="R48" s="712">
        <f t="shared" si="20"/>
        <v>0</v>
      </c>
      <c r="S48" s="360">
        <f t="shared" si="11"/>
        <v>0</v>
      </c>
      <c r="V48" s="794"/>
    </row>
    <row r="49" spans="1:22">
      <c r="A49" s="3006"/>
      <c r="B49" s="714"/>
      <c r="C49" s="23">
        <f t="shared" si="12"/>
        <v>1</v>
      </c>
      <c r="D49" s="715" t="s">
        <v>3114</v>
      </c>
      <c r="E49" s="23">
        <f t="shared" si="13"/>
        <v>1.03</v>
      </c>
      <c r="F49" s="715"/>
      <c r="G49" s="23">
        <f t="shared" si="14"/>
        <v>0.1</v>
      </c>
      <c r="H49" s="715"/>
      <c r="I49" s="23">
        <f t="shared" si="15"/>
        <v>1</v>
      </c>
      <c r="J49" s="715"/>
      <c r="K49" s="23">
        <f t="shared" si="16"/>
        <v>1</v>
      </c>
      <c r="L49" s="715"/>
      <c r="M49" s="23">
        <f t="shared" si="17"/>
        <v>1</v>
      </c>
      <c r="N49" s="715"/>
      <c r="O49" s="23">
        <f t="shared" si="18"/>
        <v>1</v>
      </c>
      <c r="P49" s="715" t="s">
        <v>3117</v>
      </c>
      <c r="Q49" s="23">
        <f t="shared" si="19"/>
        <v>1.1499999999999999</v>
      </c>
      <c r="R49" s="712">
        <f t="shared" si="20"/>
        <v>0</v>
      </c>
      <c r="S49" s="360">
        <f t="shared" si="11"/>
        <v>0</v>
      </c>
      <c r="V49" s="794"/>
    </row>
    <row r="50" spans="1:22">
      <c r="A50" s="3006"/>
      <c r="B50" s="714"/>
      <c r="C50" s="23">
        <f t="shared" si="12"/>
        <v>1</v>
      </c>
      <c r="D50" s="715" t="s">
        <v>3114</v>
      </c>
      <c r="E50" s="23">
        <f t="shared" si="13"/>
        <v>1.03</v>
      </c>
      <c r="F50" s="715"/>
      <c r="G50" s="23">
        <f t="shared" si="14"/>
        <v>0.1</v>
      </c>
      <c r="H50" s="715"/>
      <c r="I50" s="23">
        <f t="shared" si="15"/>
        <v>1</v>
      </c>
      <c r="J50" s="715"/>
      <c r="K50" s="23">
        <f t="shared" si="16"/>
        <v>1</v>
      </c>
      <c r="L50" s="715"/>
      <c r="M50" s="23">
        <f t="shared" si="17"/>
        <v>1</v>
      </c>
      <c r="N50" s="715"/>
      <c r="O50" s="23">
        <f t="shared" si="18"/>
        <v>1</v>
      </c>
      <c r="P50" s="715" t="s">
        <v>3117</v>
      </c>
      <c r="Q50" s="23">
        <f t="shared" si="19"/>
        <v>1.1499999999999999</v>
      </c>
      <c r="R50" s="712">
        <f t="shared" si="20"/>
        <v>0</v>
      </c>
      <c r="S50" s="360">
        <f t="shared" si="11"/>
        <v>0</v>
      </c>
      <c r="V50" s="794"/>
    </row>
    <row r="51" spans="1:22">
      <c r="A51" s="3006"/>
      <c r="B51" s="714"/>
      <c r="C51" s="23">
        <f t="shared" si="12"/>
        <v>1</v>
      </c>
      <c r="D51" s="715" t="s">
        <v>3114</v>
      </c>
      <c r="E51" s="23">
        <f t="shared" si="13"/>
        <v>1.03</v>
      </c>
      <c r="F51" s="715"/>
      <c r="G51" s="23">
        <f t="shared" si="14"/>
        <v>0.1</v>
      </c>
      <c r="H51" s="715"/>
      <c r="I51" s="23">
        <f t="shared" si="15"/>
        <v>1</v>
      </c>
      <c r="J51" s="715"/>
      <c r="K51" s="23">
        <f t="shared" si="16"/>
        <v>1</v>
      </c>
      <c r="L51" s="715"/>
      <c r="M51" s="23">
        <f t="shared" si="17"/>
        <v>1</v>
      </c>
      <c r="N51" s="715"/>
      <c r="O51" s="23">
        <f t="shared" si="18"/>
        <v>1</v>
      </c>
      <c r="P51" s="715" t="s">
        <v>3117</v>
      </c>
      <c r="Q51" s="23">
        <f t="shared" si="19"/>
        <v>1.1499999999999999</v>
      </c>
      <c r="R51" s="712">
        <f t="shared" si="20"/>
        <v>0</v>
      </c>
      <c r="S51" s="360">
        <f t="shared" si="11"/>
        <v>0</v>
      </c>
      <c r="V51" s="794"/>
    </row>
    <row r="52" spans="1:22">
      <c r="A52" s="3006"/>
      <c r="B52" s="714"/>
      <c r="C52" s="23">
        <f t="shared" si="12"/>
        <v>1</v>
      </c>
      <c r="D52" s="715" t="s">
        <v>3114</v>
      </c>
      <c r="E52" s="23">
        <f t="shared" si="13"/>
        <v>1.03</v>
      </c>
      <c r="F52" s="715"/>
      <c r="G52" s="23">
        <f t="shared" si="14"/>
        <v>0.1</v>
      </c>
      <c r="H52" s="715"/>
      <c r="I52" s="23">
        <f t="shared" si="15"/>
        <v>1</v>
      </c>
      <c r="J52" s="715"/>
      <c r="K52" s="23">
        <f t="shared" si="16"/>
        <v>1</v>
      </c>
      <c r="L52" s="715"/>
      <c r="M52" s="23">
        <f t="shared" si="17"/>
        <v>1</v>
      </c>
      <c r="N52" s="715"/>
      <c r="O52" s="23">
        <f t="shared" si="18"/>
        <v>1</v>
      </c>
      <c r="P52" s="715" t="s">
        <v>3117</v>
      </c>
      <c r="Q52" s="23">
        <f t="shared" si="19"/>
        <v>1.1499999999999999</v>
      </c>
      <c r="R52" s="712">
        <f t="shared" si="20"/>
        <v>0</v>
      </c>
      <c r="S52" s="360">
        <f t="shared" si="11"/>
        <v>0</v>
      </c>
      <c r="V52" s="794"/>
    </row>
    <row r="53" spans="1:22">
      <c r="A53" s="3006"/>
      <c r="B53" s="714"/>
      <c r="C53" s="23">
        <f t="shared" si="12"/>
        <v>1</v>
      </c>
      <c r="D53" s="715" t="s">
        <v>3114</v>
      </c>
      <c r="E53" s="23">
        <f t="shared" si="13"/>
        <v>1.03</v>
      </c>
      <c r="F53" s="715"/>
      <c r="G53" s="23">
        <f t="shared" si="14"/>
        <v>0.1</v>
      </c>
      <c r="H53" s="715"/>
      <c r="I53" s="23">
        <f t="shared" si="15"/>
        <v>1</v>
      </c>
      <c r="J53" s="715"/>
      <c r="K53" s="23">
        <f t="shared" si="16"/>
        <v>1</v>
      </c>
      <c r="L53" s="715"/>
      <c r="M53" s="23">
        <f t="shared" si="17"/>
        <v>1</v>
      </c>
      <c r="N53" s="715"/>
      <c r="O53" s="23">
        <f t="shared" si="18"/>
        <v>1</v>
      </c>
      <c r="P53" s="715" t="s">
        <v>3117</v>
      </c>
      <c r="Q53" s="23">
        <f t="shared" si="19"/>
        <v>1.1499999999999999</v>
      </c>
      <c r="R53" s="712">
        <f t="shared" si="20"/>
        <v>0</v>
      </c>
      <c r="S53" s="360">
        <f t="shared" si="11"/>
        <v>0</v>
      </c>
      <c r="V53" s="794"/>
    </row>
    <row r="54" spans="1:22">
      <c r="A54" s="3006"/>
      <c r="B54" s="714"/>
      <c r="C54" s="23">
        <f t="shared" si="12"/>
        <v>1</v>
      </c>
      <c r="D54" s="715" t="s">
        <v>3114</v>
      </c>
      <c r="E54" s="23">
        <f t="shared" si="13"/>
        <v>1.03</v>
      </c>
      <c r="F54" s="715"/>
      <c r="G54" s="23">
        <f t="shared" si="14"/>
        <v>0.1</v>
      </c>
      <c r="H54" s="715"/>
      <c r="I54" s="23">
        <f t="shared" si="15"/>
        <v>1</v>
      </c>
      <c r="J54" s="715"/>
      <c r="K54" s="23">
        <f t="shared" si="16"/>
        <v>1</v>
      </c>
      <c r="L54" s="715"/>
      <c r="M54" s="23">
        <f t="shared" si="17"/>
        <v>1</v>
      </c>
      <c r="N54" s="715"/>
      <c r="O54" s="23">
        <f t="shared" si="18"/>
        <v>1</v>
      </c>
      <c r="P54" s="715" t="s">
        <v>3117</v>
      </c>
      <c r="Q54" s="23">
        <f t="shared" si="19"/>
        <v>1.1499999999999999</v>
      </c>
      <c r="R54" s="712">
        <f t="shared" si="20"/>
        <v>0</v>
      </c>
      <c r="S54" s="360">
        <f t="shared" si="11"/>
        <v>0</v>
      </c>
      <c r="V54" s="794"/>
    </row>
    <row r="55" spans="1:22">
      <c r="A55" s="3006"/>
      <c r="B55" s="714"/>
      <c r="C55" s="23">
        <f t="shared" si="12"/>
        <v>1</v>
      </c>
      <c r="D55" s="715" t="s">
        <v>3114</v>
      </c>
      <c r="E55" s="23">
        <f t="shared" si="13"/>
        <v>1.03</v>
      </c>
      <c r="F55" s="715"/>
      <c r="G55" s="23">
        <f t="shared" si="14"/>
        <v>0.1</v>
      </c>
      <c r="H55" s="715"/>
      <c r="I55" s="23">
        <f t="shared" si="15"/>
        <v>1</v>
      </c>
      <c r="J55" s="715"/>
      <c r="K55" s="23">
        <f t="shared" si="16"/>
        <v>1</v>
      </c>
      <c r="L55" s="715"/>
      <c r="M55" s="23">
        <f t="shared" si="17"/>
        <v>1</v>
      </c>
      <c r="N55" s="715"/>
      <c r="O55" s="23">
        <f t="shared" si="18"/>
        <v>1</v>
      </c>
      <c r="P55" s="715" t="s">
        <v>3117</v>
      </c>
      <c r="Q55" s="23">
        <f t="shared" si="19"/>
        <v>1.1499999999999999</v>
      </c>
      <c r="R55" s="712">
        <f t="shared" si="20"/>
        <v>0</v>
      </c>
      <c r="S55" s="360">
        <f t="shared" ref="S55:S77" si="21">ROUND(R55*B55/10000,0)</f>
        <v>0</v>
      </c>
      <c r="V55" s="794"/>
    </row>
    <row r="56" spans="1:22">
      <c r="A56" s="3006"/>
      <c r="B56" s="714"/>
      <c r="C56" s="23">
        <f t="shared" si="12"/>
        <v>1</v>
      </c>
      <c r="D56" s="715" t="s">
        <v>3215</v>
      </c>
      <c r="E56" s="23">
        <f t="shared" si="13"/>
        <v>1</v>
      </c>
      <c r="F56" s="715"/>
      <c r="G56" s="23">
        <f t="shared" si="14"/>
        <v>0.1</v>
      </c>
      <c r="H56" s="715"/>
      <c r="I56" s="23">
        <f t="shared" si="15"/>
        <v>1</v>
      </c>
      <c r="J56" s="715"/>
      <c r="K56" s="23">
        <f t="shared" si="16"/>
        <v>1</v>
      </c>
      <c r="L56" s="715"/>
      <c r="M56" s="23">
        <f t="shared" si="17"/>
        <v>1</v>
      </c>
      <c r="N56" s="715"/>
      <c r="O56" s="23">
        <f t="shared" si="18"/>
        <v>1</v>
      </c>
      <c r="P56" s="715" t="s">
        <v>3119</v>
      </c>
      <c r="Q56" s="23">
        <f t="shared" si="19"/>
        <v>0.85</v>
      </c>
      <c r="R56" s="712">
        <f t="shared" si="20"/>
        <v>0</v>
      </c>
      <c r="S56" s="360">
        <f t="shared" si="21"/>
        <v>0</v>
      </c>
      <c r="V56" s="794"/>
    </row>
    <row r="57" spans="1:22">
      <c r="A57" s="3006"/>
      <c r="B57" s="714"/>
      <c r="C57" s="23">
        <f t="shared" si="12"/>
        <v>1</v>
      </c>
      <c r="D57" s="715" t="s">
        <v>3215</v>
      </c>
      <c r="E57" s="23">
        <f t="shared" si="13"/>
        <v>1</v>
      </c>
      <c r="F57" s="715"/>
      <c r="G57" s="23">
        <f t="shared" si="14"/>
        <v>0.1</v>
      </c>
      <c r="H57" s="715"/>
      <c r="I57" s="23">
        <f t="shared" si="15"/>
        <v>1</v>
      </c>
      <c r="J57" s="715"/>
      <c r="K57" s="23">
        <f t="shared" si="16"/>
        <v>1</v>
      </c>
      <c r="L57" s="715"/>
      <c r="M57" s="23">
        <f t="shared" si="17"/>
        <v>1</v>
      </c>
      <c r="N57" s="715"/>
      <c r="O57" s="23">
        <f t="shared" si="18"/>
        <v>1</v>
      </c>
      <c r="P57" s="715" t="s">
        <v>3119</v>
      </c>
      <c r="Q57" s="23">
        <f t="shared" si="19"/>
        <v>0.85</v>
      </c>
      <c r="R57" s="712">
        <f t="shared" si="20"/>
        <v>0</v>
      </c>
      <c r="S57" s="360">
        <f t="shared" si="21"/>
        <v>0</v>
      </c>
      <c r="V57" s="794"/>
    </row>
    <row r="58" spans="1:22">
      <c r="A58" s="3006"/>
      <c r="B58" s="714"/>
      <c r="C58" s="23">
        <f t="shared" si="12"/>
        <v>1</v>
      </c>
      <c r="D58" s="715" t="s">
        <v>3215</v>
      </c>
      <c r="E58" s="23">
        <f t="shared" si="13"/>
        <v>1</v>
      </c>
      <c r="F58" s="715"/>
      <c r="G58" s="23">
        <f t="shared" si="14"/>
        <v>0.1</v>
      </c>
      <c r="H58" s="715"/>
      <c r="I58" s="23">
        <f t="shared" si="15"/>
        <v>1</v>
      </c>
      <c r="J58" s="715"/>
      <c r="K58" s="23">
        <f t="shared" si="16"/>
        <v>1</v>
      </c>
      <c r="L58" s="715"/>
      <c r="M58" s="23">
        <f t="shared" si="17"/>
        <v>1</v>
      </c>
      <c r="N58" s="715"/>
      <c r="O58" s="23">
        <f t="shared" si="18"/>
        <v>1</v>
      </c>
      <c r="P58" s="715" t="s">
        <v>3119</v>
      </c>
      <c r="Q58" s="23">
        <f t="shared" si="19"/>
        <v>0.85</v>
      </c>
      <c r="R58" s="712">
        <f t="shared" si="20"/>
        <v>0</v>
      </c>
      <c r="S58" s="360">
        <f t="shared" si="21"/>
        <v>0</v>
      </c>
      <c r="V58" s="794"/>
    </row>
    <row r="59" spans="1:22">
      <c r="A59" s="3006"/>
      <c r="B59" s="714"/>
      <c r="C59" s="23">
        <f t="shared" si="12"/>
        <v>1</v>
      </c>
      <c r="D59" s="715" t="s">
        <v>3215</v>
      </c>
      <c r="E59" s="23">
        <f t="shared" si="13"/>
        <v>1</v>
      </c>
      <c r="F59" s="715"/>
      <c r="G59" s="23">
        <f t="shared" si="14"/>
        <v>0.1</v>
      </c>
      <c r="H59" s="715"/>
      <c r="I59" s="23">
        <f t="shared" si="15"/>
        <v>1</v>
      </c>
      <c r="J59" s="715"/>
      <c r="K59" s="23">
        <f t="shared" si="16"/>
        <v>1</v>
      </c>
      <c r="L59" s="715"/>
      <c r="M59" s="23">
        <f t="shared" si="17"/>
        <v>1</v>
      </c>
      <c r="N59" s="715"/>
      <c r="O59" s="23">
        <f t="shared" si="18"/>
        <v>1</v>
      </c>
      <c r="P59" s="715" t="s">
        <v>3119</v>
      </c>
      <c r="Q59" s="23">
        <f t="shared" si="19"/>
        <v>0.85</v>
      </c>
      <c r="R59" s="712">
        <f t="shared" si="20"/>
        <v>0</v>
      </c>
      <c r="S59" s="360">
        <f t="shared" si="21"/>
        <v>0</v>
      </c>
      <c r="V59" s="794"/>
    </row>
    <row r="60" spans="1:22">
      <c r="A60" s="3006"/>
      <c r="B60" s="714"/>
      <c r="C60" s="23">
        <f t="shared" si="12"/>
        <v>1</v>
      </c>
      <c r="D60" s="715" t="s">
        <v>3215</v>
      </c>
      <c r="E60" s="23">
        <f t="shared" si="13"/>
        <v>1</v>
      </c>
      <c r="F60" s="715"/>
      <c r="G60" s="23">
        <f t="shared" si="14"/>
        <v>0.1</v>
      </c>
      <c r="H60" s="715"/>
      <c r="I60" s="23">
        <f t="shared" si="15"/>
        <v>1</v>
      </c>
      <c r="J60" s="715"/>
      <c r="K60" s="23">
        <f t="shared" si="16"/>
        <v>1</v>
      </c>
      <c r="L60" s="715"/>
      <c r="M60" s="23">
        <f t="shared" si="17"/>
        <v>1</v>
      </c>
      <c r="N60" s="715"/>
      <c r="O60" s="23">
        <f t="shared" si="18"/>
        <v>1</v>
      </c>
      <c r="P60" s="715" t="s">
        <v>3119</v>
      </c>
      <c r="Q60" s="23">
        <f t="shared" si="19"/>
        <v>0.85</v>
      </c>
      <c r="R60" s="712">
        <f t="shared" si="20"/>
        <v>0</v>
      </c>
      <c r="S60" s="360">
        <f t="shared" si="21"/>
        <v>0</v>
      </c>
      <c r="V60" s="794"/>
    </row>
    <row r="61" spans="1:22">
      <c r="A61" s="3006"/>
      <c r="B61" s="714"/>
      <c r="C61" s="23">
        <f t="shared" si="12"/>
        <v>1</v>
      </c>
      <c r="D61" s="715" t="s">
        <v>3215</v>
      </c>
      <c r="E61" s="23">
        <f t="shared" si="13"/>
        <v>1</v>
      </c>
      <c r="F61" s="715"/>
      <c r="G61" s="23">
        <f t="shared" si="14"/>
        <v>0.1</v>
      </c>
      <c r="H61" s="715"/>
      <c r="I61" s="23">
        <f t="shared" si="15"/>
        <v>1</v>
      </c>
      <c r="J61" s="715"/>
      <c r="K61" s="23">
        <f t="shared" si="16"/>
        <v>1</v>
      </c>
      <c r="L61" s="715"/>
      <c r="M61" s="23">
        <f t="shared" si="17"/>
        <v>1</v>
      </c>
      <c r="N61" s="715"/>
      <c r="O61" s="23">
        <f t="shared" si="18"/>
        <v>1</v>
      </c>
      <c r="P61" s="715" t="s">
        <v>3119</v>
      </c>
      <c r="Q61" s="23">
        <f t="shared" si="19"/>
        <v>0.85</v>
      </c>
      <c r="R61" s="712">
        <f t="shared" si="20"/>
        <v>0</v>
      </c>
      <c r="S61" s="360">
        <f t="shared" si="21"/>
        <v>0</v>
      </c>
      <c r="V61" s="794"/>
    </row>
    <row r="62" spans="1:22">
      <c r="A62" s="3006"/>
      <c r="B62" s="714"/>
      <c r="C62" s="23">
        <f t="shared" si="12"/>
        <v>1</v>
      </c>
      <c r="D62" s="715" t="s">
        <v>3215</v>
      </c>
      <c r="E62" s="23">
        <f t="shared" si="13"/>
        <v>1</v>
      </c>
      <c r="F62" s="715"/>
      <c r="G62" s="23">
        <f t="shared" si="14"/>
        <v>0.1</v>
      </c>
      <c r="H62" s="715"/>
      <c r="I62" s="23">
        <f t="shared" si="15"/>
        <v>1</v>
      </c>
      <c r="J62" s="715"/>
      <c r="K62" s="23">
        <f t="shared" si="16"/>
        <v>1</v>
      </c>
      <c r="L62" s="715"/>
      <c r="M62" s="23">
        <f t="shared" si="17"/>
        <v>1</v>
      </c>
      <c r="N62" s="715"/>
      <c r="O62" s="23">
        <f t="shared" si="18"/>
        <v>1</v>
      </c>
      <c r="P62" s="715" t="s">
        <v>3119</v>
      </c>
      <c r="Q62" s="23">
        <f t="shared" si="19"/>
        <v>0.85</v>
      </c>
      <c r="R62" s="712">
        <f t="shared" si="20"/>
        <v>0</v>
      </c>
      <c r="S62" s="360">
        <f t="shared" si="21"/>
        <v>0</v>
      </c>
      <c r="V62" s="794"/>
    </row>
    <row r="63" spans="1:22" s="3013" customFormat="1">
      <c r="A63" s="3008"/>
      <c r="B63" s="3009"/>
      <c r="C63" s="3010">
        <f t="shared" si="12"/>
        <v>1</v>
      </c>
      <c r="D63" s="3009" t="s">
        <v>3114</v>
      </c>
      <c r="E63" s="3010">
        <f t="shared" si="13"/>
        <v>1.03</v>
      </c>
      <c r="F63" s="3009"/>
      <c r="G63" s="3010">
        <f t="shared" si="14"/>
        <v>0.1</v>
      </c>
      <c r="H63" s="3009"/>
      <c r="I63" s="3010">
        <f t="shared" si="15"/>
        <v>1</v>
      </c>
      <c r="J63" s="3009"/>
      <c r="K63" s="3010">
        <f t="shared" si="16"/>
        <v>1</v>
      </c>
      <c r="L63" s="3009"/>
      <c r="M63" s="3010">
        <f t="shared" si="17"/>
        <v>1</v>
      </c>
      <c r="N63" s="3009"/>
      <c r="O63" s="3010">
        <f t="shared" si="18"/>
        <v>1</v>
      </c>
      <c r="P63" s="3009" t="s">
        <v>3117</v>
      </c>
      <c r="Q63" s="3010">
        <f t="shared" si="19"/>
        <v>1.1499999999999999</v>
      </c>
      <c r="R63" s="3011">
        <f t="shared" si="20"/>
        <v>0</v>
      </c>
      <c r="S63" s="3012">
        <f t="shared" si="21"/>
        <v>0</v>
      </c>
      <c r="V63" s="3014"/>
    </row>
    <row r="64" spans="1:22" s="3013" customFormat="1">
      <c r="A64" s="3008"/>
      <c r="B64" s="3009"/>
      <c r="C64" s="3010">
        <f t="shared" si="12"/>
        <v>1</v>
      </c>
      <c r="D64" s="3009" t="s">
        <v>3114</v>
      </c>
      <c r="E64" s="3010">
        <f t="shared" si="13"/>
        <v>1.03</v>
      </c>
      <c r="F64" s="3009"/>
      <c r="G64" s="3010">
        <f t="shared" si="14"/>
        <v>0.1</v>
      </c>
      <c r="H64" s="3009"/>
      <c r="I64" s="3010">
        <f t="shared" si="15"/>
        <v>1</v>
      </c>
      <c r="J64" s="3009"/>
      <c r="K64" s="3010">
        <f t="shared" si="16"/>
        <v>1</v>
      </c>
      <c r="L64" s="3009"/>
      <c r="M64" s="3010">
        <f t="shared" si="17"/>
        <v>1</v>
      </c>
      <c r="N64" s="3009"/>
      <c r="O64" s="3010">
        <f t="shared" si="18"/>
        <v>1</v>
      </c>
      <c r="P64" s="3009" t="s">
        <v>3119</v>
      </c>
      <c r="Q64" s="3010">
        <f t="shared" si="19"/>
        <v>0.85</v>
      </c>
      <c r="R64" s="3011">
        <f t="shared" si="20"/>
        <v>0</v>
      </c>
      <c r="S64" s="3012">
        <f t="shared" si="21"/>
        <v>0</v>
      </c>
      <c r="V64" s="3014"/>
    </row>
    <row r="65" spans="1:22" s="3013" customFormat="1">
      <c r="A65" s="3008"/>
      <c r="B65" s="3009"/>
      <c r="C65" s="3010">
        <f t="shared" si="12"/>
        <v>1</v>
      </c>
      <c r="D65" s="3009" t="s">
        <v>3114</v>
      </c>
      <c r="E65" s="3010">
        <f t="shared" si="13"/>
        <v>1.03</v>
      </c>
      <c r="F65" s="3009"/>
      <c r="G65" s="3010">
        <f t="shared" si="14"/>
        <v>0.1</v>
      </c>
      <c r="H65" s="3009"/>
      <c r="I65" s="3010">
        <f t="shared" si="15"/>
        <v>1</v>
      </c>
      <c r="J65" s="3009"/>
      <c r="K65" s="3010">
        <f t="shared" si="16"/>
        <v>1</v>
      </c>
      <c r="L65" s="3009"/>
      <c r="M65" s="3010">
        <f t="shared" si="17"/>
        <v>1</v>
      </c>
      <c r="N65" s="3009"/>
      <c r="O65" s="3010">
        <f t="shared" si="18"/>
        <v>1</v>
      </c>
      <c r="P65" s="3009" t="s">
        <v>3120</v>
      </c>
      <c r="Q65" s="3010">
        <f t="shared" si="19"/>
        <v>0.75</v>
      </c>
      <c r="R65" s="3011">
        <f t="shared" si="20"/>
        <v>0</v>
      </c>
      <c r="S65" s="3012">
        <f t="shared" si="21"/>
        <v>0</v>
      </c>
      <c r="V65" s="3014"/>
    </row>
    <row r="66" spans="1:22">
      <c r="A66" s="3006"/>
      <c r="B66" s="714"/>
      <c r="C66" s="23">
        <f t="shared" si="12"/>
        <v>1</v>
      </c>
      <c r="D66" s="715" t="s">
        <v>3114</v>
      </c>
      <c r="E66" s="23">
        <f t="shared" si="13"/>
        <v>1.03</v>
      </c>
      <c r="F66" s="715"/>
      <c r="G66" s="23">
        <f t="shared" si="14"/>
        <v>0.1</v>
      </c>
      <c r="H66" s="715"/>
      <c r="I66" s="23">
        <f t="shared" si="15"/>
        <v>1</v>
      </c>
      <c r="J66" s="715"/>
      <c r="K66" s="23">
        <f t="shared" si="16"/>
        <v>1</v>
      </c>
      <c r="L66" s="715"/>
      <c r="M66" s="23">
        <f t="shared" si="17"/>
        <v>1</v>
      </c>
      <c r="N66" s="715"/>
      <c r="O66" s="23">
        <f t="shared" si="18"/>
        <v>1</v>
      </c>
      <c r="P66" s="715" t="s">
        <v>3117</v>
      </c>
      <c r="Q66" s="23">
        <f t="shared" si="19"/>
        <v>1.1499999999999999</v>
      </c>
      <c r="R66" s="712">
        <f t="shared" si="20"/>
        <v>0</v>
      </c>
      <c r="S66" s="360">
        <f t="shared" si="21"/>
        <v>0</v>
      </c>
      <c r="V66" s="794"/>
    </row>
    <row r="67" spans="1:22">
      <c r="A67" s="3006"/>
      <c r="B67" s="714"/>
      <c r="C67" s="23">
        <f t="shared" si="12"/>
        <v>1</v>
      </c>
      <c r="D67" s="715" t="s">
        <v>3114</v>
      </c>
      <c r="E67" s="23">
        <f t="shared" si="13"/>
        <v>1.03</v>
      </c>
      <c r="F67" s="715"/>
      <c r="G67" s="23">
        <f t="shared" si="14"/>
        <v>0.1</v>
      </c>
      <c r="H67" s="715"/>
      <c r="I67" s="23">
        <f t="shared" si="15"/>
        <v>1</v>
      </c>
      <c r="J67" s="715"/>
      <c r="K67" s="23">
        <f t="shared" si="16"/>
        <v>1</v>
      </c>
      <c r="L67" s="715"/>
      <c r="M67" s="23">
        <f t="shared" si="17"/>
        <v>1</v>
      </c>
      <c r="N67" s="715"/>
      <c r="O67" s="23">
        <f t="shared" si="18"/>
        <v>1</v>
      </c>
      <c r="P67" s="715" t="s">
        <v>3117</v>
      </c>
      <c r="Q67" s="23">
        <f t="shared" si="19"/>
        <v>1.1499999999999999</v>
      </c>
      <c r="R67" s="712">
        <f t="shared" si="20"/>
        <v>0</v>
      </c>
      <c r="S67" s="360">
        <f t="shared" si="21"/>
        <v>0</v>
      </c>
      <c r="V67" s="794"/>
    </row>
    <row r="68" spans="1:22">
      <c r="A68" s="3006"/>
      <c r="B68" s="714"/>
      <c r="C68" s="23">
        <f t="shared" si="12"/>
        <v>1</v>
      </c>
      <c r="D68" s="715" t="s">
        <v>3114</v>
      </c>
      <c r="E68" s="23">
        <f t="shared" si="13"/>
        <v>1.03</v>
      </c>
      <c r="F68" s="715"/>
      <c r="G68" s="23">
        <f t="shared" si="14"/>
        <v>0.1</v>
      </c>
      <c r="H68" s="715"/>
      <c r="I68" s="23">
        <f t="shared" si="15"/>
        <v>1</v>
      </c>
      <c r="J68" s="715"/>
      <c r="K68" s="23">
        <f t="shared" si="16"/>
        <v>1</v>
      </c>
      <c r="L68" s="715"/>
      <c r="M68" s="23">
        <f t="shared" si="17"/>
        <v>1</v>
      </c>
      <c r="N68" s="715"/>
      <c r="O68" s="23">
        <f t="shared" si="18"/>
        <v>1</v>
      </c>
      <c r="P68" s="715" t="s">
        <v>3117</v>
      </c>
      <c r="Q68" s="23">
        <f t="shared" si="19"/>
        <v>1.1499999999999999</v>
      </c>
      <c r="R68" s="712">
        <f t="shared" si="20"/>
        <v>0</v>
      </c>
      <c r="S68" s="360">
        <f t="shared" si="21"/>
        <v>0</v>
      </c>
      <c r="V68" s="794"/>
    </row>
    <row r="69" spans="1:22">
      <c r="A69" s="3006"/>
      <c r="B69" s="714"/>
      <c r="C69" s="23">
        <f t="shared" si="12"/>
        <v>1</v>
      </c>
      <c r="D69" s="715" t="s">
        <v>3114</v>
      </c>
      <c r="E69" s="23">
        <f t="shared" si="13"/>
        <v>1.03</v>
      </c>
      <c r="F69" s="715"/>
      <c r="G69" s="23">
        <f t="shared" si="14"/>
        <v>0.1</v>
      </c>
      <c r="H69" s="715"/>
      <c r="I69" s="23">
        <f t="shared" si="15"/>
        <v>1</v>
      </c>
      <c r="J69" s="715"/>
      <c r="K69" s="23">
        <f t="shared" si="16"/>
        <v>1</v>
      </c>
      <c r="L69" s="715"/>
      <c r="M69" s="23">
        <f t="shared" si="17"/>
        <v>1</v>
      </c>
      <c r="N69" s="715"/>
      <c r="O69" s="23">
        <f t="shared" si="18"/>
        <v>1</v>
      </c>
      <c r="P69" s="715" t="s">
        <v>3117</v>
      </c>
      <c r="Q69" s="23">
        <f t="shared" si="19"/>
        <v>1.1499999999999999</v>
      </c>
      <c r="R69" s="712">
        <f t="shared" si="20"/>
        <v>0</v>
      </c>
      <c r="S69" s="360">
        <f t="shared" si="21"/>
        <v>0</v>
      </c>
      <c r="V69" s="794"/>
    </row>
    <row r="70" spans="1:22">
      <c r="A70" s="3006"/>
      <c r="B70" s="714"/>
      <c r="C70" s="23">
        <f t="shared" si="12"/>
        <v>1</v>
      </c>
      <c r="D70" s="715" t="s">
        <v>3114</v>
      </c>
      <c r="E70" s="23">
        <f t="shared" si="13"/>
        <v>1.03</v>
      </c>
      <c r="F70" s="715"/>
      <c r="G70" s="23">
        <f t="shared" si="14"/>
        <v>0.1</v>
      </c>
      <c r="H70" s="715"/>
      <c r="I70" s="23">
        <f t="shared" si="15"/>
        <v>1</v>
      </c>
      <c r="J70" s="715"/>
      <c r="K70" s="23">
        <f t="shared" si="16"/>
        <v>1</v>
      </c>
      <c r="L70" s="715"/>
      <c r="M70" s="23">
        <f t="shared" si="17"/>
        <v>1</v>
      </c>
      <c r="N70" s="715"/>
      <c r="O70" s="23">
        <f t="shared" si="18"/>
        <v>1</v>
      </c>
      <c r="P70" s="715" t="s">
        <v>3117</v>
      </c>
      <c r="Q70" s="23">
        <f t="shared" si="19"/>
        <v>1.1499999999999999</v>
      </c>
      <c r="R70" s="712">
        <f t="shared" si="20"/>
        <v>0</v>
      </c>
      <c r="S70" s="360">
        <f t="shared" si="21"/>
        <v>0</v>
      </c>
      <c r="V70" s="794"/>
    </row>
    <row r="71" spans="1:22">
      <c r="A71" s="3006"/>
      <c r="B71" s="714"/>
      <c r="C71" s="23">
        <f t="shared" si="12"/>
        <v>1</v>
      </c>
      <c r="D71" s="715" t="s">
        <v>3114</v>
      </c>
      <c r="E71" s="23">
        <f t="shared" si="13"/>
        <v>1.03</v>
      </c>
      <c r="F71" s="715"/>
      <c r="G71" s="23">
        <f t="shared" si="14"/>
        <v>0.1</v>
      </c>
      <c r="H71" s="715"/>
      <c r="I71" s="23">
        <f t="shared" si="15"/>
        <v>1</v>
      </c>
      <c r="J71" s="715"/>
      <c r="K71" s="23">
        <f t="shared" si="16"/>
        <v>1</v>
      </c>
      <c r="L71" s="715"/>
      <c r="M71" s="23">
        <f t="shared" si="17"/>
        <v>1</v>
      </c>
      <c r="N71" s="715"/>
      <c r="O71" s="23">
        <f t="shared" si="18"/>
        <v>1</v>
      </c>
      <c r="P71" s="715" t="s">
        <v>3117</v>
      </c>
      <c r="Q71" s="23">
        <f t="shared" si="19"/>
        <v>1.1499999999999999</v>
      </c>
      <c r="R71" s="712">
        <f t="shared" si="20"/>
        <v>0</v>
      </c>
      <c r="S71" s="360">
        <f t="shared" si="21"/>
        <v>0</v>
      </c>
      <c r="V71" s="794"/>
    </row>
    <row r="72" spans="1:22">
      <c r="A72" s="3006"/>
      <c r="B72" s="714"/>
      <c r="C72" s="23">
        <f t="shared" si="12"/>
        <v>1</v>
      </c>
      <c r="D72" s="715" t="s">
        <v>3114</v>
      </c>
      <c r="E72" s="23">
        <f t="shared" si="13"/>
        <v>1.03</v>
      </c>
      <c r="F72" s="715"/>
      <c r="G72" s="23">
        <f t="shared" si="14"/>
        <v>0.1</v>
      </c>
      <c r="H72" s="715"/>
      <c r="I72" s="23">
        <f t="shared" si="15"/>
        <v>1</v>
      </c>
      <c r="J72" s="715"/>
      <c r="K72" s="23">
        <f t="shared" si="16"/>
        <v>1</v>
      </c>
      <c r="L72" s="715"/>
      <c r="M72" s="23">
        <f t="shared" si="17"/>
        <v>1</v>
      </c>
      <c r="N72" s="715"/>
      <c r="O72" s="23">
        <f t="shared" si="18"/>
        <v>1</v>
      </c>
      <c r="P72" s="715" t="s">
        <v>3117</v>
      </c>
      <c r="Q72" s="23">
        <f t="shared" si="19"/>
        <v>1.1499999999999999</v>
      </c>
      <c r="R72" s="712">
        <f t="shared" si="20"/>
        <v>0</v>
      </c>
      <c r="S72" s="360">
        <f t="shared" si="21"/>
        <v>0</v>
      </c>
      <c r="V72" s="794"/>
    </row>
    <row r="73" spans="1:22">
      <c r="A73" s="3006"/>
      <c r="B73" s="714"/>
      <c r="C73" s="23">
        <f t="shared" si="12"/>
        <v>1</v>
      </c>
      <c r="D73" s="715" t="s">
        <v>3114</v>
      </c>
      <c r="E73" s="23">
        <f t="shared" si="13"/>
        <v>1.03</v>
      </c>
      <c r="F73" s="715"/>
      <c r="G73" s="23">
        <f t="shared" si="14"/>
        <v>0.1</v>
      </c>
      <c r="H73" s="715"/>
      <c r="I73" s="23">
        <f t="shared" si="15"/>
        <v>1</v>
      </c>
      <c r="J73" s="715"/>
      <c r="K73" s="23">
        <f t="shared" si="16"/>
        <v>1</v>
      </c>
      <c r="L73" s="715"/>
      <c r="M73" s="23">
        <f t="shared" si="17"/>
        <v>1</v>
      </c>
      <c r="N73" s="715"/>
      <c r="O73" s="23">
        <f t="shared" si="18"/>
        <v>1</v>
      </c>
      <c r="P73" s="715" t="s">
        <v>3117</v>
      </c>
      <c r="Q73" s="23">
        <f t="shared" si="19"/>
        <v>1.1499999999999999</v>
      </c>
      <c r="R73" s="712">
        <f t="shared" si="20"/>
        <v>0</v>
      </c>
      <c r="S73" s="360">
        <f t="shared" si="21"/>
        <v>0</v>
      </c>
      <c r="V73" s="794"/>
    </row>
    <row r="74" spans="1:22">
      <c r="A74" s="3006"/>
      <c r="B74" s="714"/>
      <c r="C74" s="23">
        <f t="shared" si="12"/>
        <v>1</v>
      </c>
      <c r="D74" s="715" t="s">
        <v>3114</v>
      </c>
      <c r="E74" s="23">
        <f t="shared" si="13"/>
        <v>1.03</v>
      </c>
      <c r="F74" s="715"/>
      <c r="G74" s="23">
        <f t="shared" si="14"/>
        <v>0.1</v>
      </c>
      <c r="H74" s="715"/>
      <c r="I74" s="23">
        <f t="shared" si="15"/>
        <v>1</v>
      </c>
      <c r="J74" s="715"/>
      <c r="K74" s="23">
        <f t="shared" si="16"/>
        <v>1</v>
      </c>
      <c r="L74" s="715"/>
      <c r="M74" s="23">
        <f t="shared" si="17"/>
        <v>1</v>
      </c>
      <c r="N74" s="715"/>
      <c r="O74" s="23">
        <f t="shared" si="18"/>
        <v>1</v>
      </c>
      <c r="P74" s="715" t="s">
        <v>3117</v>
      </c>
      <c r="Q74" s="23">
        <f t="shared" si="19"/>
        <v>1.1499999999999999</v>
      </c>
      <c r="R74" s="712">
        <f t="shared" si="20"/>
        <v>0</v>
      </c>
      <c r="S74" s="360">
        <f t="shared" si="21"/>
        <v>0</v>
      </c>
      <c r="V74" s="794"/>
    </row>
    <row r="75" spans="1:22">
      <c r="A75" s="3006"/>
      <c r="B75" s="714"/>
      <c r="C75" s="23">
        <f t="shared" si="12"/>
        <v>1</v>
      </c>
      <c r="D75" s="715" t="s">
        <v>3215</v>
      </c>
      <c r="E75" s="23">
        <f t="shared" si="13"/>
        <v>1</v>
      </c>
      <c r="F75" s="715"/>
      <c r="G75" s="23">
        <f t="shared" si="14"/>
        <v>0.1</v>
      </c>
      <c r="H75" s="715"/>
      <c r="I75" s="23">
        <f t="shared" si="15"/>
        <v>1</v>
      </c>
      <c r="J75" s="715"/>
      <c r="K75" s="23">
        <f t="shared" si="16"/>
        <v>1</v>
      </c>
      <c r="L75" s="715"/>
      <c r="M75" s="23">
        <f t="shared" si="17"/>
        <v>1</v>
      </c>
      <c r="N75" s="715"/>
      <c r="O75" s="23">
        <f t="shared" si="18"/>
        <v>1</v>
      </c>
      <c r="P75" s="715" t="s">
        <v>3119</v>
      </c>
      <c r="Q75" s="23">
        <f t="shared" si="19"/>
        <v>0.85</v>
      </c>
      <c r="R75" s="712">
        <f t="shared" si="20"/>
        <v>0</v>
      </c>
      <c r="S75" s="360">
        <f t="shared" si="21"/>
        <v>0</v>
      </c>
      <c r="V75" s="794"/>
    </row>
    <row r="76" spans="1:22">
      <c r="A76" s="3006"/>
      <c r="B76" s="714"/>
      <c r="C76" s="23">
        <f t="shared" si="12"/>
        <v>1</v>
      </c>
      <c r="D76" s="715" t="s">
        <v>3215</v>
      </c>
      <c r="E76" s="23">
        <f t="shared" si="13"/>
        <v>1</v>
      </c>
      <c r="F76" s="715"/>
      <c r="G76" s="23">
        <f t="shared" si="14"/>
        <v>0.1</v>
      </c>
      <c r="H76" s="715"/>
      <c r="I76" s="23">
        <f t="shared" si="15"/>
        <v>1</v>
      </c>
      <c r="J76" s="715"/>
      <c r="K76" s="23">
        <f t="shared" si="16"/>
        <v>1</v>
      </c>
      <c r="L76" s="715"/>
      <c r="M76" s="23">
        <f t="shared" si="17"/>
        <v>1</v>
      </c>
      <c r="N76" s="715"/>
      <c r="O76" s="23">
        <f t="shared" si="18"/>
        <v>1</v>
      </c>
      <c r="P76" s="715" t="s">
        <v>3119</v>
      </c>
      <c r="Q76" s="23">
        <f t="shared" si="19"/>
        <v>0.85</v>
      </c>
      <c r="R76" s="712">
        <f t="shared" si="20"/>
        <v>0</v>
      </c>
      <c r="S76" s="360">
        <f t="shared" si="21"/>
        <v>0</v>
      </c>
      <c r="V76" s="794"/>
    </row>
    <row r="77" spans="1:22">
      <c r="A77" s="3006"/>
      <c r="B77" s="714"/>
      <c r="C77" s="23">
        <f t="shared" si="12"/>
        <v>1</v>
      </c>
      <c r="D77" s="715" t="s">
        <v>3215</v>
      </c>
      <c r="E77" s="23">
        <f t="shared" si="13"/>
        <v>1</v>
      </c>
      <c r="F77" s="715"/>
      <c r="G77" s="23">
        <f t="shared" si="14"/>
        <v>0.1</v>
      </c>
      <c r="H77" s="715"/>
      <c r="I77" s="23">
        <f t="shared" si="15"/>
        <v>1</v>
      </c>
      <c r="J77" s="715"/>
      <c r="K77" s="23">
        <f t="shared" si="16"/>
        <v>1</v>
      </c>
      <c r="L77" s="715"/>
      <c r="M77" s="23">
        <f t="shared" si="17"/>
        <v>1</v>
      </c>
      <c r="N77" s="715"/>
      <c r="O77" s="23">
        <f t="shared" si="18"/>
        <v>1</v>
      </c>
      <c r="P77" s="715" t="s">
        <v>3119</v>
      </c>
      <c r="Q77" s="23">
        <f t="shared" si="19"/>
        <v>0.85</v>
      </c>
      <c r="R77" s="712">
        <f t="shared" si="20"/>
        <v>0</v>
      </c>
      <c r="S77" s="360">
        <f t="shared" si="21"/>
        <v>0</v>
      </c>
      <c r="V77" s="794"/>
    </row>
    <row r="78" spans="1:22">
      <c r="A78" s="3006"/>
      <c r="B78" s="714"/>
      <c r="C78" s="23">
        <f t="shared" si="12"/>
        <v>1</v>
      </c>
      <c r="D78" s="715" t="s">
        <v>3215</v>
      </c>
      <c r="E78" s="23">
        <f t="shared" si="13"/>
        <v>1</v>
      </c>
      <c r="F78" s="715"/>
      <c r="G78" s="23">
        <f t="shared" si="14"/>
        <v>0.1</v>
      </c>
      <c r="H78" s="715"/>
      <c r="I78" s="23">
        <f t="shared" si="15"/>
        <v>1</v>
      </c>
      <c r="J78" s="715"/>
      <c r="K78" s="23">
        <f t="shared" si="16"/>
        <v>1</v>
      </c>
      <c r="L78" s="715"/>
      <c r="M78" s="23">
        <f t="shared" si="17"/>
        <v>1</v>
      </c>
      <c r="N78" s="715"/>
      <c r="O78" s="23">
        <f t="shared" si="18"/>
        <v>1</v>
      </c>
      <c r="P78" s="715" t="s">
        <v>3119</v>
      </c>
      <c r="Q78" s="23">
        <f t="shared" si="19"/>
        <v>0.85</v>
      </c>
      <c r="R78" s="712">
        <f t="shared" si="20"/>
        <v>0</v>
      </c>
      <c r="S78" s="360">
        <f t="shared" ref="S78:S122" si="22">ROUND(R78*B78/10000,0)</f>
        <v>0</v>
      </c>
      <c r="V78" s="794"/>
    </row>
    <row r="79" spans="1:22">
      <c r="A79" s="3006"/>
      <c r="B79" s="714"/>
      <c r="C79" s="23">
        <f t="shared" si="12"/>
        <v>1</v>
      </c>
      <c r="D79" s="715" t="s">
        <v>3215</v>
      </c>
      <c r="E79" s="23">
        <f t="shared" si="13"/>
        <v>1</v>
      </c>
      <c r="F79" s="715"/>
      <c r="G79" s="23">
        <f t="shared" si="14"/>
        <v>0.1</v>
      </c>
      <c r="H79" s="715"/>
      <c r="I79" s="23">
        <f t="shared" si="15"/>
        <v>1</v>
      </c>
      <c r="J79" s="715"/>
      <c r="K79" s="23">
        <f t="shared" si="16"/>
        <v>1</v>
      </c>
      <c r="L79" s="715"/>
      <c r="M79" s="23">
        <f t="shared" si="17"/>
        <v>1</v>
      </c>
      <c r="N79" s="715"/>
      <c r="O79" s="23">
        <f t="shared" si="18"/>
        <v>1</v>
      </c>
      <c r="P79" s="715" t="s">
        <v>3119</v>
      </c>
      <c r="Q79" s="23">
        <f t="shared" si="19"/>
        <v>0.85</v>
      </c>
      <c r="R79" s="712">
        <f t="shared" si="20"/>
        <v>0</v>
      </c>
      <c r="S79" s="360">
        <f t="shared" si="22"/>
        <v>0</v>
      </c>
      <c r="V79" s="794"/>
    </row>
    <row r="80" spans="1:22">
      <c r="A80" s="3006"/>
      <c r="B80" s="714"/>
      <c r="C80" s="23">
        <f t="shared" si="12"/>
        <v>1</v>
      </c>
      <c r="D80" s="715" t="s">
        <v>3215</v>
      </c>
      <c r="E80" s="23">
        <f t="shared" si="13"/>
        <v>1</v>
      </c>
      <c r="F80" s="715"/>
      <c r="G80" s="23">
        <f t="shared" si="14"/>
        <v>0.1</v>
      </c>
      <c r="H80" s="715"/>
      <c r="I80" s="23">
        <f t="shared" si="15"/>
        <v>1</v>
      </c>
      <c r="J80" s="715"/>
      <c r="K80" s="23">
        <f t="shared" si="16"/>
        <v>1</v>
      </c>
      <c r="L80" s="715"/>
      <c r="M80" s="23">
        <f t="shared" si="17"/>
        <v>1</v>
      </c>
      <c r="N80" s="715"/>
      <c r="O80" s="23">
        <f t="shared" si="18"/>
        <v>1</v>
      </c>
      <c r="P80" s="715" t="s">
        <v>3119</v>
      </c>
      <c r="Q80" s="23">
        <f t="shared" si="19"/>
        <v>0.85</v>
      </c>
      <c r="R80" s="712">
        <f t="shared" si="20"/>
        <v>0</v>
      </c>
      <c r="S80" s="360">
        <f t="shared" si="22"/>
        <v>0</v>
      </c>
      <c r="V80" s="794"/>
    </row>
    <row r="81" spans="1:22">
      <c r="A81" s="3006"/>
      <c r="B81" s="714"/>
      <c r="C81" s="23">
        <f t="shared" si="12"/>
        <v>1</v>
      </c>
      <c r="D81" s="715" t="s">
        <v>3215</v>
      </c>
      <c r="E81" s="23">
        <f t="shared" si="13"/>
        <v>1</v>
      </c>
      <c r="F81" s="715"/>
      <c r="G81" s="23">
        <f t="shared" si="14"/>
        <v>0.1</v>
      </c>
      <c r="H81" s="715"/>
      <c r="I81" s="23">
        <f t="shared" si="15"/>
        <v>1</v>
      </c>
      <c r="J81" s="715"/>
      <c r="K81" s="23">
        <f t="shared" si="16"/>
        <v>1</v>
      </c>
      <c r="L81" s="715"/>
      <c r="M81" s="23">
        <f t="shared" si="17"/>
        <v>1</v>
      </c>
      <c r="N81" s="715"/>
      <c r="O81" s="23">
        <f t="shared" si="18"/>
        <v>1</v>
      </c>
      <c r="P81" s="715" t="s">
        <v>3119</v>
      </c>
      <c r="Q81" s="23">
        <f t="shared" si="19"/>
        <v>0.85</v>
      </c>
      <c r="R81" s="712">
        <f t="shared" si="20"/>
        <v>0</v>
      </c>
      <c r="S81" s="360">
        <f t="shared" si="22"/>
        <v>0</v>
      </c>
      <c r="V81" s="794"/>
    </row>
    <row r="82" spans="1:22">
      <c r="A82" s="3006"/>
      <c r="B82" s="714"/>
      <c r="C82" s="23">
        <f t="shared" si="12"/>
        <v>1</v>
      </c>
      <c r="D82" s="715" t="s">
        <v>3215</v>
      </c>
      <c r="E82" s="23">
        <f t="shared" si="13"/>
        <v>1</v>
      </c>
      <c r="F82" s="715"/>
      <c r="G82" s="23">
        <f t="shared" si="14"/>
        <v>0.1</v>
      </c>
      <c r="H82" s="715"/>
      <c r="I82" s="23">
        <f t="shared" si="15"/>
        <v>1</v>
      </c>
      <c r="J82" s="715"/>
      <c r="K82" s="23">
        <f t="shared" si="16"/>
        <v>1</v>
      </c>
      <c r="L82" s="715"/>
      <c r="M82" s="23">
        <f t="shared" si="17"/>
        <v>1</v>
      </c>
      <c r="N82" s="715"/>
      <c r="O82" s="23">
        <f t="shared" si="18"/>
        <v>1</v>
      </c>
      <c r="P82" s="715" t="s">
        <v>3119</v>
      </c>
      <c r="Q82" s="23">
        <f t="shared" si="19"/>
        <v>0.85</v>
      </c>
      <c r="R82" s="712">
        <f t="shared" si="20"/>
        <v>0</v>
      </c>
      <c r="S82" s="360">
        <f t="shared" si="22"/>
        <v>0</v>
      </c>
      <c r="V82" s="794"/>
    </row>
    <row r="83" spans="1:22">
      <c r="A83" s="3006"/>
      <c r="B83" s="714"/>
      <c r="C83" s="23">
        <f t="shared" si="12"/>
        <v>1</v>
      </c>
      <c r="D83" s="715" t="s">
        <v>3215</v>
      </c>
      <c r="E83" s="23">
        <f t="shared" si="13"/>
        <v>1</v>
      </c>
      <c r="F83" s="715"/>
      <c r="G83" s="23">
        <f t="shared" si="14"/>
        <v>0.1</v>
      </c>
      <c r="H83" s="715"/>
      <c r="I83" s="23">
        <f t="shared" si="15"/>
        <v>1</v>
      </c>
      <c r="J83" s="715"/>
      <c r="K83" s="23">
        <f t="shared" si="16"/>
        <v>1</v>
      </c>
      <c r="L83" s="715"/>
      <c r="M83" s="23">
        <f t="shared" si="17"/>
        <v>1</v>
      </c>
      <c r="N83" s="715"/>
      <c r="O83" s="23">
        <f t="shared" si="18"/>
        <v>1</v>
      </c>
      <c r="P83" s="715" t="s">
        <v>3119</v>
      </c>
      <c r="Q83" s="23">
        <f t="shared" si="19"/>
        <v>0.85</v>
      </c>
      <c r="R83" s="712">
        <f t="shared" si="20"/>
        <v>0</v>
      </c>
      <c r="S83" s="360">
        <f t="shared" si="22"/>
        <v>0</v>
      </c>
      <c r="V83" s="794"/>
    </row>
    <row r="84" spans="1:22">
      <c r="A84" s="3006"/>
      <c r="B84" s="714"/>
      <c r="C84" s="23">
        <f t="shared" si="12"/>
        <v>1</v>
      </c>
      <c r="D84" s="715"/>
      <c r="E84" s="23">
        <f t="shared" si="13"/>
        <v>0.03</v>
      </c>
      <c r="F84" s="715"/>
      <c r="G84" s="23">
        <f t="shared" si="14"/>
        <v>0.1</v>
      </c>
      <c r="H84" s="715"/>
      <c r="I84" s="23">
        <f t="shared" si="15"/>
        <v>1</v>
      </c>
      <c r="J84" s="715"/>
      <c r="K84" s="23">
        <f t="shared" si="16"/>
        <v>1</v>
      </c>
      <c r="L84" s="715"/>
      <c r="M84" s="23">
        <f t="shared" si="17"/>
        <v>1</v>
      </c>
      <c r="N84" s="715"/>
      <c r="O84" s="23">
        <f t="shared" si="18"/>
        <v>1</v>
      </c>
      <c r="P84" s="715" t="s">
        <v>3119</v>
      </c>
      <c r="Q84" s="23">
        <f t="shared" si="19"/>
        <v>0.85</v>
      </c>
      <c r="R84" s="712">
        <f t="shared" si="20"/>
        <v>0</v>
      </c>
      <c r="S84" s="360">
        <f t="shared" si="22"/>
        <v>0</v>
      </c>
      <c r="V84" s="794"/>
    </row>
    <row r="85" spans="1:22">
      <c r="A85" s="3006"/>
      <c r="B85" s="714"/>
      <c r="C85" s="23">
        <f t="shared" si="12"/>
        <v>1</v>
      </c>
      <c r="D85" s="715"/>
      <c r="E85" s="23">
        <f t="shared" si="13"/>
        <v>0.03</v>
      </c>
      <c r="F85" s="715"/>
      <c r="G85" s="23">
        <f t="shared" si="14"/>
        <v>0.1</v>
      </c>
      <c r="H85" s="715"/>
      <c r="I85" s="23">
        <f t="shared" si="15"/>
        <v>1</v>
      </c>
      <c r="J85" s="715"/>
      <c r="K85" s="23">
        <f t="shared" si="16"/>
        <v>1</v>
      </c>
      <c r="L85" s="715"/>
      <c r="M85" s="23">
        <f t="shared" si="17"/>
        <v>1</v>
      </c>
      <c r="N85" s="715"/>
      <c r="O85" s="23">
        <f t="shared" si="18"/>
        <v>1</v>
      </c>
      <c r="P85" s="715" t="s">
        <v>3212</v>
      </c>
      <c r="Q85" s="23">
        <f t="shared" si="19"/>
        <v>1</v>
      </c>
      <c r="R85" s="712">
        <f t="shared" si="20"/>
        <v>0</v>
      </c>
      <c r="S85" s="360">
        <f t="shared" si="22"/>
        <v>0</v>
      </c>
      <c r="V85" s="794"/>
    </row>
    <row r="86" spans="1:22">
      <c r="A86" s="3006"/>
      <c r="B86" s="714"/>
      <c r="C86" s="23">
        <f t="shared" si="12"/>
        <v>1</v>
      </c>
      <c r="D86" s="715"/>
      <c r="E86" s="23">
        <f t="shared" si="13"/>
        <v>0.03</v>
      </c>
      <c r="F86" s="715"/>
      <c r="G86" s="23">
        <f t="shared" si="14"/>
        <v>0.1</v>
      </c>
      <c r="H86" s="715"/>
      <c r="I86" s="23">
        <f t="shared" si="15"/>
        <v>1</v>
      </c>
      <c r="J86" s="715"/>
      <c r="K86" s="23">
        <f t="shared" si="16"/>
        <v>1</v>
      </c>
      <c r="L86" s="715"/>
      <c r="M86" s="23">
        <f t="shared" si="17"/>
        <v>1</v>
      </c>
      <c r="N86" s="715"/>
      <c r="O86" s="23">
        <f t="shared" si="18"/>
        <v>1</v>
      </c>
      <c r="P86" s="715" t="s">
        <v>3117</v>
      </c>
      <c r="Q86" s="23">
        <f t="shared" si="19"/>
        <v>1.1499999999999999</v>
      </c>
      <c r="R86" s="712">
        <f t="shared" si="20"/>
        <v>0</v>
      </c>
      <c r="S86" s="360">
        <f t="shared" si="22"/>
        <v>0</v>
      </c>
      <c r="V86" s="794"/>
    </row>
    <row r="87" spans="1:22">
      <c r="A87" s="3006"/>
      <c r="B87" s="714"/>
      <c r="C87" s="23">
        <f t="shared" si="12"/>
        <v>1</v>
      </c>
      <c r="D87" s="715"/>
      <c r="E87" s="23">
        <f t="shared" si="13"/>
        <v>0.03</v>
      </c>
      <c r="F87" s="715"/>
      <c r="G87" s="23">
        <f t="shared" si="14"/>
        <v>0.1</v>
      </c>
      <c r="H87" s="715"/>
      <c r="I87" s="23">
        <f t="shared" si="15"/>
        <v>1</v>
      </c>
      <c r="J87" s="715"/>
      <c r="K87" s="23">
        <f t="shared" si="16"/>
        <v>1</v>
      </c>
      <c r="L87" s="715"/>
      <c r="M87" s="23">
        <f t="shared" si="17"/>
        <v>1</v>
      </c>
      <c r="N87" s="715"/>
      <c r="O87" s="23">
        <f t="shared" si="18"/>
        <v>1</v>
      </c>
      <c r="P87" s="715" t="s">
        <v>3117</v>
      </c>
      <c r="Q87" s="23">
        <f t="shared" si="19"/>
        <v>1.1499999999999999</v>
      </c>
      <c r="R87" s="712">
        <f t="shared" si="20"/>
        <v>0</v>
      </c>
      <c r="S87" s="360">
        <f t="shared" si="22"/>
        <v>0</v>
      </c>
      <c r="V87" s="794"/>
    </row>
    <row r="88" spans="1:22">
      <c r="A88" s="3006"/>
      <c r="B88" s="714"/>
      <c r="C88" s="23">
        <f t="shared" si="12"/>
        <v>1</v>
      </c>
      <c r="D88" s="715"/>
      <c r="E88" s="23">
        <f t="shared" si="13"/>
        <v>0.03</v>
      </c>
      <c r="F88" s="715"/>
      <c r="G88" s="23">
        <f t="shared" si="14"/>
        <v>0.1</v>
      </c>
      <c r="H88" s="715"/>
      <c r="I88" s="23">
        <f t="shared" si="15"/>
        <v>1</v>
      </c>
      <c r="J88" s="715"/>
      <c r="K88" s="23">
        <f t="shared" si="16"/>
        <v>1</v>
      </c>
      <c r="L88" s="715"/>
      <c r="M88" s="23">
        <f t="shared" si="17"/>
        <v>1</v>
      </c>
      <c r="N88" s="715"/>
      <c r="O88" s="23">
        <f t="shared" si="18"/>
        <v>1</v>
      </c>
      <c r="P88" s="715" t="s">
        <v>3212</v>
      </c>
      <c r="Q88" s="23">
        <f t="shared" si="19"/>
        <v>1</v>
      </c>
      <c r="R88" s="712">
        <f t="shared" si="20"/>
        <v>0</v>
      </c>
      <c r="S88" s="360">
        <f t="shared" si="22"/>
        <v>0</v>
      </c>
      <c r="V88" s="794"/>
    </row>
    <row r="89" spans="1:22">
      <c r="A89" s="3006"/>
      <c r="B89" s="714"/>
      <c r="C89" s="23">
        <f t="shared" si="12"/>
        <v>1</v>
      </c>
      <c r="D89" s="715"/>
      <c r="E89" s="23">
        <f t="shared" si="13"/>
        <v>0.03</v>
      </c>
      <c r="F89" s="715"/>
      <c r="G89" s="23">
        <f t="shared" si="14"/>
        <v>0.1</v>
      </c>
      <c r="H89" s="715"/>
      <c r="I89" s="23">
        <f t="shared" si="15"/>
        <v>1</v>
      </c>
      <c r="J89" s="715"/>
      <c r="K89" s="23">
        <f t="shared" si="16"/>
        <v>1</v>
      </c>
      <c r="L89" s="715"/>
      <c r="M89" s="23">
        <f t="shared" si="17"/>
        <v>1</v>
      </c>
      <c r="N89" s="715"/>
      <c r="O89" s="23">
        <f t="shared" si="18"/>
        <v>1</v>
      </c>
      <c r="P89" s="715" t="s">
        <v>3212</v>
      </c>
      <c r="Q89" s="23">
        <f t="shared" si="19"/>
        <v>1</v>
      </c>
      <c r="R89" s="712">
        <f t="shared" si="20"/>
        <v>0</v>
      </c>
      <c r="S89" s="360">
        <f t="shared" si="22"/>
        <v>0</v>
      </c>
      <c r="V89" s="794"/>
    </row>
    <row r="90" spans="1:22">
      <c r="A90" s="3006"/>
      <c r="B90" s="714"/>
      <c r="C90" s="23">
        <f t="shared" ref="C90:C153" si="23">IF(B90="",1,(LOOKUP(B90,$3:$3,$4:$4)-LOOKUP($B$24,$3:$3,$4:$4)+100)/100)</f>
        <v>1</v>
      </c>
      <c r="D90" s="715"/>
      <c r="E90" s="23">
        <f t="shared" ref="E90:E153" si="24">(SUMIF($5:$5,D90,$6:$6)-SUMIF($5:$5,$D$24,$6:$6)+100)/100</f>
        <v>0.03</v>
      </c>
      <c r="F90" s="715"/>
      <c r="G90" s="23">
        <f t="shared" ref="G90:G153" si="25">(SUMIF($7:$7,F90,$8:$8)-SUMIF($7:$7,$F$24,$8:$8)+100)/100</f>
        <v>0.1</v>
      </c>
      <c r="H90" s="715"/>
      <c r="I90" s="23">
        <f t="shared" ref="I90:I153" si="26">(SUMIF($9:$9,H90,$10:$10)-SUMIF($9:$9,$H$24,$10:$10)+100)/100</f>
        <v>1</v>
      </c>
      <c r="J90" s="715"/>
      <c r="K90" s="23">
        <f t="shared" ref="K90:K153" si="27">(SUMIF($11:$11,J90,$12:$12)-SUMIF($11:$11,$J$24,$12:$12)+100)/100</f>
        <v>1</v>
      </c>
      <c r="L90" s="715"/>
      <c r="M90" s="23">
        <f t="shared" ref="M90:M153" si="28">(SUMIF($13:$13,L90,$14:$14)-SUMIF($13:$13,$L$24,$14:$14)+100)/100</f>
        <v>1</v>
      </c>
      <c r="N90" s="715"/>
      <c r="O90" s="23">
        <f t="shared" ref="O90:O153" si="29">(SUMIF($15:$15,N90,$16:$16)-SUMIF($15:$15,$N$24,$16:$16)+100)/100</f>
        <v>1</v>
      </c>
      <c r="P90" s="715" t="s">
        <v>3212</v>
      </c>
      <c r="Q90" s="23">
        <f t="shared" ref="Q90:Q153" si="30">(SUMIF($17:$17,P90,$18:$18)-SUMIF($17:$17,$P$24,$18:$18)+100)/100</f>
        <v>1</v>
      </c>
      <c r="R90" s="712">
        <f t="shared" ref="R90:R153" si="31">IF(B90="",0,ROUND($R$24*C90*E90*G90*I90*K90*M90*O90*Q90,0))</f>
        <v>0</v>
      </c>
      <c r="S90" s="360">
        <f t="shared" si="22"/>
        <v>0</v>
      </c>
      <c r="V90" s="794"/>
    </row>
    <row r="91" spans="1:22">
      <c r="A91" s="3006"/>
      <c r="B91" s="714"/>
      <c r="C91" s="23">
        <f t="shared" si="23"/>
        <v>1</v>
      </c>
      <c r="D91" s="715"/>
      <c r="E91" s="23">
        <f t="shared" si="24"/>
        <v>0.03</v>
      </c>
      <c r="F91" s="715"/>
      <c r="G91" s="23">
        <f t="shared" si="25"/>
        <v>0.1</v>
      </c>
      <c r="H91" s="715"/>
      <c r="I91" s="23">
        <f t="shared" si="26"/>
        <v>1</v>
      </c>
      <c r="J91" s="715"/>
      <c r="K91" s="23">
        <f t="shared" si="27"/>
        <v>1</v>
      </c>
      <c r="L91" s="715"/>
      <c r="M91" s="23">
        <f t="shared" si="28"/>
        <v>1</v>
      </c>
      <c r="N91" s="715"/>
      <c r="O91" s="23">
        <f t="shared" si="29"/>
        <v>1</v>
      </c>
      <c r="P91" s="715" t="s">
        <v>3117</v>
      </c>
      <c r="Q91" s="23">
        <f t="shared" si="30"/>
        <v>1.1499999999999999</v>
      </c>
      <c r="R91" s="712">
        <f t="shared" si="31"/>
        <v>0</v>
      </c>
      <c r="S91" s="360">
        <f t="shared" si="22"/>
        <v>0</v>
      </c>
      <c r="V91" s="794"/>
    </row>
    <row r="92" spans="1:22">
      <c r="A92" s="3006"/>
      <c r="B92" s="714"/>
      <c r="C92" s="23">
        <f t="shared" si="23"/>
        <v>1</v>
      </c>
      <c r="D92" s="715"/>
      <c r="E92" s="23">
        <f t="shared" si="24"/>
        <v>0.03</v>
      </c>
      <c r="F92" s="715"/>
      <c r="G92" s="23">
        <f t="shared" si="25"/>
        <v>0.1</v>
      </c>
      <c r="H92" s="715"/>
      <c r="I92" s="23">
        <f t="shared" si="26"/>
        <v>1</v>
      </c>
      <c r="J92" s="715"/>
      <c r="K92" s="23">
        <f t="shared" si="27"/>
        <v>1</v>
      </c>
      <c r="L92" s="715"/>
      <c r="M92" s="23">
        <f t="shared" si="28"/>
        <v>1</v>
      </c>
      <c r="N92" s="715"/>
      <c r="O92" s="23">
        <f t="shared" si="29"/>
        <v>1</v>
      </c>
      <c r="P92" s="715" t="s">
        <v>3117</v>
      </c>
      <c r="Q92" s="23">
        <f t="shared" si="30"/>
        <v>1.1499999999999999</v>
      </c>
      <c r="R92" s="712">
        <f t="shared" si="31"/>
        <v>0</v>
      </c>
      <c r="S92" s="360">
        <f t="shared" si="22"/>
        <v>0</v>
      </c>
      <c r="V92" s="794"/>
    </row>
    <row r="93" spans="1:22">
      <c r="A93" s="3006"/>
      <c r="B93" s="714"/>
      <c r="C93" s="23">
        <f t="shared" si="23"/>
        <v>1</v>
      </c>
      <c r="D93" s="715"/>
      <c r="E93" s="23">
        <f t="shared" si="24"/>
        <v>0.03</v>
      </c>
      <c r="F93" s="715"/>
      <c r="G93" s="23">
        <f t="shared" si="25"/>
        <v>0.1</v>
      </c>
      <c r="H93" s="715"/>
      <c r="I93" s="23">
        <f t="shared" si="26"/>
        <v>1</v>
      </c>
      <c r="J93" s="715"/>
      <c r="K93" s="23">
        <f t="shared" si="27"/>
        <v>1</v>
      </c>
      <c r="L93" s="715"/>
      <c r="M93" s="23">
        <f t="shared" si="28"/>
        <v>1</v>
      </c>
      <c r="N93" s="715"/>
      <c r="O93" s="23">
        <f t="shared" si="29"/>
        <v>1</v>
      </c>
      <c r="P93" s="715" t="s">
        <v>3117</v>
      </c>
      <c r="Q93" s="23">
        <f t="shared" si="30"/>
        <v>1.1499999999999999</v>
      </c>
      <c r="R93" s="712">
        <f t="shared" si="31"/>
        <v>0</v>
      </c>
      <c r="S93" s="360">
        <f t="shared" si="22"/>
        <v>0</v>
      </c>
      <c r="V93" s="794"/>
    </row>
    <row r="94" spans="1:22">
      <c r="A94" s="3006"/>
      <c r="B94" s="714"/>
      <c r="C94" s="23">
        <f t="shared" si="23"/>
        <v>1</v>
      </c>
      <c r="D94" s="715"/>
      <c r="E94" s="23">
        <f t="shared" si="24"/>
        <v>0.03</v>
      </c>
      <c r="F94" s="715"/>
      <c r="G94" s="23">
        <f t="shared" si="25"/>
        <v>0.1</v>
      </c>
      <c r="H94" s="715"/>
      <c r="I94" s="23">
        <f t="shared" si="26"/>
        <v>1</v>
      </c>
      <c r="J94" s="715"/>
      <c r="K94" s="23">
        <f t="shared" si="27"/>
        <v>1</v>
      </c>
      <c r="L94" s="715"/>
      <c r="M94" s="23">
        <f t="shared" si="28"/>
        <v>1</v>
      </c>
      <c r="N94" s="715"/>
      <c r="O94" s="23">
        <f t="shared" si="29"/>
        <v>1</v>
      </c>
      <c r="P94" s="715" t="s">
        <v>3117</v>
      </c>
      <c r="Q94" s="23">
        <f t="shared" si="30"/>
        <v>1.1499999999999999</v>
      </c>
      <c r="R94" s="712">
        <f t="shared" si="31"/>
        <v>0</v>
      </c>
      <c r="S94" s="360">
        <f t="shared" si="22"/>
        <v>0</v>
      </c>
      <c r="V94" s="794"/>
    </row>
    <row r="95" spans="1:22">
      <c r="A95" s="3006"/>
      <c r="B95" s="714"/>
      <c r="C95" s="23">
        <f t="shared" si="23"/>
        <v>1</v>
      </c>
      <c r="D95" s="715"/>
      <c r="E95" s="23">
        <f t="shared" si="24"/>
        <v>0.03</v>
      </c>
      <c r="F95" s="715"/>
      <c r="G95" s="23">
        <f t="shared" si="25"/>
        <v>0.1</v>
      </c>
      <c r="H95" s="715"/>
      <c r="I95" s="23">
        <f t="shared" si="26"/>
        <v>1</v>
      </c>
      <c r="J95" s="715"/>
      <c r="K95" s="23">
        <f t="shared" si="27"/>
        <v>1</v>
      </c>
      <c r="L95" s="715"/>
      <c r="M95" s="23">
        <f t="shared" si="28"/>
        <v>1</v>
      </c>
      <c r="N95" s="715"/>
      <c r="O95" s="23">
        <f t="shared" si="29"/>
        <v>1</v>
      </c>
      <c r="P95" s="715" t="s">
        <v>3117</v>
      </c>
      <c r="Q95" s="23">
        <f t="shared" si="30"/>
        <v>1.1499999999999999</v>
      </c>
      <c r="R95" s="712">
        <f t="shared" si="31"/>
        <v>0</v>
      </c>
      <c r="S95" s="360">
        <f t="shared" si="22"/>
        <v>0</v>
      </c>
      <c r="V95" s="794"/>
    </row>
    <row r="96" spans="1:22">
      <c r="A96" s="3006"/>
      <c r="B96" s="714"/>
      <c r="C96" s="23">
        <f t="shared" si="23"/>
        <v>1</v>
      </c>
      <c r="D96" s="715"/>
      <c r="E96" s="23">
        <f t="shared" si="24"/>
        <v>0.03</v>
      </c>
      <c r="F96" s="715"/>
      <c r="G96" s="23">
        <f t="shared" si="25"/>
        <v>0.1</v>
      </c>
      <c r="H96" s="715"/>
      <c r="I96" s="23">
        <f t="shared" si="26"/>
        <v>1</v>
      </c>
      <c r="J96" s="715"/>
      <c r="K96" s="23">
        <f t="shared" si="27"/>
        <v>1</v>
      </c>
      <c r="L96" s="715"/>
      <c r="M96" s="23">
        <f t="shared" si="28"/>
        <v>1</v>
      </c>
      <c r="N96" s="715"/>
      <c r="O96" s="23">
        <f t="shared" si="29"/>
        <v>1</v>
      </c>
      <c r="P96" s="715" t="s">
        <v>3117</v>
      </c>
      <c r="Q96" s="23">
        <f t="shared" si="30"/>
        <v>1.1499999999999999</v>
      </c>
      <c r="R96" s="712">
        <f t="shared" si="31"/>
        <v>0</v>
      </c>
      <c r="S96" s="360">
        <f t="shared" si="22"/>
        <v>0</v>
      </c>
      <c r="V96" s="794"/>
    </row>
    <row r="97" spans="1:22">
      <c r="A97" s="3006"/>
      <c r="B97" s="714"/>
      <c r="C97" s="23">
        <f t="shared" si="23"/>
        <v>1</v>
      </c>
      <c r="D97" s="715"/>
      <c r="E97" s="23">
        <f t="shared" si="24"/>
        <v>0.03</v>
      </c>
      <c r="F97" s="715"/>
      <c r="G97" s="23">
        <f t="shared" si="25"/>
        <v>0.1</v>
      </c>
      <c r="H97" s="715"/>
      <c r="I97" s="23">
        <f t="shared" si="26"/>
        <v>1</v>
      </c>
      <c r="J97" s="715"/>
      <c r="K97" s="23">
        <f t="shared" si="27"/>
        <v>1</v>
      </c>
      <c r="L97" s="715"/>
      <c r="M97" s="23">
        <f t="shared" si="28"/>
        <v>1</v>
      </c>
      <c r="N97" s="715"/>
      <c r="O97" s="23">
        <f t="shared" si="29"/>
        <v>1</v>
      </c>
      <c r="P97" s="715" t="s">
        <v>3117</v>
      </c>
      <c r="Q97" s="23">
        <f t="shared" si="30"/>
        <v>1.1499999999999999</v>
      </c>
      <c r="R97" s="712">
        <f t="shared" si="31"/>
        <v>0</v>
      </c>
      <c r="S97" s="360">
        <f t="shared" si="22"/>
        <v>0</v>
      </c>
      <c r="V97" s="794"/>
    </row>
    <row r="98" spans="1:22">
      <c r="A98" s="3006"/>
      <c r="B98" s="714"/>
      <c r="C98" s="23">
        <f t="shared" si="23"/>
        <v>1</v>
      </c>
      <c r="D98" s="715"/>
      <c r="E98" s="23">
        <f t="shared" si="24"/>
        <v>0.03</v>
      </c>
      <c r="F98" s="715"/>
      <c r="G98" s="23">
        <f t="shared" si="25"/>
        <v>0.1</v>
      </c>
      <c r="H98" s="715"/>
      <c r="I98" s="23">
        <f t="shared" si="26"/>
        <v>1</v>
      </c>
      <c r="J98" s="715"/>
      <c r="K98" s="23">
        <f t="shared" si="27"/>
        <v>1</v>
      </c>
      <c r="L98" s="715"/>
      <c r="M98" s="23">
        <f t="shared" si="28"/>
        <v>1</v>
      </c>
      <c r="N98" s="715"/>
      <c r="O98" s="23">
        <f t="shared" si="29"/>
        <v>1</v>
      </c>
      <c r="P98" s="715" t="s">
        <v>3117</v>
      </c>
      <c r="Q98" s="23">
        <f t="shared" si="30"/>
        <v>1.1499999999999999</v>
      </c>
      <c r="R98" s="712">
        <f t="shared" si="31"/>
        <v>0</v>
      </c>
      <c r="S98" s="360">
        <f t="shared" si="22"/>
        <v>0</v>
      </c>
      <c r="V98" s="794"/>
    </row>
    <row r="99" spans="1:22">
      <c r="A99" s="3006"/>
      <c r="B99" s="714"/>
      <c r="C99" s="23">
        <f t="shared" si="23"/>
        <v>1</v>
      </c>
      <c r="D99" s="715"/>
      <c r="E99" s="23">
        <f t="shared" si="24"/>
        <v>0.03</v>
      </c>
      <c r="F99" s="715"/>
      <c r="G99" s="23">
        <f t="shared" si="25"/>
        <v>0.1</v>
      </c>
      <c r="H99" s="715"/>
      <c r="I99" s="23">
        <f t="shared" si="26"/>
        <v>1</v>
      </c>
      <c r="J99" s="715"/>
      <c r="K99" s="23">
        <f t="shared" si="27"/>
        <v>1</v>
      </c>
      <c r="L99" s="715"/>
      <c r="M99" s="23">
        <f t="shared" si="28"/>
        <v>1</v>
      </c>
      <c r="N99" s="715"/>
      <c r="O99" s="23">
        <f t="shared" si="29"/>
        <v>1</v>
      </c>
      <c r="P99" s="715" t="s">
        <v>3117</v>
      </c>
      <c r="Q99" s="23">
        <f t="shared" si="30"/>
        <v>1.1499999999999999</v>
      </c>
      <c r="R99" s="712">
        <f t="shared" si="31"/>
        <v>0</v>
      </c>
      <c r="S99" s="360">
        <f t="shared" si="22"/>
        <v>0</v>
      </c>
      <c r="V99" s="794"/>
    </row>
    <row r="100" spans="1:22">
      <c r="A100" s="3006"/>
      <c r="B100" s="714"/>
      <c r="C100" s="23">
        <f t="shared" si="23"/>
        <v>1</v>
      </c>
      <c r="D100" s="715"/>
      <c r="E100" s="23">
        <f t="shared" si="24"/>
        <v>0.03</v>
      </c>
      <c r="F100" s="715"/>
      <c r="G100" s="23">
        <f t="shared" si="25"/>
        <v>0.1</v>
      </c>
      <c r="H100" s="715"/>
      <c r="I100" s="23">
        <f t="shared" si="26"/>
        <v>1</v>
      </c>
      <c r="J100" s="715"/>
      <c r="K100" s="23">
        <f t="shared" si="27"/>
        <v>1</v>
      </c>
      <c r="L100" s="715"/>
      <c r="M100" s="23">
        <f t="shared" si="28"/>
        <v>1</v>
      </c>
      <c r="N100" s="715"/>
      <c r="O100" s="23">
        <f t="shared" si="29"/>
        <v>1</v>
      </c>
      <c r="P100" s="715" t="s">
        <v>3117</v>
      </c>
      <c r="Q100" s="23">
        <f t="shared" si="30"/>
        <v>1.1499999999999999</v>
      </c>
      <c r="R100" s="712">
        <f t="shared" si="31"/>
        <v>0</v>
      </c>
      <c r="S100" s="360">
        <f t="shared" si="22"/>
        <v>0</v>
      </c>
      <c r="V100" s="794"/>
    </row>
    <row r="101" spans="1:22">
      <c r="A101" s="3006"/>
      <c r="B101" s="714"/>
      <c r="C101" s="23">
        <f t="shared" si="23"/>
        <v>1</v>
      </c>
      <c r="D101" s="715"/>
      <c r="E101" s="23">
        <f t="shared" si="24"/>
        <v>0.03</v>
      </c>
      <c r="F101" s="715"/>
      <c r="G101" s="23">
        <f t="shared" si="25"/>
        <v>0.1</v>
      </c>
      <c r="H101" s="715"/>
      <c r="I101" s="23">
        <f t="shared" si="26"/>
        <v>1</v>
      </c>
      <c r="J101" s="715"/>
      <c r="K101" s="23">
        <f t="shared" si="27"/>
        <v>1</v>
      </c>
      <c r="L101" s="715"/>
      <c r="M101" s="23">
        <f t="shared" si="28"/>
        <v>1</v>
      </c>
      <c r="N101" s="715"/>
      <c r="O101" s="23">
        <f t="shared" si="29"/>
        <v>1</v>
      </c>
      <c r="P101" s="715" t="s">
        <v>3117</v>
      </c>
      <c r="Q101" s="23">
        <f t="shared" si="30"/>
        <v>1.1499999999999999</v>
      </c>
      <c r="R101" s="712">
        <f t="shared" si="31"/>
        <v>0</v>
      </c>
      <c r="S101" s="360">
        <f t="shared" si="22"/>
        <v>0</v>
      </c>
      <c r="V101" s="794"/>
    </row>
    <row r="102" spans="1:22">
      <c r="A102" s="3006"/>
      <c r="B102" s="714"/>
      <c r="C102" s="23">
        <f t="shared" si="23"/>
        <v>1</v>
      </c>
      <c r="D102" s="715"/>
      <c r="E102" s="23">
        <f t="shared" si="24"/>
        <v>0.03</v>
      </c>
      <c r="F102" s="715"/>
      <c r="G102" s="23">
        <f t="shared" si="25"/>
        <v>0.1</v>
      </c>
      <c r="H102" s="715"/>
      <c r="I102" s="23">
        <f t="shared" si="26"/>
        <v>1</v>
      </c>
      <c r="J102" s="715"/>
      <c r="K102" s="23">
        <f t="shared" si="27"/>
        <v>1</v>
      </c>
      <c r="L102" s="715"/>
      <c r="M102" s="23">
        <f t="shared" si="28"/>
        <v>1</v>
      </c>
      <c r="N102" s="715"/>
      <c r="O102" s="23">
        <f t="shared" si="29"/>
        <v>1</v>
      </c>
      <c r="P102" s="715" t="s">
        <v>3117</v>
      </c>
      <c r="Q102" s="23">
        <f t="shared" si="30"/>
        <v>1.1499999999999999</v>
      </c>
      <c r="R102" s="712">
        <f t="shared" si="31"/>
        <v>0</v>
      </c>
      <c r="S102" s="360">
        <f t="shared" si="22"/>
        <v>0</v>
      </c>
      <c r="V102" s="794"/>
    </row>
    <row r="103" spans="1:22">
      <c r="A103" s="3006"/>
      <c r="B103" s="714"/>
      <c r="C103" s="23">
        <f t="shared" si="23"/>
        <v>1</v>
      </c>
      <c r="D103" s="715"/>
      <c r="E103" s="23">
        <f t="shared" si="24"/>
        <v>0.03</v>
      </c>
      <c r="F103" s="715"/>
      <c r="G103" s="23">
        <f t="shared" si="25"/>
        <v>0.1</v>
      </c>
      <c r="H103" s="715"/>
      <c r="I103" s="23">
        <f t="shared" si="26"/>
        <v>1</v>
      </c>
      <c r="J103" s="715"/>
      <c r="K103" s="23">
        <f t="shared" si="27"/>
        <v>1</v>
      </c>
      <c r="L103" s="715"/>
      <c r="M103" s="23">
        <f t="shared" si="28"/>
        <v>1</v>
      </c>
      <c r="N103" s="715"/>
      <c r="O103" s="23">
        <f t="shared" si="29"/>
        <v>1</v>
      </c>
      <c r="P103" s="715" t="s">
        <v>3117</v>
      </c>
      <c r="Q103" s="23">
        <f t="shared" si="30"/>
        <v>1.1499999999999999</v>
      </c>
      <c r="R103" s="712">
        <f t="shared" si="31"/>
        <v>0</v>
      </c>
      <c r="S103" s="360">
        <f t="shared" si="22"/>
        <v>0</v>
      </c>
      <c r="V103" s="794"/>
    </row>
    <row r="104" spans="1:22">
      <c r="A104" s="3006"/>
      <c r="B104" s="714"/>
      <c r="C104" s="23">
        <f t="shared" si="23"/>
        <v>1</v>
      </c>
      <c r="D104" s="715"/>
      <c r="E104" s="23">
        <f t="shared" si="24"/>
        <v>0.03</v>
      </c>
      <c r="F104" s="715"/>
      <c r="G104" s="23">
        <f t="shared" si="25"/>
        <v>0.1</v>
      </c>
      <c r="H104" s="715"/>
      <c r="I104" s="23">
        <f t="shared" si="26"/>
        <v>1</v>
      </c>
      <c r="J104" s="715"/>
      <c r="K104" s="23">
        <f t="shared" si="27"/>
        <v>1</v>
      </c>
      <c r="L104" s="715"/>
      <c r="M104" s="23">
        <f t="shared" si="28"/>
        <v>1</v>
      </c>
      <c r="N104" s="715"/>
      <c r="O104" s="23">
        <f t="shared" si="29"/>
        <v>1</v>
      </c>
      <c r="P104" s="715" t="s">
        <v>3117</v>
      </c>
      <c r="Q104" s="23">
        <f t="shared" si="30"/>
        <v>1.1499999999999999</v>
      </c>
      <c r="R104" s="712">
        <f t="shared" si="31"/>
        <v>0</v>
      </c>
      <c r="S104" s="360">
        <f t="shared" si="22"/>
        <v>0</v>
      </c>
      <c r="V104" s="794"/>
    </row>
    <row r="105" spans="1:22">
      <c r="A105" s="3006"/>
      <c r="B105" s="714"/>
      <c r="C105" s="23">
        <f t="shared" si="23"/>
        <v>1</v>
      </c>
      <c r="D105" s="715"/>
      <c r="E105" s="23">
        <f t="shared" si="24"/>
        <v>0.03</v>
      </c>
      <c r="F105" s="715"/>
      <c r="G105" s="23">
        <f t="shared" si="25"/>
        <v>0.1</v>
      </c>
      <c r="H105" s="715"/>
      <c r="I105" s="23">
        <f t="shared" si="26"/>
        <v>1</v>
      </c>
      <c r="J105" s="715"/>
      <c r="K105" s="23">
        <f t="shared" si="27"/>
        <v>1</v>
      </c>
      <c r="L105" s="715"/>
      <c r="M105" s="23">
        <f t="shared" si="28"/>
        <v>1</v>
      </c>
      <c r="N105" s="715"/>
      <c r="O105" s="23">
        <f t="shared" si="29"/>
        <v>1</v>
      </c>
      <c r="P105" s="715" t="s">
        <v>3117</v>
      </c>
      <c r="Q105" s="23">
        <f t="shared" si="30"/>
        <v>1.1499999999999999</v>
      </c>
      <c r="R105" s="712">
        <f t="shared" si="31"/>
        <v>0</v>
      </c>
      <c r="S105" s="360">
        <f t="shared" si="22"/>
        <v>0</v>
      </c>
      <c r="V105" s="794"/>
    </row>
    <row r="106" spans="1:22">
      <c r="A106" s="3006"/>
      <c r="B106" s="714"/>
      <c r="C106" s="23">
        <f t="shared" si="23"/>
        <v>1</v>
      </c>
      <c r="D106" s="715"/>
      <c r="E106" s="23">
        <f t="shared" si="24"/>
        <v>0.03</v>
      </c>
      <c r="F106" s="715"/>
      <c r="G106" s="23">
        <f t="shared" si="25"/>
        <v>0.1</v>
      </c>
      <c r="H106" s="715"/>
      <c r="I106" s="23">
        <f t="shared" si="26"/>
        <v>1</v>
      </c>
      <c r="J106" s="715"/>
      <c r="K106" s="23">
        <f t="shared" si="27"/>
        <v>1</v>
      </c>
      <c r="L106" s="715"/>
      <c r="M106" s="23">
        <f t="shared" si="28"/>
        <v>1</v>
      </c>
      <c r="N106" s="715"/>
      <c r="O106" s="23">
        <f t="shared" si="29"/>
        <v>1</v>
      </c>
      <c r="P106" s="715" t="s">
        <v>3117</v>
      </c>
      <c r="Q106" s="23">
        <f t="shared" si="30"/>
        <v>1.1499999999999999</v>
      </c>
      <c r="R106" s="712">
        <f t="shared" si="31"/>
        <v>0</v>
      </c>
      <c r="S106" s="360">
        <f t="shared" si="22"/>
        <v>0</v>
      </c>
      <c r="V106" s="794"/>
    </row>
    <row r="107" spans="1:22">
      <c r="A107" s="3006"/>
      <c r="B107" s="714"/>
      <c r="C107" s="23">
        <f t="shared" si="23"/>
        <v>1</v>
      </c>
      <c r="D107" s="715"/>
      <c r="E107" s="23">
        <f t="shared" si="24"/>
        <v>0.03</v>
      </c>
      <c r="F107" s="715"/>
      <c r="G107" s="23">
        <f t="shared" si="25"/>
        <v>0.1</v>
      </c>
      <c r="H107" s="715"/>
      <c r="I107" s="23">
        <f t="shared" si="26"/>
        <v>1</v>
      </c>
      <c r="J107" s="715"/>
      <c r="K107" s="23">
        <f t="shared" si="27"/>
        <v>1</v>
      </c>
      <c r="L107" s="715"/>
      <c r="M107" s="23">
        <f t="shared" si="28"/>
        <v>1</v>
      </c>
      <c r="N107" s="715"/>
      <c r="O107" s="23">
        <f t="shared" si="29"/>
        <v>1</v>
      </c>
      <c r="P107" s="715" t="s">
        <v>3117</v>
      </c>
      <c r="Q107" s="23">
        <f t="shared" si="30"/>
        <v>1.1499999999999999</v>
      </c>
      <c r="R107" s="712">
        <f t="shared" si="31"/>
        <v>0</v>
      </c>
      <c r="S107" s="360">
        <f t="shared" si="22"/>
        <v>0</v>
      </c>
      <c r="V107" s="794"/>
    </row>
    <row r="108" spans="1:22">
      <c r="A108" s="3006"/>
      <c r="B108" s="714"/>
      <c r="C108" s="23">
        <f t="shared" si="23"/>
        <v>1</v>
      </c>
      <c r="D108" s="715"/>
      <c r="E108" s="23">
        <f t="shared" si="24"/>
        <v>0.03</v>
      </c>
      <c r="F108" s="715"/>
      <c r="G108" s="23">
        <f t="shared" si="25"/>
        <v>0.1</v>
      </c>
      <c r="H108" s="715"/>
      <c r="I108" s="23">
        <f t="shared" si="26"/>
        <v>1</v>
      </c>
      <c r="J108" s="715"/>
      <c r="K108" s="23">
        <f t="shared" si="27"/>
        <v>1</v>
      </c>
      <c r="L108" s="715"/>
      <c r="M108" s="23">
        <f t="shared" si="28"/>
        <v>1</v>
      </c>
      <c r="N108" s="715"/>
      <c r="O108" s="23">
        <f t="shared" si="29"/>
        <v>1</v>
      </c>
      <c r="P108" s="715" t="s">
        <v>3117</v>
      </c>
      <c r="Q108" s="23">
        <f t="shared" si="30"/>
        <v>1.1499999999999999</v>
      </c>
      <c r="R108" s="712">
        <f t="shared" si="31"/>
        <v>0</v>
      </c>
      <c r="S108" s="360">
        <f t="shared" si="22"/>
        <v>0</v>
      </c>
      <c r="V108" s="794"/>
    </row>
    <row r="109" spans="1:22">
      <c r="A109" s="3006"/>
      <c r="B109" s="714"/>
      <c r="C109" s="23">
        <f t="shared" si="23"/>
        <v>1</v>
      </c>
      <c r="D109" s="715"/>
      <c r="E109" s="23">
        <f t="shared" si="24"/>
        <v>0.03</v>
      </c>
      <c r="F109" s="715"/>
      <c r="G109" s="23">
        <f t="shared" si="25"/>
        <v>0.1</v>
      </c>
      <c r="H109" s="715"/>
      <c r="I109" s="23">
        <f t="shared" si="26"/>
        <v>1</v>
      </c>
      <c r="J109" s="715"/>
      <c r="K109" s="23">
        <f t="shared" si="27"/>
        <v>1</v>
      </c>
      <c r="L109" s="715"/>
      <c r="M109" s="23">
        <f t="shared" si="28"/>
        <v>1</v>
      </c>
      <c r="N109" s="715"/>
      <c r="O109" s="23">
        <f t="shared" si="29"/>
        <v>1</v>
      </c>
      <c r="P109" s="715" t="s">
        <v>3117</v>
      </c>
      <c r="Q109" s="23">
        <f t="shared" si="30"/>
        <v>1.1499999999999999</v>
      </c>
      <c r="R109" s="712">
        <f t="shared" si="31"/>
        <v>0</v>
      </c>
      <c r="S109" s="360">
        <f t="shared" si="22"/>
        <v>0</v>
      </c>
      <c r="V109" s="794"/>
    </row>
    <row r="110" spans="1:22">
      <c r="A110" s="3006"/>
      <c r="B110" s="714"/>
      <c r="C110" s="23">
        <f t="shared" si="23"/>
        <v>1</v>
      </c>
      <c r="D110" s="715"/>
      <c r="E110" s="23">
        <f t="shared" si="24"/>
        <v>0.03</v>
      </c>
      <c r="F110" s="715"/>
      <c r="G110" s="23">
        <f t="shared" si="25"/>
        <v>0.1</v>
      </c>
      <c r="H110" s="715"/>
      <c r="I110" s="23">
        <f t="shared" si="26"/>
        <v>1</v>
      </c>
      <c r="J110" s="715"/>
      <c r="K110" s="23">
        <f t="shared" si="27"/>
        <v>1</v>
      </c>
      <c r="L110" s="715"/>
      <c r="M110" s="23">
        <f t="shared" si="28"/>
        <v>1</v>
      </c>
      <c r="N110" s="715"/>
      <c r="O110" s="23">
        <f t="shared" si="29"/>
        <v>1</v>
      </c>
      <c r="P110" s="715" t="s">
        <v>3117</v>
      </c>
      <c r="Q110" s="23">
        <f t="shared" si="30"/>
        <v>1.1499999999999999</v>
      </c>
      <c r="R110" s="712">
        <f t="shared" si="31"/>
        <v>0</v>
      </c>
      <c r="S110" s="360">
        <f t="shared" si="22"/>
        <v>0</v>
      </c>
      <c r="V110" s="794"/>
    </row>
    <row r="111" spans="1:22">
      <c r="A111" s="3006"/>
      <c r="B111" s="714"/>
      <c r="C111" s="23">
        <f t="shared" si="23"/>
        <v>1</v>
      </c>
      <c r="D111" s="715"/>
      <c r="E111" s="23">
        <f t="shared" si="24"/>
        <v>0.03</v>
      </c>
      <c r="F111" s="715"/>
      <c r="G111" s="23">
        <f t="shared" si="25"/>
        <v>0.1</v>
      </c>
      <c r="H111" s="715"/>
      <c r="I111" s="23">
        <f t="shared" si="26"/>
        <v>1</v>
      </c>
      <c r="J111" s="715"/>
      <c r="K111" s="23">
        <f t="shared" si="27"/>
        <v>1</v>
      </c>
      <c r="L111" s="715"/>
      <c r="M111" s="23">
        <f t="shared" si="28"/>
        <v>1</v>
      </c>
      <c r="N111" s="715"/>
      <c r="O111" s="23">
        <f t="shared" si="29"/>
        <v>1</v>
      </c>
      <c r="P111" s="715" t="s">
        <v>3117</v>
      </c>
      <c r="Q111" s="23">
        <f t="shared" si="30"/>
        <v>1.1499999999999999</v>
      </c>
      <c r="R111" s="712">
        <f t="shared" si="31"/>
        <v>0</v>
      </c>
      <c r="S111" s="360">
        <f t="shared" si="22"/>
        <v>0</v>
      </c>
      <c r="V111" s="794"/>
    </row>
    <row r="112" spans="1:22">
      <c r="A112" s="3006"/>
      <c r="B112" s="714"/>
      <c r="C112" s="23">
        <f t="shared" si="23"/>
        <v>1</v>
      </c>
      <c r="D112" s="715"/>
      <c r="E112" s="23">
        <f t="shared" si="24"/>
        <v>0.03</v>
      </c>
      <c r="F112" s="715"/>
      <c r="G112" s="23">
        <f t="shared" si="25"/>
        <v>0.1</v>
      </c>
      <c r="H112" s="715"/>
      <c r="I112" s="23">
        <f t="shared" si="26"/>
        <v>1</v>
      </c>
      <c r="J112" s="715"/>
      <c r="K112" s="23">
        <f t="shared" si="27"/>
        <v>1</v>
      </c>
      <c r="L112" s="715"/>
      <c r="M112" s="23">
        <f t="shared" si="28"/>
        <v>1</v>
      </c>
      <c r="N112" s="715"/>
      <c r="O112" s="23">
        <f t="shared" si="29"/>
        <v>1</v>
      </c>
      <c r="P112" s="715" t="s">
        <v>3117</v>
      </c>
      <c r="Q112" s="23">
        <f t="shared" si="30"/>
        <v>1.1499999999999999</v>
      </c>
      <c r="R112" s="712">
        <f t="shared" si="31"/>
        <v>0</v>
      </c>
      <c r="S112" s="360">
        <f t="shared" si="22"/>
        <v>0</v>
      </c>
      <c r="V112" s="794"/>
    </row>
    <row r="113" spans="1:22">
      <c r="A113" s="3006"/>
      <c r="B113" s="714"/>
      <c r="C113" s="23">
        <f t="shared" si="23"/>
        <v>1</v>
      </c>
      <c r="D113" s="715"/>
      <c r="E113" s="23">
        <f t="shared" si="24"/>
        <v>0.03</v>
      </c>
      <c r="F113" s="715"/>
      <c r="G113" s="23">
        <f t="shared" si="25"/>
        <v>0.1</v>
      </c>
      <c r="H113" s="715"/>
      <c r="I113" s="23">
        <f t="shared" si="26"/>
        <v>1</v>
      </c>
      <c r="J113" s="715"/>
      <c r="K113" s="23">
        <f t="shared" si="27"/>
        <v>1</v>
      </c>
      <c r="L113" s="715"/>
      <c r="M113" s="23">
        <f t="shared" si="28"/>
        <v>1</v>
      </c>
      <c r="N113" s="715"/>
      <c r="O113" s="23">
        <f t="shared" si="29"/>
        <v>1</v>
      </c>
      <c r="P113" s="715" t="s">
        <v>3117</v>
      </c>
      <c r="Q113" s="23">
        <f t="shared" si="30"/>
        <v>1.1499999999999999</v>
      </c>
      <c r="R113" s="712">
        <f t="shared" si="31"/>
        <v>0</v>
      </c>
      <c r="S113" s="360">
        <f t="shared" si="22"/>
        <v>0</v>
      </c>
      <c r="V113" s="794"/>
    </row>
    <row r="114" spans="1:22">
      <c r="A114" s="3006"/>
      <c r="B114" s="714"/>
      <c r="C114" s="23">
        <f t="shared" si="23"/>
        <v>1</v>
      </c>
      <c r="D114" s="715"/>
      <c r="E114" s="23">
        <f t="shared" si="24"/>
        <v>0.03</v>
      </c>
      <c r="F114" s="715"/>
      <c r="G114" s="23">
        <f t="shared" si="25"/>
        <v>0.1</v>
      </c>
      <c r="H114" s="715"/>
      <c r="I114" s="23">
        <f t="shared" si="26"/>
        <v>1</v>
      </c>
      <c r="J114" s="715"/>
      <c r="K114" s="23">
        <f t="shared" si="27"/>
        <v>1</v>
      </c>
      <c r="L114" s="715"/>
      <c r="M114" s="23">
        <f t="shared" si="28"/>
        <v>1</v>
      </c>
      <c r="N114" s="715"/>
      <c r="O114" s="23">
        <f t="shared" si="29"/>
        <v>1</v>
      </c>
      <c r="P114" s="715" t="s">
        <v>3117</v>
      </c>
      <c r="Q114" s="23">
        <f t="shared" si="30"/>
        <v>1.1499999999999999</v>
      </c>
      <c r="R114" s="712">
        <f t="shared" si="31"/>
        <v>0</v>
      </c>
      <c r="S114" s="360">
        <f t="shared" si="22"/>
        <v>0</v>
      </c>
      <c r="V114" s="794"/>
    </row>
    <row r="115" spans="1:22">
      <c r="A115" s="3006"/>
      <c r="B115" s="714"/>
      <c r="C115" s="23">
        <f t="shared" si="23"/>
        <v>1</v>
      </c>
      <c r="D115" s="715"/>
      <c r="E115" s="23">
        <f t="shared" si="24"/>
        <v>0.03</v>
      </c>
      <c r="F115" s="715"/>
      <c r="G115" s="23">
        <f t="shared" si="25"/>
        <v>0.1</v>
      </c>
      <c r="H115" s="715"/>
      <c r="I115" s="23">
        <f t="shared" si="26"/>
        <v>1</v>
      </c>
      <c r="J115" s="715"/>
      <c r="K115" s="23">
        <f t="shared" si="27"/>
        <v>1</v>
      </c>
      <c r="L115" s="715"/>
      <c r="M115" s="23">
        <f t="shared" si="28"/>
        <v>1</v>
      </c>
      <c r="N115" s="715"/>
      <c r="O115" s="23">
        <f t="shared" si="29"/>
        <v>1</v>
      </c>
      <c r="P115" s="715" t="s">
        <v>3117</v>
      </c>
      <c r="Q115" s="23">
        <f t="shared" si="30"/>
        <v>1.1499999999999999</v>
      </c>
      <c r="R115" s="712">
        <f t="shared" si="31"/>
        <v>0</v>
      </c>
      <c r="S115" s="360">
        <f t="shared" si="22"/>
        <v>0</v>
      </c>
      <c r="V115" s="794"/>
    </row>
    <row r="116" spans="1:22">
      <c r="A116" s="3006"/>
      <c r="B116" s="714"/>
      <c r="C116" s="23">
        <f t="shared" si="23"/>
        <v>1</v>
      </c>
      <c r="D116" s="715"/>
      <c r="E116" s="23">
        <f t="shared" si="24"/>
        <v>0.03</v>
      </c>
      <c r="F116" s="715"/>
      <c r="G116" s="23">
        <f t="shared" si="25"/>
        <v>0.1</v>
      </c>
      <c r="H116" s="715"/>
      <c r="I116" s="23">
        <f t="shared" si="26"/>
        <v>1</v>
      </c>
      <c r="J116" s="715"/>
      <c r="K116" s="23">
        <f t="shared" si="27"/>
        <v>1</v>
      </c>
      <c r="L116" s="715"/>
      <c r="M116" s="23">
        <f t="shared" si="28"/>
        <v>1</v>
      </c>
      <c r="N116" s="715"/>
      <c r="O116" s="23">
        <f t="shared" si="29"/>
        <v>1</v>
      </c>
      <c r="P116" s="715" t="s">
        <v>3117</v>
      </c>
      <c r="Q116" s="23">
        <f t="shared" si="30"/>
        <v>1.1499999999999999</v>
      </c>
      <c r="R116" s="712">
        <f t="shared" si="31"/>
        <v>0</v>
      </c>
      <c r="S116" s="360">
        <f t="shared" si="22"/>
        <v>0</v>
      </c>
      <c r="V116" s="794"/>
    </row>
    <row r="117" spans="1:22">
      <c r="A117" s="3006"/>
      <c r="B117" s="714"/>
      <c r="C117" s="23">
        <f t="shared" si="23"/>
        <v>1</v>
      </c>
      <c r="D117" s="715"/>
      <c r="E117" s="23">
        <f t="shared" si="24"/>
        <v>0.03</v>
      </c>
      <c r="F117" s="715"/>
      <c r="G117" s="23">
        <f t="shared" si="25"/>
        <v>0.1</v>
      </c>
      <c r="H117" s="715"/>
      <c r="I117" s="23">
        <f t="shared" si="26"/>
        <v>1</v>
      </c>
      <c r="J117" s="715"/>
      <c r="K117" s="23">
        <f t="shared" si="27"/>
        <v>1</v>
      </c>
      <c r="L117" s="715"/>
      <c r="M117" s="23">
        <f t="shared" si="28"/>
        <v>1</v>
      </c>
      <c r="N117" s="715"/>
      <c r="O117" s="23">
        <f t="shared" si="29"/>
        <v>1</v>
      </c>
      <c r="P117" s="715" t="s">
        <v>3117</v>
      </c>
      <c r="Q117" s="23">
        <f t="shared" si="30"/>
        <v>1.1499999999999999</v>
      </c>
      <c r="R117" s="712">
        <f t="shared" si="31"/>
        <v>0</v>
      </c>
      <c r="S117" s="360">
        <f t="shared" si="22"/>
        <v>0</v>
      </c>
      <c r="V117" s="794"/>
    </row>
    <row r="118" spans="1:22">
      <c r="A118" s="3006"/>
      <c r="B118" s="714"/>
      <c r="C118" s="23">
        <f t="shared" si="23"/>
        <v>1</v>
      </c>
      <c r="D118" s="715"/>
      <c r="E118" s="23">
        <f t="shared" si="24"/>
        <v>0.03</v>
      </c>
      <c r="F118" s="715"/>
      <c r="G118" s="23">
        <f t="shared" si="25"/>
        <v>0.1</v>
      </c>
      <c r="H118" s="715"/>
      <c r="I118" s="23">
        <f t="shared" si="26"/>
        <v>1</v>
      </c>
      <c r="J118" s="715"/>
      <c r="K118" s="23">
        <f t="shared" si="27"/>
        <v>1</v>
      </c>
      <c r="L118" s="715"/>
      <c r="M118" s="23">
        <f t="shared" si="28"/>
        <v>1</v>
      </c>
      <c r="N118" s="715"/>
      <c r="O118" s="23">
        <f t="shared" si="29"/>
        <v>1</v>
      </c>
      <c r="P118" s="715" t="s">
        <v>3117</v>
      </c>
      <c r="Q118" s="23">
        <f t="shared" si="30"/>
        <v>1.1499999999999999</v>
      </c>
      <c r="R118" s="712">
        <f t="shared" si="31"/>
        <v>0</v>
      </c>
      <c r="S118" s="360">
        <f t="shared" si="22"/>
        <v>0</v>
      </c>
      <c r="V118" s="794"/>
    </row>
    <row r="119" spans="1:22">
      <c r="A119" s="3006"/>
      <c r="B119" s="714"/>
      <c r="C119" s="23">
        <f t="shared" si="23"/>
        <v>1</v>
      </c>
      <c r="D119" s="715"/>
      <c r="E119" s="23">
        <f t="shared" si="24"/>
        <v>0.03</v>
      </c>
      <c r="F119" s="715"/>
      <c r="G119" s="23">
        <f t="shared" si="25"/>
        <v>0.1</v>
      </c>
      <c r="H119" s="715"/>
      <c r="I119" s="23">
        <f t="shared" si="26"/>
        <v>1</v>
      </c>
      <c r="J119" s="715"/>
      <c r="K119" s="23">
        <f t="shared" si="27"/>
        <v>1</v>
      </c>
      <c r="L119" s="715"/>
      <c r="M119" s="23">
        <f t="shared" si="28"/>
        <v>1</v>
      </c>
      <c r="N119" s="715"/>
      <c r="O119" s="23">
        <f t="shared" si="29"/>
        <v>1</v>
      </c>
      <c r="P119" s="715" t="s">
        <v>3117</v>
      </c>
      <c r="Q119" s="23">
        <f t="shared" si="30"/>
        <v>1.1499999999999999</v>
      </c>
      <c r="R119" s="712">
        <f t="shared" si="31"/>
        <v>0</v>
      </c>
      <c r="S119" s="360">
        <f t="shared" si="22"/>
        <v>0</v>
      </c>
      <c r="V119" s="794"/>
    </row>
    <row r="120" spans="1:22">
      <c r="A120" s="3006"/>
      <c r="B120" s="714"/>
      <c r="C120" s="23">
        <f t="shared" si="23"/>
        <v>1</v>
      </c>
      <c r="D120" s="715"/>
      <c r="E120" s="23">
        <f t="shared" si="24"/>
        <v>0.03</v>
      </c>
      <c r="F120" s="715"/>
      <c r="G120" s="23">
        <f t="shared" si="25"/>
        <v>0.1</v>
      </c>
      <c r="H120" s="715"/>
      <c r="I120" s="23">
        <f t="shared" si="26"/>
        <v>1</v>
      </c>
      <c r="J120" s="715"/>
      <c r="K120" s="23">
        <f t="shared" si="27"/>
        <v>1</v>
      </c>
      <c r="L120" s="715"/>
      <c r="M120" s="23">
        <f t="shared" si="28"/>
        <v>1</v>
      </c>
      <c r="N120" s="715"/>
      <c r="O120" s="23">
        <f t="shared" si="29"/>
        <v>1</v>
      </c>
      <c r="P120" s="715" t="s">
        <v>3117</v>
      </c>
      <c r="Q120" s="23">
        <f t="shared" si="30"/>
        <v>1.1499999999999999</v>
      </c>
      <c r="R120" s="712">
        <f t="shared" si="31"/>
        <v>0</v>
      </c>
      <c r="S120" s="360">
        <f t="shared" si="22"/>
        <v>0</v>
      </c>
      <c r="V120" s="794"/>
    </row>
    <row r="121" spans="1:22">
      <c r="A121" s="3006"/>
      <c r="B121" s="714"/>
      <c r="C121" s="23">
        <f t="shared" si="23"/>
        <v>1</v>
      </c>
      <c r="D121" s="715"/>
      <c r="E121" s="23">
        <f t="shared" si="24"/>
        <v>0.03</v>
      </c>
      <c r="F121" s="715"/>
      <c r="G121" s="23">
        <f t="shared" si="25"/>
        <v>0.1</v>
      </c>
      <c r="H121" s="715"/>
      <c r="I121" s="23">
        <f t="shared" si="26"/>
        <v>1</v>
      </c>
      <c r="J121" s="715"/>
      <c r="K121" s="23">
        <f t="shared" si="27"/>
        <v>1</v>
      </c>
      <c r="L121" s="715"/>
      <c r="M121" s="23">
        <f t="shared" si="28"/>
        <v>1</v>
      </c>
      <c r="N121" s="715"/>
      <c r="O121" s="23">
        <f t="shared" si="29"/>
        <v>1</v>
      </c>
      <c r="P121" s="715" t="s">
        <v>3117</v>
      </c>
      <c r="Q121" s="23">
        <f t="shared" si="30"/>
        <v>1.1499999999999999</v>
      </c>
      <c r="R121" s="712">
        <f t="shared" si="31"/>
        <v>0</v>
      </c>
      <c r="S121" s="360">
        <f t="shared" si="22"/>
        <v>0</v>
      </c>
      <c r="V121" s="794"/>
    </row>
    <row r="122" spans="1:22">
      <c r="A122" s="3006"/>
      <c r="B122" s="714"/>
      <c r="C122" s="23">
        <f t="shared" si="23"/>
        <v>1</v>
      </c>
      <c r="D122" s="715"/>
      <c r="E122" s="23">
        <f t="shared" si="24"/>
        <v>0.03</v>
      </c>
      <c r="F122" s="715"/>
      <c r="G122" s="23">
        <f t="shared" si="25"/>
        <v>0.1</v>
      </c>
      <c r="H122" s="715"/>
      <c r="I122" s="23">
        <f t="shared" si="26"/>
        <v>1</v>
      </c>
      <c r="J122" s="715"/>
      <c r="K122" s="23">
        <f t="shared" si="27"/>
        <v>1</v>
      </c>
      <c r="L122" s="715"/>
      <c r="M122" s="23">
        <f t="shared" si="28"/>
        <v>1</v>
      </c>
      <c r="N122" s="715"/>
      <c r="O122" s="23">
        <f t="shared" si="29"/>
        <v>1</v>
      </c>
      <c r="P122" s="715" t="s">
        <v>3117</v>
      </c>
      <c r="Q122" s="23">
        <f t="shared" si="30"/>
        <v>1.1499999999999999</v>
      </c>
      <c r="R122" s="712">
        <f t="shared" si="31"/>
        <v>0</v>
      </c>
      <c r="S122" s="360">
        <f t="shared" si="22"/>
        <v>0</v>
      </c>
      <c r="V122" s="794"/>
    </row>
    <row r="123" spans="1:22">
      <c r="A123" s="3006"/>
      <c r="B123" s="714"/>
      <c r="C123" s="23">
        <f t="shared" si="23"/>
        <v>1</v>
      </c>
      <c r="D123" s="715"/>
      <c r="E123" s="23">
        <f t="shared" si="24"/>
        <v>0.03</v>
      </c>
      <c r="F123" s="715"/>
      <c r="G123" s="23">
        <f t="shared" si="25"/>
        <v>0.1</v>
      </c>
      <c r="H123" s="715"/>
      <c r="I123" s="23">
        <f t="shared" si="26"/>
        <v>1</v>
      </c>
      <c r="J123" s="715"/>
      <c r="K123" s="23">
        <f t="shared" si="27"/>
        <v>1</v>
      </c>
      <c r="L123" s="715"/>
      <c r="M123" s="23">
        <f t="shared" si="28"/>
        <v>1</v>
      </c>
      <c r="N123" s="715"/>
      <c r="O123" s="23">
        <f t="shared" si="29"/>
        <v>1</v>
      </c>
      <c r="P123" s="715" t="s">
        <v>3119</v>
      </c>
      <c r="Q123" s="23">
        <f t="shared" si="30"/>
        <v>0.85</v>
      </c>
      <c r="R123" s="712">
        <f t="shared" si="31"/>
        <v>0</v>
      </c>
      <c r="S123" s="360">
        <f t="shared" ref="S123:S186" si="32">ROUND(R123*B123/10000,0)</f>
        <v>0</v>
      </c>
      <c r="V123" s="794"/>
    </row>
    <row r="124" spans="1:22">
      <c r="A124" s="3006"/>
      <c r="B124" s="714"/>
      <c r="C124" s="23">
        <f t="shared" si="23"/>
        <v>1</v>
      </c>
      <c r="D124" s="715"/>
      <c r="E124" s="23">
        <f t="shared" si="24"/>
        <v>0.03</v>
      </c>
      <c r="F124" s="715"/>
      <c r="G124" s="23">
        <f t="shared" si="25"/>
        <v>0.1</v>
      </c>
      <c r="H124" s="715"/>
      <c r="I124" s="23">
        <f t="shared" si="26"/>
        <v>1</v>
      </c>
      <c r="J124" s="715"/>
      <c r="K124" s="23">
        <f t="shared" si="27"/>
        <v>1</v>
      </c>
      <c r="L124" s="715"/>
      <c r="M124" s="23">
        <f t="shared" si="28"/>
        <v>1</v>
      </c>
      <c r="N124" s="715"/>
      <c r="O124" s="23">
        <f t="shared" si="29"/>
        <v>1</v>
      </c>
      <c r="P124" s="715" t="s">
        <v>3119</v>
      </c>
      <c r="Q124" s="23">
        <f t="shared" si="30"/>
        <v>0.85</v>
      </c>
      <c r="R124" s="712">
        <f t="shared" si="31"/>
        <v>0</v>
      </c>
      <c r="S124" s="360">
        <f t="shared" si="32"/>
        <v>0</v>
      </c>
      <c r="V124" s="794"/>
    </row>
    <row r="125" spans="1:22">
      <c r="A125" s="3006"/>
      <c r="B125" s="714"/>
      <c r="C125" s="23">
        <f t="shared" si="23"/>
        <v>1</v>
      </c>
      <c r="D125" s="715"/>
      <c r="E125" s="23">
        <f t="shared" si="24"/>
        <v>0.03</v>
      </c>
      <c r="F125" s="715"/>
      <c r="G125" s="23">
        <f t="shared" si="25"/>
        <v>0.1</v>
      </c>
      <c r="H125" s="715"/>
      <c r="I125" s="23">
        <f t="shared" si="26"/>
        <v>1</v>
      </c>
      <c r="J125" s="715"/>
      <c r="K125" s="23">
        <f t="shared" si="27"/>
        <v>1</v>
      </c>
      <c r="L125" s="715"/>
      <c r="M125" s="23">
        <f t="shared" si="28"/>
        <v>1</v>
      </c>
      <c r="N125" s="715"/>
      <c r="O125" s="23">
        <f t="shared" si="29"/>
        <v>1</v>
      </c>
      <c r="P125" s="715" t="s">
        <v>3119</v>
      </c>
      <c r="Q125" s="23">
        <f t="shared" si="30"/>
        <v>0.85</v>
      </c>
      <c r="R125" s="712">
        <f t="shared" si="31"/>
        <v>0</v>
      </c>
      <c r="S125" s="360">
        <f t="shared" si="32"/>
        <v>0</v>
      </c>
      <c r="V125" s="794"/>
    </row>
    <row r="126" spans="1:22">
      <c r="A126" s="3006"/>
      <c r="B126" s="714"/>
      <c r="C126" s="23">
        <f t="shared" si="23"/>
        <v>1</v>
      </c>
      <c r="D126" s="715"/>
      <c r="E126" s="23">
        <f t="shared" si="24"/>
        <v>0.03</v>
      </c>
      <c r="F126" s="715"/>
      <c r="G126" s="23">
        <f t="shared" si="25"/>
        <v>0.1</v>
      </c>
      <c r="H126" s="715"/>
      <c r="I126" s="23">
        <f t="shared" si="26"/>
        <v>1</v>
      </c>
      <c r="J126" s="715"/>
      <c r="K126" s="23">
        <f t="shared" si="27"/>
        <v>1</v>
      </c>
      <c r="L126" s="715"/>
      <c r="M126" s="23">
        <f t="shared" si="28"/>
        <v>1</v>
      </c>
      <c r="N126" s="715"/>
      <c r="O126" s="23">
        <f t="shared" si="29"/>
        <v>1</v>
      </c>
      <c r="P126" s="715" t="s">
        <v>3119</v>
      </c>
      <c r="Q126" s="23">
        <f t="shared" si="30"/>
        <v>0.85</v>
      </c>
      <c r="R126" s="712">
        <f t="shared" si="31"/>
        <v>0</v>
      </c>
      <c r="S126" s="360">
        <f t="shared" si="32"/>
        <v>0</v>
      </c>
      <c r="V126" s="794"/>
    </row>
    <row r="127" spans="1:22">
      <c r="A127" s="3006"/>
      <c r="B127" s="714"/>
      <c r="C127" s="23">
        <f t="shared" si="23"/>
        <v>1</v>
      </c>
      <c r="D127" s="715"/>
      <c r="E127" s="23">
        <f t="shared" si="24"/>
        <v>0.03</v>
      </c>
      <c r="F127" s="715"/>
      <c r="G127" s="23">
        <f t="shared" si="25"/>
        <v>0.1</v>
      </c>
      <c r="H127" s="715"/>
      <c r="I127" s="23">
        <f t="shared" si="26"/>
        <v>1</v>
      </c>
      <c r="J127" s="715"/>
      <c r="K127" s="23">
        <f t="shared" si="27"/>
        <v>1</v>
      </c>
      <c r="L127" s="715"/>
      <c r="M127" s="23">
        <f t="shared" si="28"/>
        <v>1</v>
      </c>
      <c r="N127" s="715"/>
      <c r="O127" s="23">
        <f t="shared" si="29"/>
        <v>1</v>
      </c>
      <c r="P127" s="715" t="s">
        <v>3119</v>
      </c>
      <c r="Q127" s="23">
        <f t="shared" si="30"/>
        <v>0.85</v>
      </c>
      <c r="R127" s="712">
        <f t="shared" si="31"/>
        <v>0</v>
      </c>
      <c r="S127" s="360">
        <f t="shared" si="32"/>
        <v>0</v>
      </c>
      <c r="V127" s="794"/>
    </row>
    <row r="128" spans="1:22">
      <c r="A128" s="3006"/>
      <c r="B128" s="714"/>
      <c r="C128" s="23">
        <f t="shared" si="23"/>
        <v>1</v>
      </c>
      <c r="D128" s="715"/>
      <c r="E128" s="23">
        <f t="shared" si="24"/>
        <v>0.03</v>
      </c>
      <c r="F128" s="715"/>
      <c r="G128" s="23">
        <f t="shared" si="25"/>
        <v>0.1</v>
      </c>
      <c r="H128" s="715"/>
      <c r="I128" s="23">
        <f t="shared" si="26"/>
        <v>1</v>
      </c>
      <c r="J128" s="715"/>
      <c r="K128" s="23">
        <f t="shared" si="27"/>
        <v>1</v>
      </c>
      <c r="L128" s="715"/>
      <c r="M128" s="23">
        <f t="shared" si="28"/>
        <v>1</v>
      </c>
      <c r="N128" s="715"/>
      <c r="O128" s="23">
        <f t="shared" si="29"/>
        <v>1</v>
      </c>
      <c r="P128" s="715" t="s">
        <v>3119</v>
      </c>
      <c r="Q128" s="23">
        <f t="shared" si="30"/>
        <v>0.85</v>
      </c>
      <c r="R128" s="712">
        <f t="shared" si="31"/>
        <v>0</v>
      </c>
      <c r="S128" s="360">
        <f t="shared" si="32"/>
        <v>0</v>
      </c>
      <c r="V128" s="794"/>
    </row>
    <row r="129" spans="1:22">
      <c r="A129" s="3006"/>
      <c r="B129" s="714"/>
      <c r="C129" s="23">
        <f t="shared" si="23"/>
        <v>1</v>
      </c>
      <c r="D129" s="715"/>
      <c r="E129" s="23">
        <f t="shared" si="24"/>
        <v>0.03</v>
      </c>
      <c r="F129" s="715"/>
      <c r="G129" s="23">
        <f t="shared" si="25"/>
        <v>0.1</v>
      </c>
      <c r="H129" s="715"/>
      <c r="I129" s="23">
        <f t="shared" si="26"/>
        <v>1</v>
      </c>
      <c r="J129" s="715"/>
      <c r="K129" s="23">
        <f t="shared" si="27"/>
        <v>1</v>
      </c>
      <c r="L129" s="715"/>
      <c r="M129" s="23">
        <f t="shared" si="28"/>
        <v>1</v>
      </c>
      <c r="N129" s="715"/>
      <c r="O129" s="23">
        <f t="shared" si="29"/>
        <v>1</v>
      </c>
      <c r="P129" s="715" t="s">
        <v>3119</v>
      </c>
      <c r="Q129" s="23">
        <f t="shared" si="30"/>
        <v>0.85</v>
      </c>
      <c r="R129" s="712">
        <f t="shared" si="31"/>
        <v>0</v>
      </c>
      <c r="S129" s="360">
        <f t="shared" si="32"/>
        <v>0</v>
      </c>
      <c r="V129" s="794"/>
    </row>
    <row r="130" spans="1:22">
      <c r="A130" s="3006"/>
      <c r="B130" s="714"/>
      <c r="C130" s="23">
        <f t="shared" si="23"/>
        <v>1</v>
      </c>
      <c r="D130" s="715"/>
      <c r="E130" s="23">
        <f t="shared" si="24"/>
        <v>0.03</v>
      </c>
      <c r="F130" s="715"/>
      <c r="G130" s="23">
        <f t="shared" si="25"/>
        <v>0.1</v>
      </c>
      <c r="H130" s="715"/>
      <c r="I130" s="23">
        <f t="shared" si="26"/>
        <v>1</v>
      </c>
      <c r="J130" s="715"/>
      <c r="K130" s="23">
        <f t="shared" si="27"/>
        <v>1</v>
      </c>
      <c r="L130" s="715"/>
      <c r="M130" s="23">
        <f t="shared" si="28"/>
        <v>1</v>
      </c>
      <c r="N130" s="715"/>
      <c r="O130" s="23">
        <f t="shared" si="29"/>
        <v>1</v>
      </c>
      <c r="P130" s="715" t="s">
        <v>3119</v>
      </c>
      <c r="Q130" s="23">
        <f t="shared" si="30"/>
        <v>0.85</v>
      </c>
      <c r="R130" s="712">
        <f t="shared" si="31"/>
        <v>0</v>
      </c>
      <c r="S130" s="360">
        <f t="shared" si="32"/>
        <v>0</v>
      </c>
      <c r="V130" s="794"/>
    </row>
    <row r="131" spans="1:22">
      <c r="A131" s="3006"/>
      <c r="B131" s="714"/>
      <c r="C131" s="23">
        <f t="shared" si="23"/>
        <v>1</v>
      </c>
      <c r="D131" s="715"/>
      <c r="E131" s="23">
        <f t="shared" si="24"/>
        <v>0.03</v>
      </c>
      <c r="F131" s="715"/>
      <c r="G131" s="23">
        <f t="shared" si="25"/>
        <v>0.1</v>
      </c>
      <c r="H131" s="715"/>
      <c r="I131" s="23">
        <f t="shared" si="26"/>
        <v>1</v>
      </c>
      <c r="J131" s="715"/>
      <c r="K131" s="23">
        <f t="shared" si="27"/>
        <v>1</v>
      </c>
      <c r="L131" s="715"/>
      <c r="M131" s="23">
        <f t="shared" si="28"/>
        <v>1</v>
      </c>
      <c r="N131" s="715"/>
      <c r="O131" s="23">
        <f t="shared" si="29"/>
        <v>1</v>
      </c>
      <c r="P131" s="715" t="s">
        <v>3119</v>
      </c>
      <c r="Q131" s="23">
        <f t="shared" si="30"/>
        <v>0.85</v>
      </c>
      <c r="R131" s="712">
        <f t="shared" si="31"/>
        <v>0</v>
      </c>
      <c r="S131" s="360">
        <f t="shared" si="32"/>
        <v>0</v>
      </c>
      <c r="V131" s="794"/>
    </row>
    <row r="132" spans="1:22">
      <c r="A132" s="3006"/>
      <c r="B132" s="714"/>
      <c r="C132" s="23">
        <f t="shared" si="23"/>
        <v>1</v>
      </c>
      <c r="D132" s="715"/>
      <c r="E132" s="23">
        <f t="shared" si="24"/>
        <v>0.03</v>
      </c>
      <c r="F132" s="715"/>
      <c r="G132" s="23">
        <f t="shared" si="25"/>
        <v>0.1</v>
      </c>
      <c r="H132" s="715"/>
      <c r="I132" s="23">
        <f t="shared" si="26"/>
        <v>1</v>
      </c>
      <c r="J132" s="715"/>
      <c r="K132" s="23">
        <f t="shared" si="27"/>
        <v>1</v>
      </c>
      <c r="L132" s="715"/>
      <c r="M132" s="23">
        <f t="shared" si="28"/>
        <v>1</v>
      </c>
      <c r="N132" s="715"/>
      <c r="O132" s="23">
        <f t="shared" si="29"/>
        <v>1</v>
      </c>
      <c r="P132" s="715" t="s">
        <v>3119</v>
      </c>
      <c r="Q132" s="23">
        <f t="shared" si="30"/>
        <v>0.85</v>
      </c>
      <c r="R132" s="712">
        <f t="shared" si="31"/>
        <v>0</v>
      </c>
      <c r="S132" s="360">
        <f t="shared" si="32"/>
        <v>0</v>
      </c>
      <c r="V132" s="794"/>
    </row>
    <row r="133" spans="1:22">
      <c r="A133" s="3006"/>
      <c r="B133" s="714"/>
      <c r="C133" s="23">
        <f t="shared" si="23"/>
        <v>1</v>
      </c>
      <c r="D133" s="715"/>
      <c r="E133" s="23">
        <f t="shared" si="24"/>
        <v>0.03</v>
      </c>
      <c r="F133" s="715"/>
      <c r="G133" s="23">
        <f t="shared" si="25"/>
        <v>0.1</v>
      </c>
      <c r="H133" s="715"/>
      <c r="I133" s="23">
        <f t="shared" si="26"/>
        <v>1</v>
      </c>
      <c r="J133" s="715"/>
      <c r="K133" s="23">
        <f t="shared" si="27"/>
        <v>1</v>
      </c>
      <c r="L133" s="715"/>
      <c r="M133" s="23">
        <f t="shared" si="28"/>
        <v>1</v>
      </c>
      <c r="N133" s="715"/>
      <c r="O133" s="23">
        <f t="shared" si="29"/>
        <v>1</v>
      </c>
      <c r="P133" s="715" t="s">
        <v>3119</v>
      </c>
      <c r="Q133" s="23">
        <f t="shared" si="30"/>
        <v>0.85</v>
      </c>
      <c r="R133" s="712">
        <f t="shared" si="31"/>
        <v>0</v>
      </c>
      <c r="S133" s="360">
        <f t="shared" si="32"/>
        <v>0</v>
      </c>
      <c r="V133" s="794"/>
    </row>
    <row r="134" spans="1:22">
      <c r="A134" s="3006"/>
      <c r="B134" s="714"/>
      <c r="C134" s="23">
        <f t="shared" si="23"/>
        <v>1</v>
      </c>
      <c r="D134" s="715"/>
      <c r="E134" s="23">
        <f t="shared" si="24"/>
        <v>0.03</v>
      </c>
      <c r="F134" s="715"/>
      <c r="G134" s="23">
        <f t="shared" si="25"/>
        <v>0.1</v>
      </c>
      <c r="H134" s="715"/>
      <c r="I134" s="23">
        <f t="shared" si="26"/>
        <v>1</v>
      </c>
      <c r="J134" s="715"/>
      <c r="K134" s="23">
        <f t="shared" si="27"/>
        <v>1</v>
      </c>
      <c r="L134" s="715"/>
      <c r="M134" s="23">
        <f t="shared" si="28"/>
        <v>1</v>
      </c>
      <c r="N134" s="715"/>
      <c r="O134" s="23">
        <f t="shared" si="29"/>
        <v>1</v>
      </c>
      <c r="P134" s="715" t="s">
        <v>3119</v>
      </c>
      <c r="Q134" s="23">
        <f t="shared" si="30"/>
        <v>0.85</v>
      </c>
      <c r="R134" s="712">
        <f t="shared" si="31"/>
        <v>0</v>
      </c>
      <c r="S134" s="360">
        <f t="shared" si="32"/>
        <v>0</v>
      </c>
      <c r="V134" s="794"/>
    </row>
    <row r="135" spans="1:22">
      <c r="A135" s="3006"/>
      <c r="B135" s="714"/>
      <c r="C135" s="23">
        <f t="shared" si="23"/>
        <v>1</v>
      </c>
      <c r="D135" s="715"/>
      <c r="E135" s="23">
        <f t="shared" si="24"/>
        <v>0.03</v>
      </c>
      <c r="F135" s="715"/>
      <c r="G135" s="23">
        <f t="shared" si="25"/>
        <v>0.1</v>
      </c>
      <c r="H135" s="715"/>
      <c r="I135" s="23">
        <f t="shared" si="26"/>
        <v>1</v>
      </c>
      <c r="J135" s="715"/>
      <c r="K135" s="23">
        <f t="shared" si="27"/>
        <v>1</v>
      </c>
      <c r="L135" s="715"/>
      <c r="M135" s="23">
        <f t="shared" si="28"/>
        <v>1</v>
      </c>
      <c r="N135" s="715"/>
      <c r="O135" s="23">
        <f t="shared" si="29"/>
        <v>1</v>
      </c>
      <c r="P135" s="715" t="s">
        <v>3119</v>
      </c>
      <c r="Q135" s="23">
        <f t="shared" si="30"/>
        <v>0.85</v>
      </c>
      <c r="R135" s="712">
        <f t="shared" si="31"/>
        <v>0</v>
      </c>
      <c r="S135" s="360">
        <f t="shared" si="32"/>
        <v>0</v>
      </c>
      <c r="V135" s="794"/>
    </row>
    <row r="136" spans="1:22">
      <c r="A136" s="3006"/>
      <c r="B136" s="714"/>
      <c r="C136" s="23">
        <f t="shared" si="23"/>
        <v>1</v>
      </c>
      <c r="D136" s="715"/>
      <c r="E136" s="23">
        <f t="shared" si="24"/>
        <v>0.03</v>
      </c>
      <c r="F136" s="715"/>
      <c r="G136" s="23">
        <f t="shared" si="25"/>
        <v>0.1</v>
      </c>
      <c r="H136" s="715"/>
      <c r="I136" s="23">
        <f t="shared" si="26"/>
        <v>1</v>
      </c>
      <c r="J136" s="715"/>
      <c r="K136" s="23">
        <f t="shared" si="27"/>
        <v>1</v>
      </c>
      <c r="L136" s="715"/>
      <c r="M136" s="23">
        <f t="shared" si="28"/>
        <v>1</v>
      </c>
      <c r="N136" s="715"/>
      <c r="O136" s="23">
        <f t="shared" si="29"/>
        <v>1</v>
      </c>
      <c r="P136" s="715" t="s">
        <v>3119</v>
      </c>
      <c r="Q136" s="23">
        <f t="shared" si="30"/>
        <v>0.85</v>
      </c>
      <c r="R136" s="712">
        <f t="shared" si="31"/>
        <v>0</v>
      </c>
      <c r="S136" s="360">
        <f t="shared" si="32"/>
        <v>0</v>
      </c>
      <c r="V136" s="794"/>
    </row>
    <row r="137" spans="1:22">
      <c r="A137" s="3006"/>
      <c r="B137" s="714"/>
      <c r="C137" s="23">
        <f t="shared" si="23"/>
        <v>1</v>
      </c>
      <c r="D137" s="715"/>
      <c r="E137" s="23">
        <f t="shared" si="24"/>
        <v>0.03</v>
      </c>
      <c r="F137" s="715"/>
      <c r="G137" s="23">
        <f t="shared" si="25"/>
        <v>0.1</v>
      </c>
      <c r="H137" s="715"/>
      <c r="I137" s="23">
        <f t="shared" si="26"/>
        <v>1</v>
      </c>
      <c r="J137" s="715"/>
      <c r="K137" s="23">
        <f t="shared" si="27"/>
        <v>1</v>
      </c>
      <c r="L137" s="715"/>
      <c r="M137" s="23">
        <f t="shared" si="28"/>
        <v>1</v>
      </c>
      <c r="N137" s="715"/>
      <c r="O137" s="23">
        <f t="shared" si="29"/>
        <v>1</v>
      </c>
      <c r="P137" s="715" t="s">
        <v>3119</v>
      </c>
      <c r="Q137" s="23">
        <f t="shared" si="30"/>
        <v>0.85</v>
      </c>
      <c r="R137" s="712">
        <f t="shared" si="31"/>
        <v>0</v>
      </c>
      <c r="S137" s="360">
        <f t="shared" si="32"/>
        <v>0</v>
      </c>
      <c r="V137" s="794"/>
    </row>
    <row r="138" spans="1:22">
      <c r="A138" s="3006"/>
      <c r="B138" s="714"/>
      <c r="C138" s="23">
        <f t="shared" si="23"/>
        <v>1</v>
      </c>
      <c r="D138" s="715"/>
      <c r="E138" s="23">
        <f t="shared" si="24"/>
        <v>0.03</v>
      </c>
      <c r="F138" s="715"/>
      <c r="G138" s="23">
        <f t="shared" si="25"/>
        <v>0.1</v>
      </c>
      <c r="H138" s="715"/>
      <c r="I138" s="23">
        <f t="shared" si="26"/>
        <v>1</v>
      </c>
      <c r="J138" s="715"/>
      <c r="K138" s="23">
        <f t="shared" si="27"/>
        <v>1</v>
      </c>
      <c r="L138" s="715"/>
      <c r="M138" s="23">
        <f t="shared" si="28"/>
        <v>1</v>
      </c>
      <c r="N138" s="715"/>
      <c r="O138" s="23">
        <f t="shared" si="29"/>
        <v>1</v>
      </c>
      <c r="P138" s="715" t="s">
        <v>3119</v>
      </c>
      <c r="Q138" s="23">
        <f t="shared" si="30"/>
        <v>0.85</v>
      </c>
      <c r="R138" s="712">
        <f t="shared" si="31"/>
        <v>0</v>
      </c>
      <c r="S138" s="360">
        <f t="shared" si="32"/>
        <v>0</v>
      </c>
      <c r="V138" s="794"/>
    </row>
    <row r="139" spans="1:22">
      <c r="A139" s="3006"/>
      <c r="B139" s="714"/>
      <c r="C139" s="23">
        <f t="shared" si="23"/>
        <v>1</v>
      </c>
      <c r="D139" s="715"/>
      <c r="E139" s="23">
        <f t="shared" si="24"/>
        <v>0.03</v>
      </c>
      <c r="F139" s="715"/>
      <c r="G139" s="23">
        <f t="shared" si="25"/>
        <v>0.1</v>
      </c>
      <c r="H139" s="715"/>
      <c r="I139" s="23">
        <f t="shared" si="26"/>
        <v>1</v>
      </c>
      <c r="J139" s="715"/>
      <c r="K139" s="23">
        <f t="shared" si="27"/>
        <v>1</v>
      </c>
      <c r="L139" s="715"/>
      <c r="M139" s="23">
        <f t="shared" si="28"/>
        <v>1</v>
      </c>
      <c r="N139" s="715"/>
      <c r="O139" s="23">
        <f t="shared" si="29"/>
        <v>1</v>
      </c>
      <c r="P139" s="715" t="s">
        <v>3119</v>
      </c>
      <c r="Q139" s="23">
        <f t="shared" si="30"/>
        <v>0.85</v>
      </c>
      <c r="R139" s="712">
        <f t="shared" si="31"/>
        <v>0</v>
      </c>
      <c r="S139" s="360">
        <f t="shared" si="32"/>
        <v>0</v>
      </c>
      <c r="V139" s="794"/>
    </row>
    <row r="140" spans="1:22">
      <c r="A140" s="3006"/>
      <c r="B140" s="714"/>
      <c r="C140" s="23">
        <f t="shared" si="23"/>
        <v>1</v>
      </c>
      <c r="D140" s="715"/>
      <c r="E140" s="23">
        <f t="shared" si="24"/>
        <v>0.03</v>
      </c>
      <c r="F140" s="715"/>
      <c r="G140" s="23">
        <f t="shared" si="25"/>
        <v>0.1</v>
      </c>
      <c r="H140" s="715"/>
      <c r="I140" s="23">
        <f t="shared" si="26"/>
        <v>1</v>
      </c>
      <c r="J140" s="715"/>
      <c r="K140" s="23">
        <f t="shared" si="27"/>
        <v>1</v>
      </c>
      <c r="L140" s="715"/>
      <c r="M140" s="23">
        <f t="shared" si="28"/>
        <v>1</v>
      </c>
      <c r="N140" s="715"/>
      <c r="O140" s="23">
        <f t="shared" si="29"/>
        <v>1</v>
      </c>
      <c r="P140" s="715" t="s">
        <v>3119</v>
      </c>
      <c r="Q140" s="23">
        <f t="shared" si="30"/>
        <v>0.85</v>
      </c>
      <c r="R140" s="712">
        <f t="shared" si="31"/>
        <v>0</v>
      </c>
      <c r="S140" s="360">
        <f t="shared" si="32"/>
        <v>0</v>
      </c>
      <c r="V140" s="794"/>
    </row>
    <row r="141" spans="1:22">
      <c r="A141" s="3006"/>
      <c r="B141" s="714"/>
      <c r="C141" s="23">
        <f t="shared" si="23"/>
        <v>1</v>
      </c>
      <c r="D141" s="715"/>
      <c r="E141" s="23">
        <f t="shared" si="24"/>
        <v>0.03</v>
      </c>
      <c r="F141" s="715"/>
      <c r="G141" s="23">
        <f t="shared" si="25"/>
        <v>0.1</v>
      </c>
      <c r="H141" s="715"/>
      <c r="I141" s="23">
        <f t="shared" si="26"/>
        <v>1</v>
      </c>
      <c r="J141" s="715"/>
      <c r="K141" s="23">
        <f t="shared" si="27"/>
        <v>1</v>
      </c>
      <c r="L141" s="715"/>
      <c r="M141" s="23">
        <f t="shared" si="28"/>
        <v>1</v>
      </c>
      <c r="N141" s="715"/>
      <c r="O141" s="23">
        <f t="shared" si="29"/>
        <v>1</v>
      </c>
      <c r="P141" s="715" t="s">
        <v>3119</v>
      </c>
      <c r="Q141" s="23">
        <f t="shared" si="30"/>
        <v>0.85</v>
      </c>
      <c r="R141" s="712">
        <f t="shared" si="31"/>
        <v>0</v>
      </c>
      <c r="S141" s="360">
        <f t="shared" si="32"/>
        <v>0</v>
      </c>
      <c r="V141" s="794"/>
    </row>
    <row r="142" spans="1:22">
      <c r="A142" s="3006"/>
      <c r="B142" s="714"/>
      <c r="C142" s="23">
        <f t="shared" si="23"/>
        <v>1</v>
      </c>
      <c r="D142" s="715"/>
      <c r="E142" s="23">
        <f t="shared" si="24"/>
        <v>0.03</v>
      </c>
      <c r="F142" s="715"/>
      <c r="G142" s="23">
        <f t="shared" si="25"/>
        <v>0.1</v>
      </c>
      <c r="H142" s="715"/>
      <c r="I142" s="23">
        <f t="shared" si="26"/>
        <v>1</v>
      </c>
      <c r="J142" s="715"/>
      <c r="K142" s="23">
        <f t="shared" si="27"/>
        <v>1</v>
      </c>
      <c r="L142" s="715"/>
      <c r="M142" s="23">
        <f t="shared" si="28"/>
        <v>1</v>
      </c>
      <c r="N142" s="715"/>
      <c r="O142" s="23">
        <f t="shared" si="29"/>
        <v>1</v>
      </c>
      <c r="P142" s="715" t="s">
        <v>3119</v>
      </c>
      <c r="Q142" s="23">
        <f t="shared" si="30"/>
        <v>0.85</v>
      </c>
      <c r="R142" s="712">
        <f t="shared" si="31"/>
        <v>0</v>
      </c>
      <c r="S142" s="360">
        <f t="shared" si="32"/>
        <v>0</v>
      </c>
      <c r="V142" s="794"/>
    </row>
    <row r="143" spans="1:22">
      <c r="A143" s="3006"/>
      <c r="B143" s="714"/>
      <c r="C143" s="23">
        <f t="shared" si="23"/>
        <v>1</v>
      </c>
      <c r="D143" s="715"/>
      <c r="E143" s="23">
        <f t="shared" si="24"/>
        <v>0.03</v>
      </c>
      <c r="F143" s="715"/>
      <c r="G143" s="23">
        <f t="shared" si="25"/>
        <v>0.1</v>
      </c>
      <c r="H143" s="715"/>
      <c r="I143" s="23">
        <f t="shared" si="26"/>
        <v>1</v>
      </c>
      <c r="J143" s="715"/>
      <c r="K143" s="23">
        <f t="shared" si="27"/>
        <v>1</v>
      </c>
      <c r="L143" s="715"/>
      <c r="M143" s="23">
        <f t="shared" si="28"/>
        <v>1</v>
      </c>
      <c r="N143" s="715"/>
      <c r="O143" s="23">
        <f t="shared" si="29"/>
        <v>1</v>
      </c>
      <c r="P143" s="715" t="s">
        <v>3119</v>
      </c>
      <c r="Q143" s="23">
        <f t="shared" si="30"/>
        <v>0.85</v>
      </c>
      <c r="R143" s="712">
        <f t="shared" si="31"/>
        <v>0</v>
      </c>
      <c r="S143" s="360">
        <f t="shared" si="32"/>
        <v>0</v>
      </c>
      <c r="V143" s="794"/>
    </row>
    <row r="144" spans="1:22">
      <c r="A144" s="3006"/>
      <c r="B144" s="714"/>
      <c r="C144" s="23">
        <f t="shared" si="23"/>
        <v>1</v>
      </c>
      <c r="D144" s="715"/>
      <c r="E144" s="23">
        <f t="shared" si="24"/>
        <v>0.03</v>
      </c>
      <c r="F144" s="715"/>
      <c r="G144" s="23">
        <f t="shared" si="25"/>
        <v>0.1</v>
      </c>
      <c r="H144" s="715"/>
      <c r="I144" s="23">
        <f t="shared" si="26"/>
        <v>1</v>
      </c>
      <c r="J144" s="715"/>
      <c r="K144" s="23">
        <f t="shared" si="27"/>
        <v>1</v>
      </c>
      <c r="L144" s="715"/>
      <c r="M144" s="23">
        <f t="shared" si="28"/>
        <v>1</v>
      </c>
      <c r="N144" s="715"/>
      <c r="O144" s="23">
        <f t="shared" si="29"/>
        <v>1</v>
      </c>
      <c r="P144" s="715" t="s">
        <v>3119</v>
      </c>
      <c r="Q144" s="23">
        <f t="shared" si="30"/>
        <v>0.85</v>
      </c>
      <c r="R144" s="712">
        <f t="shared" si="31"/>
        <v>0</v>
      </c>
      <c r="S144" s="360">
        <f t="shared" si="32"/>
        <v>0</v>
      </c>
    </row>
    <row r="145" spans="1:19">
      <c r="A145" s="3006"/>
      <c r="B145" s="714"/>
      <c r="C145" s="23">
        <f t="shared" si="23"/>
        <v>1</v>
      </c>
      <c r="D145" s="715"/>
      <c r="E145" s="23">
        <f t="shared" si="24"/>
        <v>0.03</v>
      </c>
      <c r="F145" s="715"/>
      <c r="G145" s="23">
        <f t="shared" si="25"/>
        <v>0.1</v>
      </c>
      <c r="H145" s="715"/>
      <c r="I145" s="23">
        <f t="shared" si="26"/>
        <v>1</v>
      </c>
      <c r="J145" s="715"/>
      <c r="K145" s="23">
        <f t="shared" si="27"/>
        <v>1</v>
      </c>
      <c r="L145" s="715"/>
      <c r="M145" s="23">
        <f t="shared" si="28"/>
        <v>1</v>
      </c>
      <c r="N145" s="715"/>
      <c r="O145" s="23">
        <f t="shared" si="29"/>
        <v>1</v>
      </c>
      <c r="P145" s="715" t="s">
        <v>3119</v>
      </c>
      <c r="Q145" s="23">
        <f t="shared" si="30"/>
        <v>0.85</v>
      </c>
      <c r="R145" s="712">
        <f t="shared" si="31"/>
        <v>0</v>
      </c>
      <c r="S145" s="360">
        <f t="shared" si="32"/>
        <v>0</v>
      </c>
    </row>
    <row r="146" spans="1:19">
      <c r="A146" s="3006"/>
      <c r="B146" s="714"/>
      <c r="C146" s="23">
        <f t="shared" si="23"/>
        <v>1</v>
      </c>
      <c r="D146" s="715"/>
      <c r="E146" s="23">
        <f t="shared" si="24"/>
        <v>0.03</v>
      </c>
      <c r="F146" s="715"/>
      <c r="G146" s="23">
        <f t="shared" si="25"/>
        <v>0.1</v>
      </c>
      <c r="H146" s="715"/>
      <c r="I146" s="23">
        <f t="shared" si="26"/>
        <v>1</v>
      </c>
      <c r="J146" s="715"/>
      <c r="K146" s="23">
        <f t="shared" si="27"/>
        <v>1</v>
      </c>
      <c r="L146" s="715"/>
      <c r="M146" s="23">
        <f t="shared" si="28"/>
        <v>1</v>
      </c>
      <c r="N146" s="715"/>
      <c r="O146" s="23">
        <f t="shared" si="29"/>
        <v>1</v>
      </c>
      <c r="P146" s="715" t="s">
        <v>3119</v>
      </c>
      <c r="Q146" s="23">
        <f t="shared" si="30"/>
        <v>0.85</v>
      </c>
      <c r="R146" s="712">
        <f t="shared" si="31"/>
        <v>0</v>
      </c>
      <c r="S146" s="360">
        <f t="shared" si="32"/>
        <v>0</v>
      </c>
    </row>
    <row r="147" spans="1:19">
      <c r="A147" s="3006"/>
      <c r="B147" s="714"/>
      <c r="C147" s="23">
        <f t="shared" si="23"/>
        <v>1</v>
      </c>
      <c r="D147" s="715"/>
      <c r="E147" s="23">
        <f t="shared" si="24"/>
        <v>0.03</v>
      </c>
      <c r="F147" s="715"/>
      <c r="G147" s="23">
        <f t="shared" si="25"/>
        <v>0.1</v>
      </c>
      <c r="H147" s="715"/>
      <c r="I147" s="23">
        <f t="shared" si="26"/>
        <v>1</v>
      </c>
      <c r="J147" s="715"/>
      <c r="K147" s="23">
        <f t="shared" si="27"/>
        <v>1</v>
      </c>
      <c r="L147" s="715"/>
      <c r="M147" s="23">
        <f t="shared" si="28"/>
        <v>1</v>
      </c>
      <c r="N147" s="715"/>
      <c r="O147" s="23">
        <f t="shared" si="29"/>
        <v>1</v>
      </c>
      <c r="P147" s="715" t="s">
        <v>3119</v>
      </c>
      <c r="Q147" s="23">
        <f t="shared" si="30"/>
        <v>0.85</v>
      </c>
      <c r="R147" s="712">
        <f t="shared" si="31"/>
        <v>0</v>
      </c>
      <c r="S147" s="360">
        <f t="shared" si="32"/>
        <v>0</v>
      </c>
    </row>
    <row r="148" spans="1:19">
      <c r="A148" s="3006"/>
      <c r="B148" s="714"/>
      <c r="C148" s="23">
        <f t="shared" si="23"/>
        <v>1</v>
      </c>
      <c r="D148" s="715"/>
      <c r="E148" s="23">
        <f t="shared" si="24"/>
        <v>0.03</v>
      </c>
      <c r="F148" s="715"/>
      <c r="G148" s="23">
        <f t="shared" si="25"/>
        <v>0.1</v>
      </c>
      <c r="H148" s="715"/>
      <c r="I148" s="23">
        <f t="shared" si="26"/>
        <v>1</v>
      </c>
      <c r="J148" s="715"/>
      <c r="K148" s="23">
        <f t="shared" si="27"/>
        <v>1</v>
      </c>
      <c r="L148" s="715"/>
      <c r="M148" s="23">
        <f t="shared" si="28"/>
        <v>1</v>
      </c>
      <c r="N148" s="715"/>
      <c r="O148" s="23">
        <f t="shared" si="29"/>
        <v>1</v>
      </c>
      <c r="P148" s="715" t="s">
        <v>3119</v>
      </c>
      <c r="Q148" s="23">
        <f t="shared" si="30"/>
        <v>0.85</v>
      </c>
      <c r="R148" s="712">
        <f t="shared" si="31"/>
        <v>0</v>
      </c>
      <c r="S148" s="360">
        <f t="shared" si="32"/>
        <v>0</v>
      </c>
    </row>
    <row r="149" spans="1:19">
      <c r="A149" s="3006"/>
      <c r="B149" s="714"/>
      <c r="C149" s="23">
        <f t="shared" si="23"/>
        <v>1</v>
      </c>
      <c r="D149" s="715"/>
      <c r="E149" s="23">
        <f t="shared" si="24"/>
        <v>0.03</v>
      </c>
      <c r="F149" s="715"/>
      <c r="G149" s="23">
        <f t="shared" si="25"/>
        <v>0.1</v>
      </c>
      <c r="H149" s="715"/>
      <c r="I149" s="23">
        <f t="shared" si="26"/>
        <v>1</v>
      </c>
      <c r="J149" s="715"/>
      <c r="K149" s="23">
        <f t="shared" si="27"/>
        <v>1</v>
      </c>
      <c r="L149" s="715"/>
      <c r="M149" s="23">
        <f t="shared" si="28"/>
        <v>1</v>
      </c>
      <c r="N149" s="715"/>
      <c r="O149" s="23">
        <f t="shared" si="29"/>
        <v>1</v>
      </c>
      <c r="P149" s="715" t="s">
        <v>3119</v>
      </c>
      <c r="Q149" s="23">
        <f t="shared" si="30"/>
        <v>0.85</v>
      </c>
      <c r="R149" s="712">
        <f t="shared" si="31"/>
        <v>0</v>
      </c>
      <c r="S149" s="360">
        <f t="shared" si="32"/>
        <v>0</v>
      </c>
    </row>
    <row r="150" spans="1:19">
      <c r="A150" s="3006"/>
      <c r="B150" s="714"/>
      <c r="C150" s="23">
        <f t="shared" si="23"/>
        <v>1</v>
      </c>
      <c r="D150" s="715"/>
      <c r="E150" s="23">
        <f t="shared" si="24"/>
        <v>0.03</v>
      </c>
      <c r="F150" s="715"/>
      <c r="G150" s="23">
        <f t="shared" si="25"/>
        <v>0.1</v>
      </c>
      <c r="H150" s="715"/>
      <c r="I150" s="23">
        <f t="shared" si="26"/>
        <v>1</v>
      </c>
      <c r="J150" s="715"/>
      <c r="K150" s="23">
        <f t="shared" si="27"/>
        <v>1</v>
      </c>
      <c r="L150" s="715"/>
      <c r="M150" s="23">
        <f t="shared" si="28"/>
        <v>1</v>
      </c>
      <c r="N150" s="715"/>
      <c r="O150" s="23">
        <f t="shared" si="29"/>
        <v>1</v>
      </c>
      <c r="P150" s="715" t="s">
        <v>3119</v>
      </c>
      <c r="Q150" s="23">
        <f t="shared" si="30"/>
        <v>0.85</v>
      </c>
      <c r="R150" s="712">
        <f t="shared" si="31"/>
        <v>0</v>
      </c>
      <c r="S150" s="360">
        <f t="shared" si="32"/>
        <v>0</v>
      </c>
    </row>
    <row r="151" spans="1:19">
      <c r="A151" s="3006"/>
      <c r="B151" s="714"/>
      <c r="C151" s="23">
        <f t="shared" si="23"/>
        <v>1</v>
      </c>
      <c r="D151" s="715"/>
      <c r="E151" s="23">
        <f t="shared" si="24"/>
        <v>0.03</v>
      </c>
      <c r="F151" s="715"/>
      <c r="G151" s="23">
        <f t="shared" si="25"/>
        <v>0.1</v>
      </c>
      <c r="H151" s="715"/>
      <c r="I151" s="23">
        <f t="shared" si="26"/>
        <v>1</v>
      </c>
      <c r="J151" s="715"/>
      <c r="K151" s="23">
        <f t="shared" si="27"/>
        <v>1</v>
      </c>
      <c r="L151" s="715"/>
      <c r="M151" s="23">
        <f t="shared" si="28"/>
        <v>1</v>
      </c>
      <c r="N151" s="715"/>
      <c r="O151" s="23">
        <f t="shared" si="29"/>
        <v>1</v>
      </c>
      <c r="P151" s="715" t="s">
        <v>3119</v>
      </c>
      <c r="Q151" s="23">
        <f t="shared" si="30"/>
        <v>0.85</v>
      </c>
      <c r="R151" s="712">
        <f t="shared" si="31"/>
        <v>0</v>
      </c>
      <c r="S151" s="360">
        <f t="shared" si="32"/>
        <v>0</v>
      </c>
    </row>
    <row r="152" spans="1:19">
      <c r="A152" s="3006"/>
      <c r="B152" s="714"/>
      <c r="C152" s="23">
        <f t="shared" si="23"/>
        <v>1</v>
      </c>
      <c r="D152" s="715"/>
      <c r="E152" s="23">
        <f t="shared" si="24"/>
        <v>0.03</v>
      </c>
      <c r="F152" s="715"/>
      <c r="G152" s="23">
        <f t="shared" si="25"/>
        <v>0.1</v>
      </c>
      <c r="H152" s="715"/>
      <c r="I152" s="23">
        <f t="shared" si="26"/>
        <v>1</v>
      </c>
      <c r="J152" s="715"/>
      <c r="K152" s="23">
        <f t="shared" si="27"/>
        <v>1</v>
      </c>
      <c r="L152" s="715"/>
      <c r="M152" s="23">
        <f t="shared" si="28"/>
        <v>1</v>
      </c>
      <c r="N152" s="715"/>
      <c r="O152" s="23">
        <f t="shared" si="29"/>
        <v>1</v>
      </c>
      <c r="P152" s="715" t="s">
        <v>3119</v>
      </c>
      <c r="Q152" s="23">
        <f t="shared" si="30"/>
        <v>0.85</v>
      </c>
      <c r="R152" s="712">
        <f t="shared" si="31"/>
        <v>0</v>
      </c>
      <c r="S152" s="360">
        <f t="shared" si="32"/>
        <v>0</v>
      </c>
    </row>
    <row r="153" spans="1:19">
      <c r="A153" s="3006"/>
      <c r="B153" s="714"/>
      <c r="C153" s="23">
        <f t="shared" si="23"/>
        <v>1</v>
      </c>
      <c r="D153" s="715"/>
      <c r="E153" s="23">
        <f t="shared" si="24"/>
        <v>0.03</v>
      </c>
      <c r="F153" s="715"/>
      <c r="G153" s="23">
        <f t="shared" si="25"/>
        <v>0.1</v>
      </c>
      <c r="H153" s="715"/>
      <c r="I153" s="23">
        <f t="shared" si="26"/>
        <v>1</v>
      </c>
      <c r="J153" s="715"/>
      <c r="K153" s="23">
        <f t="shared" si="27"/>
        <v>1</v>
      </c>
      <c r="L153" s="715"/>
      <c r="M153" s="23">
        <f t="shared" si="28"/>
        <v>1</v>
      </c>
      <c r="N153" s="715"/>
      <c r="O153" s="23">
        <f t="shared" si="29"/>
        <v>1</v>
      </c>
      <c r="P153" s="715" t="s">
        <v>3119</v>
      </c>
      <c r="Q153" s="23">
        <f t="shared" si="30"/>
        <v>0.85</v>
      </c>
      <c r="R153" s="712">
        <f t="shared" si="31"/>
        <v>0</v>
      </c>
      <c r="S153" s="360">
        <f t="shared" si="32"/>
        <v>0</v>
      </c>
    </row>
    <row r="154" spans="1:19">
      <c r="A154" s="3006"/>
      <c r="B154" s="714"/>
      <c r="C154" s="23">
        <f t="shared" ref="C154:C217" si="33">IF(B154="",1,(LOOKUP(B154,$3:$3,$4:$4)-LOOKUP($B$24,$3:$3,$4:$4)+100)/100)</f>
        <v>1</v>
      </c>
      <c r="D154" s="715"/>
      <c r="E154" s="23">
        <f t="shared" ref="E154:E217" si="34">(SUMIF($5:$5,D154,$6:$6)-SUMIF($5:$5,$D$24,$6:$6)+100)/100</f>
        <v>0.03</v>
      </c>
      <c r="F154" s="715"/>
      <c r="G154" s="23">
        <f t="shared" ref="G154:G217" si="35">(SUMIF($7:$7,F154,$8:$8)-SUMIF($7:$7,$F$24,$8:$8)+100)/100</f>
        <v>0.1</v>
      </c>
      <c r="H154" s="715"/>
      <c r="I154" s="23">
        <f t="shared" ref="I154:I217" si="36">(SUMIF($9:$9,H154,$10:$10)-SUMIF($9:$9,$H$24,$10:$10)+100)/100</f>
        <v>1</v>
      </c>
      <c r="J154" s="715"/>
      <c r="K154" s="23">
        <f t="shared" ref="K154:K217" si="37">(SUMIF($11:$11,J154,$12:$12)-SUMIF($11:$11,$J$24,$12:$12)+100)/100</f>
        <v>1</v>
      </c>
      <c r="L154" s="715"/>
      <c r="M154" s="23">
        <f t="shared" ref="M154:M217" si="38">(SUMIF($13:$13,L154,$14:$14)-SUMIF($13:$13,$L$24,$14:$14)+100)/100</f>
        <v>1</v>
      </c>
      <c r="N154" s="715"/>
      <c r="O154" s="23">
        <f t="shared" ref="O154:O217" si="39">(SUMIF($15:$15,N154,$16:$16)-SUMIF($15:$15,$N$24,$16:$16)+100)/100</f>
        <v>1</v>
      </c>
      <c r="P154" s="715" t="s">
        <v>3119</v>
      </c>
      <c r="Q154" s="23">
        <f t="shared" ref="Q154:Q217" si="40">(SUMIF($17:$17,P154,$18:$18)-SUMIF($17:$17,$P$24,$18:$18)+100)/100</f>
        <v>0.85</v>
      </c>
      <c r="R154" s="712">
        <f t="shared" ref="R154:R217" si="41">IF(B154="",0,ROUND($R$24*C154*E154*G154*I154*K154*M154*O154*Q154,0))</f>
        <v>0</v>
      </c>
      <c r="S154" s="360">
        <f t="shared" si="32"/>
        <v>0</v>
      </c>
    </row>
    <row r="155" spans="1:19">
      <c r="A155" s="3006"/>
      <c r="B155" s="714"/>
      <c r="C155" s="23">
        <f t="shared" si="33"/>
        <v>1</v>
      </c>
      <c r="D155" s="715"/>
      <c r="E155" s="23">
        <f t="shared" si="34"/>
        <v>0.03</v>
      </c>
      <c r="F155" s="715"/>
      <c r="G155" s="23">
        <f t="shared" si="35"/>
        <v>0.1</v>
      </c>
      <c r="H155" s="715"/>
      <c r="I155" s="23">
        <f t="shared" si="36"/>
        <v>1</v>
      </c>
      <c r="J155" s="715"/>
      <c r="K155" s="23">
        <f t="shared" si="37"/>
        <v>1</v>
      </c>
      <c r="L155" s="715"/>
      <c r="M155" s="23">
        <f t="shared" si="38"/>
        <v>1</v>
      </c>
      <c r="N155" s="715"/>
      <c r="O155" s="23">
        <f t="shared" si="39"/>
        <v>1</v>
      </c>
      <c r="P155" s="715" t="s">
        <v>3120</v>
      </c>
      <c r="Q155" s="23">
        <f t="shared" si="40"/>
        <v>0.75</v>
      </c>
      <c r="R155" s="712">
        <f t="shared" si="41"/>
        <v>0</v>
      </c>
      <c r="S155" s="360">
        <f t="shared" si="32"/>
        <v>0</v>
      </c>
    </row>
    <row r="156" spans="1:19">
      <c r="A156" s="3006"/>
      <c r="B156" s="714"/>
      <c r="C156" s="23">
        <f t="shared" si="33"/>
        <v>1</v>
      </c>
      <c r="D156" s="715"/>
      <c r="E156" s="23">
        <f t="shared" si="34"/>
        <v>0.03</v>
      </c>
      <c r="F156" s="715"/>
      <c r="G156" s="23">
        <f t="shared" si="35"/>
        <v>0.1</v>
      </c>
      <c r="H156" s="715"/>
      <c r="I156" s="23">
        <f t="shared" si="36"/>
        <v>1</v>
      </c>
      <c r="J156" s="715"/>
      <c r="K156" s="23">
        <f t="shared" si="37"/>
        <v>1</v>
      </c>
      <c r="L156" s="715"/>
      <c r="M156" s="23">
        <f t="shared" si="38"/>
        <v>1</v>
      </c>
      <c r="N156" s="715"/>
      <c r="O156" s="23">
        <f t="shared" si="39"/>
        <v>1</v>
      </c>
      <c r="P156" s="715" t="s">
        <v>3120</v>
      </c>
      <c r="Q156" s="23">
        <f t="shared" si="40"/>
        <v>0.75</v>
      </c>
      <c r="R156" s="712">
        <f t="shared" si="41"/>
        <v>0</v>
      </c>
      <c r="S156" s="360">
        <f t="shared" si="32"/>
        <v>0</v>
      </c>
    </row>
    <row r="157" spans="1:19">
      <c r="A157" s="3006"/>
      <c r="B157" s="714"/>
      <c r="C157" s="23">
        <f t="shared" si="33"/>
        <v>1</v>
      </c>
      <c r="D157" s="715"/>
      <c r="E157" s="23">
        <f t="shared" si="34"/>
        <v>0.03</v>
      </c>
      <c r="F157" s="715"/>
      <c r="G157" s="23">
        <f t="shared" si="35"/>
        <v>0.1</v>
      </c>
      <c r="H157" s="715"/>
      <c r="I157" s="23">
        <f t="shared" si="36"/>
        <v>1</v>
      </c>
      <c r="J157" s="715"/>
      <c r="K157" s="23">
        <f t="shared" si="37"/>
        <v>1</v>
      </c>
      <c r="L157" s="715"/>
      <c r="M157" s="23">
        <f t="shared" si="38"/>
        <v>1</v>
      </c>
      <c r="N157" s="715"/>
      <c r="O157" s="23">
        <f t="shared" si="39"/>
        <v>1</v>
      </c>
      <c r="P157" s="715" t="s">
        <v>3120</v>
      </c>
      <c r="Q157" s="23">
        <f t="shared" si="40"/>
        <v>0.75</v>
      </c>
      <c r="R157" s="712">
        <f t="shared" si="41"/>
        <v>0</v>
      </c>
      <c r="S157" s="360">
        <f t="shared" si="32"/>
        <v>0</v>
      </c>
    </row>
    <row r="158" spans="1:19">
      <c r="A158" s="3006"/>
      <c r="B158" s="714"/>
      <c r="C158" s="23">
        <f t="shared" si="33"/>
        <v>1</v>
      </c>
      <c r="D158" s="715"/>
      <c r="E158" s="23">
        <f t="shared" si="34"/>
        <v>0.03</v>
      </c>
      <c r="F158" s="715"/>
      <c r="G158" s="23">
        <f t="shared" si="35"/>
        <v>0.1</v>
      </c>
      <c r="H158" s="715"/>
      <c r="I158" s="23">
        <f t="shared" si="36"/>
        <v>1</v>
      </c>
      <c r="J158" s="715"/>
      <c r="K158" s="23">
        <f t="shared" si="37"/>
        <v>1</v>
      </c>
      <c r="L158" s="715"/>
      <c r="M158" s="23">
        <f t="shared" si="38"/>
        <v>1</v>
      </c>
      <c r="N158" s="715"/>
      <c r="O158" s="23">
        <f t="shared" si="39"/>
        <v>1</v>
      </c>
      <c r="P158" s="715" t="s">
        <v>3120</v>
      </c>
      <c r="Q158" s="23">
        <f t="shared" si="40"/>
        <v>0.75</v>
      </c>
      <c r="R158" s="712">
        <f t="shared" si="41"/>
        <v>0</v>
      </c>
      <c r="S158" s="360">
        <f t="shared" si="32"/>
        <v>0</v>
      </c>
    </row>
    <row r="159" spans="1:19">
      <c r="A159" s="3006"/>
      <c r="B159" s="714"/>
      <c r="C159" s="23">
        <f t="shared" si="33"/>
        <v>1</v>
      </c>
      <c r="D159" s="715"/>
      <c r="E159" s="23">
        <f t="shared" si="34"/>
        <v>0.03</v>
      </c>
      <c r="F159" s="715"/>
      <c r="G159" s="23">
        <f t="shared" si="35"/>
        <v>0.1</v>
      </c>
      <c r="H159" s="715"/>
      <c r="I159" s="23">
        <f t="shared" si="36"/>
        <v>1</v>
      </c>
      <c r="J159" s="715"/>
      <c r="K159" s="23">
        <f t="shared" si="37"/>
        <v>1</v>
      </c>
      <c r="L159" s="715"/>
      <c r="M159" s="23">
        <f t="shared" si="38"/>
        <v>1</v>
      </c>
      <c r="N159" s="715"/>
      <c r="O159" s="23">
        <f t="shared" si="39"/>
        <v>1</v>
      </c>
      <c r="P159" s="715" t="s">
        <v>3120</v>
      </c>
      <c r="Q159" s="23">
        <f t="shared" si="40"/>
        <v>0.75</v>
      </c>
      <c r="R159" s="712">
        <f t="shared" si="41"/>
        <v>0</v>
      </c>
      <c r="S159" s="360">
        <f t="shared" si="32"/>
        <v>0</v>
      </c>
    </row>
    <row r="160" spans="1:19">
      <c r="A160" s="3006"/>
      <c r="B160" s="714"/>
      <c r="C160" s="23">
        <f t="shared" si="33"/>
        <v>1</v>
      </c>
      <c r="D160" s="715"/>
      <c r="E160" s="23">
        <f t="shared" si="34"/>
        <v>0.03</v>
      </c>
      <c r="F160" s="715"/>
      <c r="G160" s="23">
        <f t="shared" si="35"/>
        <v>0.1</v>
      </c>
      <c r="H160" s="715"/>
      <c r="I160" s="23">
        <f t="shared" si="36"/>
        <v>1</v>
      </c>
      <c r="J160" s="715"/>
      <c r="K160" s="23">
        <f t="shared" si="37"/>
        <v>1</v>
      </c>
      <c r="L160" s="715"/>
      <c r="M160" s="23">
        <f t="shared" si="38"/>
        <v>1</v>
      </c>
      <c r="N160" s="715"/>
      <c r="O160" s="23">
        <f t="shared" si="39"/>
        <v>1</v>
      </c>
      <c r="P160" s="715" t="s">
        <v>3120</v>
      </c>
      <c r="Q160" s="23">
        <f t="shared" si="40"/>
        <v>0.75</v>
      </c>
      <c r="R160" s="712">
        <f t="shared" si="41"/>
        <v>0</v>
      </c>
      <c r="S160" s="360">
        <f t="shared" si="32"/>
        <v>0</v>
      </c>
    </row>
    <row r="161" spans="1:19">
      <c r="A161" s="3006"/>
      <c r="B161" s="714"/>
      <c r="C161" s="23">
        <f t="shared" si="33"/>
        <v>1</v>
      </c>
      <c r="D161" s="715"/>
      <c r="E161" s="23">
        <f t="shared" si="34"/>
        <v>0.03</v>
      </c>
      <c r="F161" s="715"/>
      <c r="G161" s="23">
        <f t="shared" si="35"/>
        <v>0.1</v>
      </c>
      <c r="H161" s="715"/>
      <c r="I161" s="23">
        <f t="shared" si="36"/>
        <v>1</v>
      </c>
      <c r="J161" s="715"/>
      <c r="K161" s="23">
        <f t="shared" si="37"/>
        <v>1</v>
      </c>
      <c r="L161" s="715"/>
      <c r="M161" s="23">
        <f t="shared" si="38"/>
        <v>1</v>
      </c>
      <c r="N161" s="715"/>
      <c r="O161" s="23">
        <f t="shared" si="39"/>
        <v>1</v>
      </c>
      <c r="P161" s="715" t="s">
        <v>3120</v>
      </c>
      <c r="Q161" s="23">
        <f t="shared" si="40"/>
        <v>0.75</v>
      </c>
      <c r="R161" s="712">
        <f t="shared" si="41"/>
        <v>0</v>
      </c>
      <c r="S161" s="360">
        <f t="shared" si="32"/>
        <v>0</v>
      </c>
    </row>
    <row r="162" spans="1:19">
      <c r="A162" s="3006"/>
      <c r="B162" s="714"/>
      <c r="C162" s="23">
        <f t="shared" si="33"/>
        <v>1</v>
      </c>
      <c r="D162" s="715"/>
      <c r="E162" s="23">
        <f t="shared" si="34"/>
        <v>0.03</v>
      </c>
      <c r="F162" s="715"/>
      <c r="G162" s="23">
        <f t="shared" si="35"/>
        <v>0.1</v>
      </c>
      <c r="H162" s="715"/>
      <c r="I162" s="23">
        <f t="shared" si="36"/>
        <v>1</v>
      </c>
      <c r="J162" s="715"/>
      <c r="K162" s="23">
        <f t="shared" si="37"/>
        <v>1</v>
      </c>
      <c r="L162" s="715"/>
      <c r="M162" s="23">
        <f t="shared" si="38"/>
        <v>1</v>
      </c>
      <c r="N162" s="715"/>
      <c r="O162" s="23">
        <f t="shared" si="39"/>
        <v>1</v>
      </c>
      <c r="P162" s="715" t="s">
        <v>3120</v>
      </c>
      <c r="Q162" s="23">
        <f t="shared" si="40"/>
        <v>0.75</v>
      </c>
      <c r="R162" s="712">
        <f t="shared" si="41"/>
        <v>0</v>
      </c>
      <c r="S162" s="360">
        <f t="shared" si="32"/>
        <v>0</v>
      </c>
    </row>
    <row r="163" spans="1:19">
      <c r="A163" s="3006"/>
      <c r="B163" s="714"/>
      <c r="C163" s="23">
        <f t="shared" si="33"/>
        <v>1</v>
      </c>
      <c r="D163" s="715"/>
      <c r="E163" s="23">
        <f t="shared" si="34"/>
        <v>0.03</v>
      </c>
      <c r="F163" s="715"/>
      <c r="G163" s="23">
        <f t="shared" si="35"/>
        <v>0.1</v>
      </c>
      <c r="H163" s="715"/>
      <c r="I163" s="23">
        <f t="shared" si="36"/>
        <v>1</v>
      </c>
      <c r="J163" s="715"/>
      <c r="K163" s="23">
        <f t="shared" si="37"/>
        <v>1</v>
      </c>
      <c r="L163" s="715"/>
      <c r="M163" s="23">
        <f t="shared" si="38"/>
        <v>1</v>
      </c>
      <c r="N163" s="715"/>
      <c r="O163" s="23">
        <f t="shared" si="39"/>
        <v>1</v>
      </c>
      <c r="P163" s="715" t="s">
        <v>3120</v>
      </c>
      <c r="Q163" s="23">
        <f t="shared" si="40"/>
        <v>0.75</v>
      </c>
      <c r="R163" s="712">
        <f t="shared" si="41"/>
        <v>0</v>
      </c>
      <c r="S163" s="360">
        <f t="shared" si="32"/>
        <v>0</v>
      </c>
    </row>
    <row r="164" spans="1:19">
      <c r="A164" s="3006"/>
      <c r="B164" s="714"/>
      <c r="C164" s="23">
        <f t="shared" si="33"/>
        <v>1</v>
      </c>
      <c r="D164" s="715"/>
      <c r="E164" s="23">
        <f t="shared" si="34"/>
        <v>0.03</v>
      </c>
      <c r="F164" s="715"/>
      <c r="G164" s="23">
        <f t="shared" si="35"/>
        <v>0.1</v>
      </c>
      <c r="H164" s="715"/>
      <c r="I164" s="23">
        <f t="shared" si="36"/>
        <v>1</v>
      </c>
      <c r="J164" s="715"/>
      <c r="K164" s="23">
        <f t="shared" si="37"/>
        <v>1</v>
      </c>
      <c r="L164" s="715"/>
      <c r="M164" s="23">
        <f t="shared" si="38"/>
        <v>1</v>
      </c>
      <c r="N164" s="715"/>
      <c r="O164" s="23">
        <f t="shared" si="39"/>
        <v>1</v>
      </c>
      <c r="P164" s="715" t="s">
        <v>3120</v>
      </c>
      <c r="Q164" s="23">
        <f t="shared" si="40"/>
        <v>0.75</v>
      </c>
      <c r="R164" s="712">
        <f t="shared" si="41"/>
        <v>0</v>
      </c>
      <c r="S164" s="360">
        <f t="shared" si="32"/>
        <v>0</v>
      </c>
    </row>
    <row r="165" spans="1:19">
      <c r="A165" s="3006"/>
      <c r="B165" s="714"/>
      <c r="C165" s="23">
        <f t="shared" si="33"/>
        <v>1</v>
      </c>
      <c r="D165" s="715"/>
      <c r="E165" s="23">
        <f t="shared" si="34"/>
        <v>0.03</v>
      </c>
      <c r="F165" s="715"/>
      <c r="G165" s="23">
        <f t="shared" si="35"/>
        <v>0.1</v>
      </c>
      <c r="H165" s="715"/>
      <c r="I165" s="23">
        <f t="shared" si="36"/>
        <v>1</v>
      </c>
      <c r="J165" s="715"/>
      <c r="K165" s="23">
        <f t="shared" si="37"/>
        <v>1</v>
      </c>
      <c r="L165" s="715"/>
      <c r="M165" s="23">
        <f t="shared" si="38"/>
        <v>1</v>
      </c>
      <c r="N165" s="715"/>
      <c r="O165" s="23">
        <f t="shared" si="39"/>
        <v>1</v>
      </c>
      <c r="P165" s="715" t="s">
        <v>3120</v>
      </c>
      <c r="Q165" s="23">
        <f t="shared" si="40"/>
        <v>0.75</v>
      </c>
      <c r="R165" s="712">
        <f t="shared" si="41"/>
        <v>0</v>
      </c>
      <c r="S165" s="360">
        <f t="shared" si="32"/>
        <v>0</v>
      </c>
    </row>
    <row r="166" spans="1:19">
      <c r="A166" s="3006"/>
      <c r="B166" s="714"/>
      <c r="C166" s="23">
        <f t="shared" si="33"/>
        <v>1</v>
      </c>
      <c r="D166" s="715"/>
      <c r="E166" s="23">
        <f t="shared" si="34"/>
        <v>0.03</v>
      </c>
      <c r="F166" s="715"/>
      <c r="G166" s="23">
        <f t="shared" si="35"/>
        <v>0.1</v>
      </c>
      <c r="H166" s="715"/>
      <c r="I166" s="23">
        <f t="shared" si="36"/>
        <v>1</v>
      </c>
      <c r="J166" s="715"/>
      <c r="K166" s="23">
        <f t="shared" si="37"/>
        <v>1</v>
      </c>
      <c r="L166" s="715"/>
      <c r="M166" s="23">
        <f t="shared" si="38"/>
        <v>1</v>
      </c>
      <c r="N166" s="715"/>
      <c r="O166" s="23">
        <f t="shared" si="39"/>
        <v>1</v>
      </c>
      <c r="P166" s="715" t="s">
        <v>3120</v>
      </c>
      <c r="Q166" s="23">
        <f t="shared" si="40"/>
        <v>0.75</v>
      </c>
      <c r="R166" s="712">
        <f t="shared" si="41"/>
        <v>0</v>
      </c>
      <c r="S166" s="360">
        <f t="shared" si="32"/>
        <v>0</v>
      </c>
    </row>
    <row r="167" spans="1:19">
      <c r="A167" s="3006"/>
      <c r="B167" s="714"/>
      <c r="C167" s="23">
        <f t="shared" si="33"/>
        <v>1</v>
      </c>
      <c r="D167" s="715"/>
      <c r="E167" s="23">
        <f t="shared" si="34"/>
        <v>0.03</v>
      </c>
      <c r="F167" s="715"/>
      <c r="G167" s="23">
        <f t="shared" si="35"/>
        <v>0.1</v>
      </c>
      <c r="H167" s="715"/>
      <c r="I167" s="23">
        <f t="shared" si="36"/>
        <v>1</v>
      </c>
      <c r="J167" s="715"/>
      <c r="K167" s="23">
        <f t="shared" si="37"/>
        <v>1</v>
      </c>
      <c r="L167" s="715"/>
      <c r="M167" s="23">
        <f t="shared" si="38"/>
        <v>1</v>
      </c>
      <c r="N167" s="715"/>
      <c r="O167" s="23">
        <f t="shared" si="39"/>
        <v>1</v>
      </c>
      <c r="P167" s="715" t="s">
        <v>3117</v>
      </c>
      <c r="Q167" s="23">
        <f t="shared" si="40"/>
        <v>1.1499999999999999</v>
      </c>
      <c r="R167" s="712">
        <f t="shared" si="41"/>
        <v>0</v>
      </c>
      <c r="S167" s="360">
        <f t="shared" si="32"/>
        <v>0</v>
      </c>
    </row>
    <row r="168" spans="1:19">
      <c r="A168" s="3006"/>
      <c r="B168" s="714"/>
      <c r="C168" s="23">
        <f t="shared" si="33"/>
        <v>1</v>
      </c>
      <c r="D168" s="715"/>
      <c r="E168" s="23">
        <f t="shared" si="34"/>
        <v>0.03</v>
      </c>
      <c r="F168" s="715"/>
      <c r="G168" s="23">
        <f t="shared" si="35"/>
        <v>0.1</v>
      </c>
      <c r="H168" s="715"/>
      <c r="I168" s="23">
        <f t="shared" si="36"/>
        <v>1</v>
      </c>
      <c r="J168" s="715"/>
      <c r="K168" s="23">
        <f t="shared" si="37"/>
        <v>1</v>
      </c>
      <c r="L168" s="715"/>
      <c r="M168" s="23">
        <f t="shared" si="38"/>
        <v>1</v>
      </c>
      <c r="N168" s="715"/>
      <c r="O168" s="23">
        <f t="shared" si="39"/>
        <v>1</v>
      </c>
      <c r="P168" s="715" t="s">
        <v>3117</v>
      </c>
      <c r="Q168" s="23">
        <f t="shared" si="40"/>
        <v>1.1499999999999999</v>
      </c>
      <c r="R168" s="712">
        <f t="shared" si="41"/>
        <v>0</v>
      </c>
      <c r="S168" s="360">
        <f t="shared" si="32"/>
        <v>0</v>
      </c>
    </row>
    <row r="169" spans="1:19">
      <c r="A169" s="3006"/>
      <c r="B169" s="714"/>
      <c r="C169" s="23">
        <f t="shared" si="33"/>
        <v>1</v>
      </c>
      <c r="D169" s="715"/>
      <c r="E169" s="23">
        <f t="shared" si="34"/>
        <v>0.03</v>
      </c>
      <c r="F169" s="715"/>
      <c r="G169" s="23">
        <f t="shared" si="35"/>
        <v>0.1</v>
      </c>
      <c r="H169" s="715"/>
      <c r="I169" s="23">
        <f t="shared" si="36"/>
        <v>1</v>
      </c>
      <c r="J169" s="715"/>
      <c r="K169" s="23">
        <f t="shared" si="37"/>
        <v>1</v>
      </c>
      <c r="L169" s="715"/>
      <c r="M169" s="23">
        <f t="shared" si="38"/>
        <v>1</v>
      </c>
      <c r="N169" s="715"/>
      <c r="O169" s="23">
        <f t="shared" si="39"/>
        <v>1</v>
      </c>
      <c r="P169" s="715" t="s">
        <v>3117</v>
      </c>
      <c r="Q169" s="23">
        <f t="shared" si="40"/>
        <v>1.1499999999999999</v>
      </c>
      <c r="R169" s="712">
        <f t="shared" si="41"/>
        <v>0</v>
      </c>
      <c r="S169" s="360">
        <f t="shared" si="32"/>
        <v>0</v>
      </c>
    </row>
    <row r="170" spans="1:19">
      <c r="A170" s="3006"/>
      <c r="B170" s="714"/>
      <c r="C170" s="23">
        <f t="shared" si="33"/>
        <v>1</v>
      </c>
      <c r="D170" s="715"/>
      <c r="E170" s="23">
        <f t="shared" si="34"/>
        <v>0.03</v>
      </c>
      <c r="F170" s="715"/>
      <c r="G170" s="23">
        <f t="shared" si="35"/>
        <v>0.1</v>
      </c>
      <c r="H170" s="715"/>
      <c r="I170" s="23">
        <f t="shared" si="36"/>
        <v>1</v>
      </c>
      <c r="J170" s="715"/>
      <c r="K170" s="23">
        <f t="shared" si="37"/>
        <v>1</v>
      </c>
      <c r="L170" s="715"/>
      <c r="M170" s="23">
        <f t="shared" si="38"/>
        <v>1</v>
      </c>
      <c r="N170" s="715"/>
      <c r="O170" s="23">
        <f t="shared" si="39"/>
        <v>1</v>
      </c>
      <c r="P170" s="715" t="s">
        <v>3117</v>
      </c>
      <c r="Q170" s="23">
        <f t="shared" si="40"/>
        <v>1.1499999999999999</v>
      </c>
      <c r="R170" s="712">
        <f t="shared" si="41"/>
        <v>0</v>
      </c>
      <c r="S170" s="360">
        <f t="shared" si="32"/>
        <v>0</v>
      </c>
    </row>
    <row r="171" spans="1:19">
      <c r="A171" s="3006"/>
      <c r="B171" s="714"/>
      <c r="C171" s="23">
        <f t="shared" si="33"/>
        <v>1</v>
      </c>
      <c r="D171" s="715"/>
      <c r="E171" s="23">
        <f t="shared" si="34"/>
        <v>0.03</v>
      </c>
      <c r="F171" s="715"/>
      <c r="G171" s="23">
        <f t="shared" si="35"/>
        <v>0.1</v>
      </c>
      <c r="H171" s="715"/>
      <c r="I171" s="23">
        <f t="shared" si="36"/>
        <v>1</v>
      </c>
      <c r="J171" s="715"/>
      <c r="K171" s="23">
        <f t="shared" si="37"/>
        <v>1</v>
      </c>
      <c r="L171" s="715"/>
      <c r="M171" s="23">
        <f t="shared" si="38"/>
        <v>1</v>
      </c>
      <c r="N171" s="715"/>
      <c r="O171" s="23">
        <f t="shared" si="39"/>
        <v>1</v>
      </c>
      <c r="P171" s="715" t="s">
        <v>3117</v>
      </c>
      <c r="Q171" s="23">
        <f t="shared" si="40"/>
        <v>1.1499999999999999</v>
      </c>
      <c r="R171" s="712">
        <f t="shared" si="41"/>
        <v>0</v>
      </c>
      <c r="S171" s="360">
        <f t="shared" si="32"/>
        <v>0</v>
      </c>
    </row>
    <row r="172" spans="1:19">
      <c r="A172" s="3006"/>
      <c r="B172" s="714"/>
      <c r="C172" s="23">
        <f t="shared" si="33"/>
        <v>1</v>
      </c>
      <c r="D172" s="715"/>
      <c r="E172" s="23">
        <f t="shared" si="34"/>
        <v>0.03</v>
      </c>
      <c r="F172" s="715"/>
      <c r="G172" s="23">
        <f t="shared" si="35"/>
        <v>0.1</v>
      </c>
      <c r="H172" s="715"/>
      <c r="I172" s="23">
        <f t="shared" si="36"/>
        <v>1</v>
      </c>
      <c r="J172" s="715"/>
      <c r="K172" s="23">
        <f t="shared" si="37"/>
        <v>1</v>
      </c>
      <c r="L172" s="715"/>
      <c r="M172" s="23">
        <f t="shared" si="38"/>
        <v>1</v>
      </c>
      <c r="N172" s="715"/>
      <c r="O172" s="23">
        <f t="shared" si="39"/>
        <v>1</v>
      </c>
      <c r="P172" s="715" t="s">
        <v>3117</v>
      </c>
      <c r="Q172" s="23">
        <f t="shared" si="40"/>
        <v>1.1499999999999999</v>
      </c>
      <c r="R172" s="712">
        <f t="shared" si="41"/>
        <v>0</v>
      </c>
      <c r="S172" s="360">
        <f t="shared" si="32"/>
        <v>0</v>
      </c>
    </row>
    <row r="173" spans="1:19">
      <c r="A173" s="3006"/>
      <c r="B173" s="714"/>
      <c r="C173" s="23">
        <f t="shared" si="33"/>
        <v>1</v>
      </c>
      <c r="D173" s="715"/>
      <c r="E173" s="23">
        <f t="shared" si="34"/>
        <v>0.03</v>
      </c>
      <c r="F173" s="715"/>
      <c r="G173" s="23">
        <f t="shared" si="35"/>
        <v>0.1</v>
      </c>
      <c r="H173" s="715"/>
      <c r="I173" s="23">
        <f t="shared" si="36"/>
        <v>1</v>
      </c>
      <c r="J173" s="715"/>
      <c r="K173" s="23">
        <f t="shared" si="37"/>
        <v>1</v>
      </c>
      <c r="L173" s="715"/>
      <c r="M173" s="23">
        <f t="shared" si="38"/>
        <v>1</v>
      </c>
      <c r="N173" s="715"/>
      <c r="O173" s="23">
        <f t="shared" si="39"/>
        <v>1</v>
      </c>
      <c r="P173" s="715" t="s">
        <v>3117</v>
      </c>
      <c r="Q173" s="23">
        <f t="shared" si="40"/>
        <v>1.1499999999999999</v>
      </c>
      <c r="R173" s="712">
        <f t="shared" si="41"/>
        <v>0</v>
      </c>
      <c r="S173" s="360">
        <f t="shared" si="32"/>
        <v>0</v>
      </c>
    </row>
    <row r="174" spans="1:19">
      <c r="A174" s="3006"/>
      <c r="B174" s="714"/>
      <c r="C174" s="23">
        <f t="shared" si="33"/>
        <v>1</v>
      </c>
      <c r="D174" s="715"/>
      <c r="E174" s="23">
        <f t="shared" si="34"/>
        <v>0.03</v>
      </c>
      <c r="F174" s="715"/>
      <c r="G174" s="23">
        <f t="shared" si="35"/>
        <v>0.1</v>
      </c>
      <c r="H174" s="715"/>
      <c r="I174" s="23">
        <f t="shared" si="36"/>
        <v>1</v>
      </c>
      <c r="J174" s="715"/>
      <c r="K174" s="23">
        <f t="shared" si="37"/>
        <v>1</v>
      </c>
      <c r="L174" s="715"/>
      <c r="M174" s="23">
        <f t="shared" si="38"/>
        <v>1</v>
      </c>
      <c r="N174" s="715"/>
      <c r="O174" s="23">
        <f t="shared" si="39"/>
        <v>1</v>
      </c>
      <c r="P174" s="715" t="s">
        <v>3117</v>
      </c>
      <c r="Q174" s="23">
        <f t="shared" si="40"/>
        <v>1.1499999999999999</v>
      </c>
      <c r="R174" s="712">
        <f t="shared" si="41"/>
        <v>0</v>
      </c>
      <c r="S174" s="360">
        <f t="shared" si="32"/>
        <v>0</v>
      </c>
    </row>
    <row r="175" spans="1:19">
      <c r="A175" s="3006"/>
      <c r="B175" s="714"/>
      <c r="C175" s="23">
        <f t="shared" si="33"/>
        <v>1</v>
      </c>
      <c r="D175" s="715"/>
      <c r="E175" s="23">
        <f t="shared" si="34"/>
        <v>0.03</v>
      </c>
      <c r="F175" s="715"/>
      <c r="G175" s="23">
        <f t="shared" si="35"/>
        <v>0.1</v>
      </c>
      <c r="H175" s="715"/>
      <c r="I175" s="23">
        <f t="shared" si="36"/>
        <v>1</v>
      </c>
      <c r="J175" s="715"/>
      <c r="K175" s="23">
        <f t="shared" si="37"/>
        <v>1</v>
      </c>
      <c r="L175" s="715"/>
      <c r="M175" s="23">
        <f t="shared" si="38"/>
        <v>1</v>
      </c>
      <c r="N175" s="715"/>
      <c r="O175" s="23">
        <f t="shared" si="39"/>
        <v>1</v>
      </c>
      <c r="P175" s="715" t="s">
        <v>3117</v>
      </c>
      <c r="Q175" s="23">
        <f t="shared" si="40"/>
        <v>1.1499999999999999</v>
      </c>
      <c r="R175" s="712">
        <f t="shared" si="41"/>
        <v>0</v>
      </c>
      <c r="S175" s="360">
        <f t="shared" si="32"/>
        <v>0</v>
      </c>
    </row>
    <row r="176" spans="1:19">
      <c r="A176" s="3006"/>
      <c r="B176" s="714"/>
      <c r="C176" s="23">
        <f t="shared" si="33"/>
        <v>1</v>
      </c>
      <c r="D176" s="715"/>
      <c r="E176" s="23">
        <f t="shared" si="34"/>
        <v>0.03</v>
      </c>
      <c r="F176" s="715"/>
      <c r="G176" s="23">
        <f t="shared" si="35"/>
        <v>0.1</v>
      </c>
      <c r="H176" s="715"/>
      <c r="I176" s="23">
        <f t="shared" si="36"/>
        <v>1</v>
      </c>
      <c r="J176" s="715"/>
      <c r="K176" s="23">
        <f t="shared" si="37"/>
        <v>1</v>
      </c>
      <c r="L176" s="715"/>
      <c r="M176" s="23">
        <f t="shared" si="38"/>
        <v>1</v>
      </c>
      <c r="N176" s="715"/>
      <c r="O176" s="23">
        <f t="shared" si="39"/>
        <v>1</v>
      </c>
      <c r="P176" s="715" t="s">
        <v>3117</v>
      </c>
      <c r="Q176" s="23">
        <f t="shared" si="40"/>
        <v>1.1499999999999999</v>
      </c>
      <c r="R176" s="712">
        <f t="shared" si="41"/>
        <v>0</v>
      </c>
      <c r="S176" s="360">
        <f t="shared" si="32"/>
        <v>0</v>
      </c>
    </row>
    <row r="177" spans="1:19">
      <c r="A177" s="3006"/>
      <c r="B177" s="714"/>
      <c r="C177" s="23">
        <f t="shared" si="33"/>
        <v>1</v>
      </c>
      <c r="D177" s="715"/>
      <c r="E177" s="23">
        <f t="shared" si="34"/>
        <v>0.03</v>
      </c>
      <c r="F177" s="715"/>
      <c r="G177" s="23">
        <f t="shared" si="35"/>
        <v>0.1</v>
      </c>
      <c r="H177" s="715"/>
      <c r="I177" s="23">
        <f t="shared" si="36"/>
        <v>1</v>
      </c>
      <c r="J177" s="715"/>
      <c r="K177" s="23">
        <f t="shared" si="37"/>
        <v>1</v>
      </c>
      <c r="L177" s="715"/>
      <c r="M177" s="23">
        <f t="shared" si="38"/>
        <v>1</v>
      </c>
      <c r="N177" s="715"/>
      <c r="O177" s="23">
        <f t="shared" si="39"/>
        <v>1</v>
      </c>
      <c r="P177" s="715" t="s">
        <v>3117</v>
      </c>
      <c r="Q177" s="23">
        <f t="shared" si="40"/>
        <v>1.1499999999999999</v>
      </c>
      <c r="R177" s="712">
        <f t="shared" si="41"/>
        <v>0</v>
      </c>
      <c r="S177" s="360">
        <f t="shared" si="32"/>
        <v>0</v>
      </c>
    </row>
    <row r="178" spans="1:19">
      <c r="A178" s="3006"/>
      <c r="B178" s="714"/>
      <c r="C178" s="23">
        <f t="shared" si="33"/>
        <v>1</v>
      </c>
      <c r="D178" s="715"/>
      <c r="E178" s="23">
        <f t="shared" si="34"/>
        <v>0.03</v>
      </c>
      <c r="F178" s="715"/>
      <c r="G178" s="23">
        <f t="shared" si="35"/>
        <v>0.1</v>
      </c>
      <c r="H178" s="715"/>
      <c r="I178" s="23">
        <f t="shared" si="36"/>
        <v>1</v>
      </c>
      <c r="J178" s="715"/>
      <c r="K178" s="23">
        <f t="shared" si="37"/>
        <v>1</v>
      </c>
      <c r="L178" s="715"/>
      <c r="M178" s="23">
        <f t="shared" si="38"/>
        <v>1</v>
      </c>
      <c r="N178" s="715"/>
      <c r="O178" s="23">
        <f t="shared" si="39"/>
        <v>1</v>
      </c>
      <c r="P178" s="715" t="s">
        <v>3117</v>
      </c>
      <c r="Q178" s="23">
        <f t="shared" si="40"/>
        <v>1.1499999999999999</v>
      </c>
      <c r="R178" s="712">
        <f t="shared" si="41"/>
        <v>0</v>
      </c>
      <c r="S178" s="360">
        <f t="shared" si="32"/>
        <v>0</v>
      </c>
    </row>
    <row r="179" spans="1:19">
      <c r="A179" s="3006"/>
      <c r="B179" s="714"/>
      <c r="C179" s="23">
        <f t="shared" si="33"/>
        <v>1</v>
      </c>
      <c r="D179" s="715"/>
      <c r="E179" s="23">
        <f t="shared" si="34"/>
        <v>0.03</v>
      </c>
      <c r="F179" s="715"/>
      <c r="G179" s="23">
        <f t="shared" si="35"/>
        <v>0.1</v>
      </c>
      <c r="H179" s="715"/>
      <c r="I179" s="23">
        <f t="shared" si="36"/>
        <v>1</v>
      </c>
      <c r="J179" s="715"/>
      <c r="K179" s="23">
        <f t="shared" si="37"/>
        <v>1</v>
      </c>
      <c r="L179" s="715"/>
      <c r="M179" s="23">
        <f t="shared" si="38"/>
        <v>1</v>
      </c>
      <c r="N179" s="715"/>
      <c r="O179" s="23">
        <f t="shared" si="39"/>
        <v>1</v>
      </c>
      <c r="P179" s="715" t="s">
        <v>3117</v>
      </c>
      <c r="Q179" s="23">
        <f t="shared" si="40"/>
        <v>1.1499999999999999</v>
      </c>
      <c r="R179" s="712">
        <f t="shared" si="41"/>
        <v>0</v>
      </c>
      <c r="S179" s="360">
        <f t="shared" si="32"/>
        <v>0</v>
      </c>
    </row>
    <row r="180" spans="1:19">
      <c r="A180" s="3006"/>
      <c r="B180" s="714"/>
      <c r="C180" s="23">
        <f t="shared" si="33"/>
        <v>1</v>
      </c>
      <c r="D180" s="715"/>
      <c r="E180" s="23">
        <f t="shared" si="34"/>
        <v>0.03</v>
      </c>
      <c r="F180" s="715"/>
      <c r="G180" s="23">
        <f t="shared" si="35"/>
        <v>0.1</v>
      </c>
      <c r="H180" s="715"/>
      <c r="I180" s="23">
        <f t="shared" si="36"/>
        <v>1</v>
      </c>
      <c r="J180" s="715"/>
      <c r="K180" s="23">
        <f t="shared" si="37"/>
        <v>1</v>
      </c>
      <c r="L180" s="715"/>
      <c r="M180" s="23">
        <f t="shared" si="38"/>
        <v>1</v>
      </c>
      <c r="N180" s="715"/>
      <c r="O180" s="23">
        <f t="shared" si="39"/>
        <v>1</v>
      </c>
      <c r="P180" s="715" t="s">
        <v>3117</v>
      </c>
      <c r="Q180" s="23">
        <f t="shared" si="40"/>
        <v>1.1499999999999999</v>
      </c>
      <c r="R180" s="712">
        <f t="shared" si="41"/>
        <v>0</v>
      </c>
      <c r="S180" s="360">
        <f t="shared" si="32"/>
        <v>0</v>
      </c>
    </row>
    <row r="181" spans="1:19">
      <c r="A181" s="3006"/>
      <c r="B181" s="714"/>
      <c r="C181" s="23">
        <f t="shared" si="33"/>
        <v>1</v>
      </c>
      <c r="D181" s="715"/>
      <c r="E181" s="23">
        <f t="shared" si="34"/>
        <v>0.03</v>
      </c>
      <c r="F181" s="715"/>
      <c r="G181" s="23">
        <f t="shared" si="35"/>
        <v>0.1</v>
      </c>
      <c r="H181" s="715"/>
      <c r="I181" s="23">
        <f t="shared" si="36"/>
        <v>1</v>
      </c>
      <c r="J181" s="715"/>
      <c r="K181" s="23">
        <f t="shared" si="37"/>
        <v>1</v>
      </c>
      <c r="L181" s="715"/>
      <c r="M181" s="23">
        <f t="shared" si="38"/>
        <v>1</v>
      </c>
      <c r="N181" s="715"/>
      <c r="O181" s="23">
        <f t="shared" si="39"/>
        <v>1</v>
      </c>
      <c r="P181" s="715" t="s">
        <v>3117</v>
      </c>
      <c r="Q181" s="23">
        <f t="shared" si="40"/>
        <v>1.1499999999999999</v>
      </c>
      <c r="R181" s="712">
        <f t="shared" si="41"/>
        <v>0</v>
      </c>
      <c r="S181" s="360">
        <f t="shared" si="32"/>
        <v>0</v>
      </c>
    </row>
    <row r="182" spans="1:19">
      <c r="A182" s="3006"/>
      <c r="B182" s="714"/>
      <c r="C182" s="23">
        <f t="shared" si="33"/>
        <v>1</v>
      </c>
      <c r="D182" s="715"/>
      <c r="E182" s="23">
        <f t="shared" si="34"/>
        <v>0.03</v>
      </c>
      <c r="F182" s="715"/>
      <c r="G182" s="23">
        <f t="shared" si="35"/>
        <v>0.1</v>
      </c>
      <c r="H182" s="715"/>
      <c r="I182" s="23">
        <f t="shared" si="36"/>
        <v>1</v>
      </c>
      <c r="J182" s="715"/>
      <c r="K182" s="23">
        <f t="shared" si="37"/>
        <v>1</v>
      </c>
      <c r="L182" s="715"/>
      <c r="M182" s="23">
        <f t="shared" si="38"/>
        <v>1</v>
      </c>
      <c r="N182" s="715"/>
      <c r="O182" s="23">
        <f t="shared" si="39"/>
        <v>1</v>
      </c>
      <c r="P182" s="715" t="s">
        <v>3117</v>
      </c>
      <c r="Q182" s="23">
        <f t="shared" si="40"/>
        <v>1.1499999999999999</v>
      </c>
      <c r="R182" s="712">
        <f t="shared" si="41"/>
        <v>0</v>
      </c>
      <c r="S182" s="360">
        <f t="shared" si="32"/>
        <v>0</v>
      </c>
    </row>
    <row r="183" spans="1:19">
      <c r="A183" s="3006"/>
      <c r="B183" s="714"/>
      <c r="C183" s="23">
        <f t="shared" si="33"/>
        <v>1</v>
      </c>
      <c r="D183" s="715"/>
      <c r="E183" s="23">
        <f t="shared" si="34"/>
        <v>0.03</v>
      </c>
      <c r="F183" s="715"/>
      <c r="G183" s="23">
        <f t="shared" si="35"/>
        <v>0.1</v>
      </c>
      <c r="H183" s="715"/>
      <c r="I183" s="23">
        <f t="shared" si="36"/>
        <v>1</v>
      </c>
      <c r="J183" s="715"/>
      <c r="K183" s="23">
        <f t="shared" si="37"/>
        <v>1</v>
      </c>
      <c r="L183" s="715"/>
      <c r="M183" s="23">
        <f t="shared" si="38"/>
        <v>1</v>
      </c>
      <c r="N183" s="715"/>
      <c r="O183" s="23">
        <f t="shared" si="39"/>
        <v>1</v>
      </c>
      <c r="P183" s="715" t="s">
        <v>3117</v>
      </c>
      <c r="Q183" s="23">
        <f t="shared" si="40"/>
        <v>1.1499999999999999</v>
      </c>
      <c r="R183" s="712">
        <f t="shared" si="41"/>
        <v>0</v>
      </c>
      <c r="S183" s="360">
        <f t="shared" si="32"/>
        <v>0</v>
      </c>
    </row>
    <row r="184" spans="1:19">
      <c r="A184" s="3006"/>
      <c r="B184" s="714"/>
      <c r="C184" s="23">
        <f t="shared" si="33"/>
        <v>1</v>
      </c>
      <c r="D184" s="715"/>
      <c r="E184" s="23">
        <f t="shared" si="34"/>
        <v>0.03</v>
      </c>
      <c r="F184" s="715"/>
      <c r="G184" s="23">
        <f t="shared" si="35"/>
        <v>0.1</v>
      </c>
      <c r="H184" s="715"/>
      <c r="I184" s="23">
        <f t="shared" si="36"/>
        <v>1</v>
      </c>
      <c r="J184" s="715"/>
      <c r="K184" s="23">
        <f t="shared" si="37"/>
        <v>1</v>
      </c>
      <c r="L184" s="715"/>
      <c r="M184" s="23">
        <f t="shared" si="38"/>
        <v>1</v>
      </c>
      <c r="N184" s="715"/>
      <c r="O184" s="23">
        <f t="shared" si="39"/>
        <v>1</v>
      </c>
      <c r="P184" s="715" t="s">
        <v>3117</v>
      </c>
      <c r="Q184" s="23">
        <f t="shared" si="40"/>
        <v>1.1499999999999999</v>
      </c>
      <c r="R184" s="712">
        <f t="shared" si="41"/>
        <v>0</v>
      </c>
      <c r="S184" s="360">
        <f t="shared" si="32"/>
        <v>0</v>
      </c>
    </row>
    <row r="185" spans="1:19">
      <c r="A185" s="3006"/>
      <c r="B185" s="714"/>
      <c r="C185" s="23">
        <f t="shared" si="33"/>
        <v>1</v>
      </c>
      <c r="D185" s="715"/>
      <c r="E185" s="23">
        <f t="shared" si="34"/>
        <v>0.03</v>
      </c>
      <c r="F185" s="715"/>
      <c r="G185" s="23">
        <f t="shared" si="35"/>
        <v>0.1</v>
      </c>
      <c r="H185" s="715"/>
      <c r="I185" s="23">
        <f t="shared" si="36"/>
        <v>1</v>
      </c>
      <c r="J185" s="715"/>
      <c r="K185" s="23">
        <f t="shared" si="37"/>
        <v>1</v>
      </c>
      <c r="L185" s="715"/>
      <c r="M185" s="23">
        <f t="shared" si="38"/>
        <v>1</v>
      </c>
      <c r="N185" s="715"/>
      <c r="O185" s="23">
        <f t="shared" si="39"/>
        <v>1</v>
      </c>
      <c r="P185" s="715" t="s">
        <v>3117</v>
      </c>
      <c r="Q185" s="23">
        <f t="shared" si="40"/>
        <v>1.1499999999999999</v>
      </c>
      <c r="R185" s="712">
        <f t="shared" si="41"/>
        <v>0</v>
      </c>
      <c r="S185" s="360">
        <f t="shared" si="32"/>
        <v>0</v>
      </c>
    </row>
    <row r="186" spans="1:19">
      <c r="A186" s="3006"/>
      <c r="B186" s="714"/>
      <c r="C186" s="23">
        <f t="shared" si="33"/>
        <v>1</v>
      </c>
      <c r="D186" s="715"/>
      <c r="E186" s="23">
        <f t="shared" si="34"/>
        <v>0.03</v>
      </c>
      <c r="F186" s="715"/>
      <c r="G186" s="23">
        <f t="shared" si="35"/>
        <v>0.1</v>
      </c>
      <c r="H186" s="715"/>
      <c r="I186" s="23">
        <f t="shared" si="36"/>
        <v>1</v>
      </c>
      <c r="J186" s="715"/>
      <c r="K186" s="23">
        <f t="shared" si="37"/>
        <v>1</v>
      </c>
      <c r="L186" s="715"/>
      <c r="M186" s="23">
        <f t="shared" si="38"/>
        <v>1</v>
      </c>
      <c r="N186" s="715"/>
      <c r="O186" s="23">
        <f t="shared" si="39"/>
        <v>1</v>
      </c>
      <c r="P186" s="715" t="s">
        <v>3117</v>
      </c>
      <c r="Q186" s="23">
        <f t="shared" si="40"/>
        <v>1.1499999999999999</v>
      </c>
      <c r="R186" s="712">
        <f t="shared" si="41"/>
        <v>0</v>
      </c>
      <c r="S186" s="360">
        <f t="shared" si="32"/>
        <v>0</v>
      </c>
    </row>
    <row r="187" spans="1:19">
      <c r="A187" s="3006"/>
      <c r="B187" s="714"/>
      <c r="C187" s="23">
        <f t="shared" si="33"/>
        <v>1</v>
      </c>
      <c r="D187" s="715"/>
      <c r="E187" s="23">
        <f t="shared" si="34"/>
        <v>0.03</v>
      </c>
      <c r="F187" s="715"/>
      <c r="G187" s="23">
        <f t="shared" si="35"/>
        <v>0.1</v>
      </c>
      <c r="H187" s="715"/>
      <c r="I187" s="23">
        <f t="shared" si="36"/>
        <v>1</v>
      </c>
      <c r="J187" s="715"/>
      <c r="K187" s="23">
        <f t="shared" si="37"/>
        <v>1</v>
      </c>
      <c r="L187" s="715"/>
      <c r="M187" s="23">
        <f t="shared" si="38"/>
        <v>1</v>
      </c>
      <c r="N187" s="715"/>
      <c r="O187" s="23">
        <f t="shared" si="39"/>
        <v>1</v>
      </c>
      <c r="P187" s="715" t="s">
        <v>3117</v>
      </c>
      <c r="Q187" s="23">
        <f t="shared" si="40"/>
        <v>1.1499999999999999</v>
      </c>
      <c r="R187" s="712">
        <f t="shared" si="41"/>
        <v>0</v>
      </c>
      <c r="S187" s="360">
        <f t="shared" ref="S187:S222" si="42">ROUND(R187*B187/10000,0)</f>
        <v>0</v>
      </c>
    </row>
    <row r="188" spans="1:19">
      <c r="A188" s="3006"/>
      <c r="B188" s="714"/>
      <c r="C188" s="23">
        <f t="shared" si="33"/>
        <v>1</v>
      </c>
      <c r="D188" s="715"/>
      <c r="E188" s="23">
        <f t="shared" si="34"/>
        <v>0.03</v>
      </c>
      <c r="F188" s="715"/>
      <c r="G188" s="23">
        <f t="shared" si="35"/>
        <v>0.1</v>
      </c>
      <c r="H188" s="715"/>
      <c r="I188" s="23">
        <f t="shared" si="36"/>
        <v>1</v>
      </c>
      <c r="J188" s="715"/>
      <c r="K188" s="23">
        <f t="shared" si="37"/>
        <v>1</v>
      </c>
      <c r="L188" s="715"/>
      <c r="M188" s="23">
        <f t="shared" si="38"/>
        <v>1</v>
      </c>
      <c r="N188" s="715"/>
      <c r="O188" s="23">
        <f t="shared" si="39"/>
        <v>1</v>
      </c>
      <c r="P188" s="715" t="s">
        <v>3117</v>
      </c>
      <c r="Q188" s="23">
        <f t="shared" si="40"/>
        <v>1.1499999999999999</v>
      </c>
      <c r="R188" s="712">
        <f t="shared" si="41"/>
        <v>0</v>
      </c>
      <c r="S188" s="360">
        <f t="shared" si="42"/>
        <v>0</v>
      </c>
    </row>
    <row r="189" spans="1:19">
      <c r="A189" s="3006"/>
      <c r="B189" s="714"/>
      <c r="C189" s="23">
        <f t="shared" si="33"/>
        <v>1</v>
      </c>
      <c r="D189" s="715"/>
      <c r="E189" s="23">
        <f t="shared" si="34"/>
        <v>0.03</v>
      </c>
      <c r="F189" s="715"/>
      <c r="G189" s="23">
        <f t="shared" si="35"/>
        <v>0.1</v>
      </c>
      <c r="H189" s="715"/>
      <c r="I189" s="23">
        <f t="shared" si="36"/>
        <v>1</v>
      </c>
      <c r="J189" s="715"/>
      <c r="K189" s="23">
        <f t="shared" si="37"/>
        <v>1</v>
      </c>
      <c r="L189" s="715"/>
      <c r="M189" s="23">
        <f t="shared" si="38"/>
        <v>1</v>
      </c>
      <c r="N189" s="715"/>
      <c r="O189" s="23">
        <f t="shared" si="39"/>
        <v>1</v>
      </c>
      <c r="P189" s="715" t="s">
        <v>3117</v>
      </c>
      <c r="Q189" s="23">
        <f t="shared" si="40"/>
        <v>1.1499999999999999</v>
      </c>
      <c r="R189" s="712">
        <f t="shared" si="41"/>
        <v>0</v>
      </c>
      <c r="S189" s="360">
        <f t="shared" si="42"/>
        <v>0</v>
      </c>
    </row>
    <row r="190" spans="1:19">
      <c r="A190" s="3006"/>
      <c r="B190" s="714"/>
      <c r="C190" s="23">
        <f t="shared" si="33"/>
        <v>1</v>
      </c>
      <c r="D190" s="715"/>
      <c r="E190" s="23">
        <f t="shared" si="34"/>
        <v>0.03</v>
      </c>
      <c r="F190" s="715"/>
      <c r="G190" s="23">
        <f t="shared" si="35"/>
        <v>0.1</v>
      </c>
      <c r="H190" s="715"/>
      <c r="I190" s="23">
        <f t="shared" si="36"/>
        <v>1</v>
      </c>
      <c r="J190" s="715"/>
      <c r="K190" s="23">
        <f t="shared" si="37"/>
        <v>1</v>
      </c>
      <c r="L190" s="715"/>
      <c r="M190" s="23">
        <f t="shared" si="38"/>
        <v>1</v>
      </c>
      <c r="N190" s="715"/>
      <c r="O190" s="23">
        <f t="shared" si="39"/>
        <v>1</v>
      </c>
      <c r="P190" s="715" t="s">
        <v>3117</v>
      </c>
      <c r="Q190" s="23">
        <f t="shared" si="40"/>
        <v>1.1499999999999999</v>
      </c>
      <c r="R190" s="712">
        <f t="shared" si="41"/>
        <v>0</v>
      </c>
      <c r="S190" s="360">
        <f t="shared" si="42"/>
        <v>0</v>
      </c>
    </row>
    <row r="191" spans="1:19">
      <c r="A191" s="3006"/>
      <c r="B191" s="714"/>
      <c r="C191" s="23">
        <f t="shared" si="33"/>
        <v>1</v>
      </c>
      <c r="D191" s="715"/>
      <c r="E191" s="23">
        <f t="shared" si="34"/>
        <v>0.03</v>
      </c>
      <c r="F191" s="715"/>
      <c r="G191" s="23">
        <f t="shared" si="35"/>
        <v>0.1</v>
      </c>
      <c r="H191" s="715"/>
      <c r="I191" s="23">
        <f t="shared" si="36"/>
        <v>1</v>
      </c>
      <c r="J191" s="715"/>
      <c r="K191" s="23">
        <f t="shared" si="37"/>
        <v>1</v>
      </c>
      <c r="L191" s="715"/>
      <c r="M191" s="23">
        <f t="shared" si="38"/>
        <v>1</v>
      </c>
      <c r="N191" s="715"/>
      <c r="O191" s="23">
        <f t="shared" si="39"/>
        <v>1</v>
      </c>
      <c r="P191" s="715" t="s">
        <v>3117</v>
      </c>
      <c r="Q191" s="23">
        <f t="shared" si="40"/>
        <v>1.1499999999999999</v>
      </c>
      <c r="R191" s="712">
        <f t="shared" si="41"/>
        <v>0</v>
      </c>
      <c r="S191" s="360">
        <f t="shared" si="42"/>
        <v>0</v>
      </c>
    </row>
    <row r="192" spans="1:19">
      <c r="A192" s="3006"/>
      <c r="B192" s="714"/>
      <c r="C192" s="23">
        <f t="shared" si="33"/>
        <v>1</v>
      </c>
      <c r="D192" s="715"/>
      <c r="E192" s="23">
        <f t="shared" si="34"/>
        <v>0.03</v>
      </c>
      <c r="F192" s="715"/>
      <c r="G192" s="23">
        <f t="shared" si="35"/>
        <v>0.1</v>
      </c>
      <c r="H192" s="715"/>
      <c r="I192" s="23">
        <f t="shared" si="36"/>
        <v>1</v>
      </c>
      <c r="J192" s="715"/>
      <c r="K192" s="23">
        <f t="shared" si="37"/>
        <v>1</v>
      </c>
      <c r="L192" s="715"/>
      <c r="M192" s="23">
        <f t="shared" si="38"/>
        <v>1</v>
      </c>
      <c r="N192" s="715"/>
      <c r="O192" s="23">
        <f t="shared" si="39"/>
        <v>1</v>
      </c>
      <c r="P192" s="715" t="s">
        <v>3117</v>
      </c>
      <c r="Q192" s="23">
        <f t="shared" si="40"/>
        <v>1.1499999999999999</v>
      </c>
      <c r="R192" s="712">
        <f t="shared" si="41"/>
        <v>0</v>
      </c>
      <c r="S192" s="360">
        <f t="shared" si="42"/>
        <v>0</v>
      </c>
    </row>
    <row r="193" spans="1:19">
      <c r="A193" s="3006"/>
      <c r="B193" s="714"/>
      <c r="C193" s="23">
        <f t="shared" si="33"/>
        <v>1</v>
      </c>
      <c r="D193" s="715"/>
      <c r="E193" s="23">
        <f t="shared" si="34"/>
        <v>0.03</v>
      </c>
      <c r="F193" s="715"/>
      <c r="G193" s="23">
        <f t="shared" si="35"/>
        <v>0.1</v>
      </c>
      <c r="H193" s="715"/>
      <c r="I193" s="23">
        <f t="shared" si="36"/>
        <v>1</v>
      </c>
      <c r="J193" s="715"/>
      <c r="K193" s="23">
        <f t="shared" si="37"/>
        <v>1</v>
      </c>
      <c r="L193" s="715"/>
      <c r="M193" s="23">
        <f t="shared" si="38"/>
        <v>1</v>
      </c>
      <c r="N193" s="715"/>
      <c r="O193" s="23">
        <f t="shared" si="39"/>
        <v>1</v>
      </c>
      <c r="P193" s="715" t="s">
        <v>3117</v>
      </c>
      <c r="Q193" s="23">
        <f t="shared" si="40"/>
        <v>1.1499999999999999</v>
      </c>
      <c r="R193" s="712">
        <f t="shared" si="41"/>
        <v>0</v>
      </c>
      <c r="S193" s="360">
        <f t="shared" si="42"/>
        <v>0</v>
      </c>
    </row>
    <row r="194" spans="1:19">
      <c r="A194" s="3006"/>
      <c r="B194" s="714"/>
      <c r="C194" s="23">
        <f t="shared" si="33"/>
        <v>1</v>
      </c>
      <c r="D194" s="715"/>
      <c r="E194" s="23">
        <f t="shared" si="34"/>
        <v>0.03</v>
      </c>
      <c r="F194" s="715"/>
      <c r="G194" s="23">
        <f t="shared" si="35"/>
        <v>0.1</v>
      </c>
      <c r="H194" s="715"/>
      <c r="I194" s="23">
        <f t="shared" si="36"/>
        <v>1</v>
      </c>
      <c r="J194" s="715"/>
      <c r="K194" s="23">
        <f t="shared" si="37"/>
        <v>1</v>
      </c>
      <c r="L194" s="715"/>
      <c r="M194" s="23">
        <f t="shared" si="38"/>
        <v>1</v>
      </c>
      <c r="N194" s="715"/>
      <c r="O194" s="23">
        <f t="shared" si="39"/>
        <v>1</v>
      </c>
      <c r="P194" s="715" t="s">
        <v>3117</v>
      </c>
      <c r="Q194" s="23">
        <f t="shared" si="40"/>
        <v>1.1499999999999999</v>
      </c>
      <c r="R194" s="712">
        <f t="shared" si="41"/>
        <v>0</v>
      </c>
      <c r="S194" s="360">
        <f t="shared" si="42"/>
        <v>0</v>
      </c>
    </row>
    <row r="195" spans="1:19">
      <c r="A195" s="3006"/>
      <c r="B195" s="714"/>
      <c r="C195" s="23">
        <f t="shared" si="33"/>
        <v>1</v>
      </c>
      <c r="D195" s="715"/>
      <c r="E195" s="23">
        <f t="shared" si="34"/>
        <v>0.03</v>
      </c>
      <c r="F195" s="715"/>
      <c r="G195" s="23">
        <f t="shared" si="35"/>
        <v>0.1</v>
      </c>
      <c r="H195" s="715"/>
      <c r="I195" s="23">
        <f t="shared" si="36"/>
        <v>1</v>
      </c>
      <c r="J195" s="715"/>
      <c r="K195" s="23">
        <f t="shared" si="37"/>
        <v>1</v>
      </c>
      <c r="L195" s="715"/>
      <c r="M195" s="23">
        <f t="shared" si="38"/>
        <v>1</v>
      </c>
      <c r="N195" s="715"/>
      <c r="O195" s="23">
        <f t="shared" si="39"/>
        <v>1</v>
      </c>
      <c r="P195" s="715" t="s">
        <v>3117</v>
      </c>
      <c r="Q195" s="23">
        <f t="shared" si="40"/>
        <v>1.1499999999999999</v>
      </c>
      <c r="R195" s="712">
        <f t="shared" si="41"/>
        <v>0</v>
      </c>
      <c r="S195" s="360">
        <f t="shared" si="42"/>
        <v>0</v>
      </c>
    </row>
    <row r="196" spans="1:19">
      <c r="A196" s="3006"/>
      <c r="B196" s="714"/>
      <c r="C196" s="23">
        <f t="shared" si="33"/>
        <v>1</v>
      </c>
      <c r="D196" s="715"/>
      <c r="E196" s="23">
        <f t="shared" si="34"/>
        <v>0.03</v>
      </c>
      <c r="F196" s="715"/>
      <c r="G196" s="23">
        <f t="shared" si="35"/>
        <v>0.1</v>
      </c>
      <c r="H196" s="715"/>
      <c r="I196" s="23">
        <f t="shared" si="36"/>
        <v>1</v>
      </c>
      <c r="J196" s="715"/>
      <c r="K196" s="23">
        <f t="shared" si="37"/>
        <v>1</v>
      </c>
      <c r="L196" s="715"/>
      <c r="M196" s="23">
        <f t="shared" si="38"/>
        <v>1</v>
      </c>
      <c r="N196" s="715"/>
      <c r="O196" s="23">
        <f t="shared" si="39"/>
        <v>1</v>
      </c>
      <c r="P196" s="715" t="s">
        <v>3117</v>
      </c>
      <c r="Q196" s="23">
        <f t="shared" si="40"/>
        <v>1.1499999999999999</v>
      </c>
      <c r="R196" s="712">
        <f t="shared" si="41"/>
        <v>0</v>
      </c>
      <c r="S196" s="360">
        <f t="shared" si="42"/>
        <v>0</v>
      </c>
    </row>
    <row r="197" spans="1:19">
      <c r="A197" s="3006"/>
      <c r="B197" s="714"/>
      <c r="C197" s="23">
        <f t="shared" si="33"/>
        <v>1</v>
      </c>
      <c r="D197" s="715"/>
      <c r="E197" s="23">
        <f t="shared" si="34"/>
        <v>0.03</v>
      </c>
      <c r="F197" s="715"/>
      <c r="G197" s="23">
        <f t="shared" si="35"/>
        <v>0.1</v>
      </c>
      <c r="H197" s="715"/>
      <c r="I197" s="23">
        <f t="shared" si="36"/>
        <v>1</v>
      </c>
      <c r="J197" s="715"/>
      <c r="K197" s="23">
        <f t="shared" si="37"/>
        <v>1</v>
      </c>
      <c r="L197" s="715"/>
      <c r="M197" s="23">
        <f t="shared" si="38"/>
        <v>1</v>
      </c>
      <c r="N197" s="715"/>
      <c r="O197" s="23">
        <f t="shared" si="39"/>
        <v>1</v>
      </c>
      <c r="P197" s="715" t="s">
        <v>3117</v>
      </c>
      <c r="Q197" s="23">
        <f t="shared" si="40"/>
        <v>1.1499999999999999</v>
      </c>
      <c r="R197" s="712">
        <f t="shared" si="41"/>
        <v>0</v>
      </c>
      <c r="S197" s="360">
        <f t="shared" si="42"/>
        <v>0</v>
      </c>
    </row>
    <row r="198" spans="1:19">
      <c r="A198" s="3006"/>
      <c r="B198" s="714"/>
      <c r="C198" s="23">
        <f t="shared" si="33"/>
        <v>1</v>
      </c>
      <c r="D198" s="715"/>
      <c r="E198" s="23">
        <f t="shared" si="34"/>
        <v>0.03</v>
      </c>
      <c r="F198" s="715"/>
      <c r="G198" s="23">
        <f t="shared" si="35"/>
        <v>0.1</v>
      </c>
      <c r="H198" s="715"/>
      <c r="I198" s="23">
        <f t="shared" si="36"/>
        <v>1</v>
      </c>
      <c r="J198" s="715"/>
      <c r="K198" s="23">
        <f t="shared" si="37"/>
        <v>1</v>
      </c>
      <c r="L198" s="715"/>
      <c r="M198" s="23">
        <f t="shared" si="38"/>
        <v>1</v>
      </c>
      <c r="N198" s="715"/>
      <c r="O198" s="23">
        <f t="shared" si="39"/>
        <v>1</v>
      </c>
      <c r="P198" s="715" t="s">
        <v>3117</v>
      </c>
      <c r="Q198" s="23">
        <f t="shared" si="40"/>
        <v>1.1499999999999999</v>
      </c>
      <c r="R198" s="712">
        <f t="shared" si="41"/>
        <v>0</v>
      </c>
      <c r="S198" s="360">
        <f t="shared" si="42"/>
        <v>0</v>
      </c>
    </row>
    <row r="199" spans="1:19">
      <c r="A199" s="3006"/>
      <c r="B199" s="714"/>
      <c r="C199" s="23">
        <f t="shared" si="33"/>
        <v>1</v>
      </c>
      <c r="D199" s="715"/>
      <c r="E199" s="23">
        <f t="shared" si="34"/>
        <v>0.03</v>
      </c>
      <c r="F199" s="715"/>
      <c r="G199" s="23">
        <f t="shared" si="35"/>
        <v>0.1</v>
      </c>
      <c r="H199" s="715"/>
      <c r="I199" s="23">
        <f t="shared" si="36"/>
        <v>1</v>
      </c>
      <c r="J199" s="715"/>
      <c r="K199" s="23">
        <f t="shared" si="37"/>
        <v>1</v>
      </c>
      <c r="L199" s="715"/>
      <c r="M199" s="23">
        <f t="shared" si="38"/>
        <v>1</v>
      </c>
      <c r="N199" s="715"/>
      <c r="O199" s="23">
        <f t="shared" si="39"/>
        <v>1</v>
      </c>
      <c r="P199" s="715" t="s">
        <v>3117</v>
      </c>
      <c r="Q199" s="23">
        <f t="shared" si="40"/>
        <v>1.1499999999999999</v>
      </c>
      <c r="R199" s="712">
        <f t="shared" si="41"/>
        <v>0</v>
      </c>
      <c r="S199" s="360">
        <f t="shared" si="42"/>
        <v>0</v>
      </c>
    </row>
    <row r="200" spans="1:19">
      <c r="A200" s="3006"/>
      <c r="B200" s="714"/>
      <c r="C200" s="23">
        <f t="shared" si="33"/>
        <v>1</v>
      </c>
      <c r="D200" s="715"/>
      <c r="E200" s="23">
        <f t="shared" si="34"/>
        <v>0.03</v>
      </c>
      <c r="F200" s="715"/>
      <c r="G200" s="23">
        <f t="shared" si="35"/>
        <v>0.1</v>
      </c>
      <c r="H200" s="715"/>
      <c r="I200" s="23">
        <f t="shared" si="36"/>
        <v>1</v>
      </c>
      <c r="J200" s="715"/>
      <c r="K200" s="23">
        <f t="shared" si="37"/>
        <v>1</v>
      </c>
      <c r="L200" s="715"/>
      <c r="M200" s="23">
        <f t="shared" si="38"/>
        <v>1</v>
      </c>
      <c r="N200" s="715"/>
      <c r="O200" s="23">
        <f t="shared" si="39"/>
        <v>1</v>
      </c>
      <c r="P200" s="715" t="s">
        <v>3117</v>
      </c>
      <c r="Q200" s="23">
        <f t="shared" si="40"/>
        <v>1.1499999999999999</v>
      </c>
      <c r="R200" s="712">
        <f t="shared" si="41"/>
        <v>0</v>
      </c>
      <c r="S200" s="360">
        <f t="shared" si="42"/>
        <v>0</v>
      </c>
    </row>
    <row r="201" spans="1:19">
      <c r="A201" s="3006"/>
      <c r="B201" s="714"/>
      <c r="C201" s="23">
        <f t="shared" si="33"/>
        <v>1</v>
      </c>
      <c r="D201" s="715"/>
      <c r="E201" s="23">
        <f t="shared" si="34"/>
        <v>0.03</v>
      </c>
      <c r="F201" s="715"/>
      <c r="G201" s="23">
        <f t="shared" si="35"/>
        <v>0.1</v>
      </c>
      <c r="H201" s="715"/>
      <c r="I201" s="23">
        <f t="shared" si="36"/>
        <v>1</v>
      </c>
      <c r="J201" s="715"/>
      <c r="K201" s="23">
        <f t="shared" si="37"/>
        <v>1</v>
      </c>
      <c r="L201" s="715"/>
      <c r="M201" s="23">
        <f t="shared" si="38"/>
        <v>1</v>
      </c>
      <c r="N201" s="715"/>
      <c r="O201" s="23">
        <f t="shared" si="39"/>
        <v>1</v>
      </c>
      <c r="P201" s="715" t="s">
        <v>3117</v>
      </c>
      <c r="Q201" s="23">
        <f t="shared" si="40"/>
        <v>1.1499999999999999</v>
      </c>
      <c r="R201" s="712">
        <f t="shared" si="41"/>
        <v>0</v>
      </c>
      <c r="S201" s="360">
        <f t="shared" si="42"/>
        <v>0</v>
      </c>
    </row>
    <row r="202" spans="1:19">
      <c r="A202" s="3006"/>
      <c r="B202" s="714"/>
      <c r="C202" s="23">
        <f t="shared" si="33"/>
        <v>1</v>
      </c>
      <c r="D202" s="715"/>
      <c r="E202" s="23">
        <f t="shared" si="34"/>
        <v>0.03</v>
      </c>
      <c r="F202" s="715"/>
      <c r="G202" s="23">
        <f t="shared" si="35"/>
        <v>0.1</v>
      </c>
      <c r="H202" s="715"/>
      <c r="I202" s="23">
        <f t="shared" si="36"/>
        <v>1</v>
      </c>
      <c r="J202" s="715"/>
      <c r="K202" s="23">
        <f t="shared" si="37"/>
        <v>1</v>
      </c>
      <c r="L202" s="715"/>
      <c r="M202" s="23">
        <f t="shared" si="38"/>
        <v>1</v>
      </c>
      <c r="N202" s="715"/>
      <c r="O202" s="23">
        <f t="shared" si="39"/>
        <v>1</v>
      </c>
      <c r="P202" s="715" t="s">
        <v>3117</v>
      </c>
      <c r="Q202" s="23">
        <f t="shared" si="40"/>
        <v>1.1499999999999999</v>
      </c>
      <c r="R202" s="712">
        <f t="shared" si="41"/>
        <v>0</v>
      </c>
      <c r="S202" s="360">
        <f t="shared" si="42"/>
        <v>0</v>
      </c>
    </row>
    <row r="203" spans="1:19">
      <c r="A203" s="3006"/>
      <c r="B203" s="714"/>
      <c r="C203" s="23">
        <f t="shared" si="33"/>
        <v>1</v>
      </c>
      <c r="D203" s="715"/>
      <c r="E203" s="23">
        <f t="shared" si="34"/>
        <v>0.03</v>
      </c>
      <c r="F203" s="715"/>
      <c r="G203" s="23">
        <f t="shared" si="35"/>
        <v>0.1</v>
      </c>
      <c r="H203" s="715"/>
      <c r="I203" s="23">
        <f t="shared" si="36"/>
        <v>1</v>
      </c>
      <c r="J203" s="715"/>
      <c r="K203" s="23">
        <f t="shared" si="37"/>
        <v>1</v>
      </c>
      <c r="L203" s="715"/>
      <c r="M203" s="23">
        <f t="shared" si="38"/>
        <v>1</v>
      </c>
      <c r="N203" s="715"/>
      <c r="O203" s="23">
        <f t="shared" si="39"/>
        <v>1</v>
      </c>
      <c r="P203" s="715" t="s">
        <v>3117</v>
      </c>
      <c r="Q203" s="23">
        <f t="shared" si="40"/>
        <v>1.1499999999999999</v>
      </c>
      <c r="R203" s="712">
        <f t="shared" si="41"/>
        <v>0</v>
      </c>
      <c r="S203" s="360">
        <f t="shared" si="42"/>
        <v>0</v>
      </c>
    </row>
    <row r="204" spans="1:19">
      <c r="A204" s="3006"/>
      <c r="B204" s="714"/>
      <c r="C204" s="23">
        <f t="shared" si="33"/>
        <v>1</v>
      </c>
      <c r="D204" s="715"/>
      <c r="E204" s="23">
        <f t="shared" si="34"/>
        <v>0.03</v>
      </c>
      <c r="F204" s="715"/>
      <c r="G204" s="23">
        <f t="shared" si="35"/>
        <v>0.1</v>
      </c>
      <c r="H204" s="715"/>
      <c r="I204" s="23">
        <f t="shared" si="36"/>
        <v>1</v>
      </c>
      <c r="J204" s="715"/>
      <c r="K204" s="23">
        <f t="shared" si="37"/>
        <v>1</v>
      </c>
      <c r="L204" s="715"/>
      <c r="M204" s="23">
        <f t="shared" si="38"/>
        <v>1</v>
      </c>
      <c r="N204" s="715"/>
      <c r="O204" s="23">
        <f t="shared" si="39"/>
        <v>1</v>
      </c>
      <c r="P204" s="715" t="s">
        <v>3117</v>
      </c>
      <c r="Q204" s="23">
        <f t="shared" si="40"/>
        <v>1.1499999999999999</v>
      </c>
      <c r="R204" s="712">
        <f t="shared" si="41"/>
        <v>0</v>
      </c>
      <c r="S204" s="360">
        <f t="shared" si="42"/>
        <v>0</v>
      </c>
    </row>
    <row r="205" spans="1:19">
      <c r="A205" s="3006"/>
      <c r="B205" s="714"/>
      <c r="C205" s="23">
        <f t="shared" si="33"/>
        <v>1</v>
      </c>
      <c r="D205" s="715"/>
      <c r="E205" s="23">
        <f t="shared" si="34"/>
        <v>0.03</v>
      </c>
      <c r="F205" s="715"/>
      <c r="G205" s="23">
        <f t="shared" si="35"/>
        <v>0.1</v>
      </c>
      <c r="H205" s="715"/>
      <c r="I205" s="23">
        <f t="shared" si="36"/>
        <v>1</v>
      </c>
      <c r="J205" s="715"/>
      <c r="K205" s="23">
        <f t="shared" si="37"/>
        <v>1</v>
      </c>
      <c r="L205" s="715"/>
      <c r="M205" s="23">
        <f t="shared" si="38"/>
        <v>1</v>
      </c>
      <c r="N205" s="715"/>
      <c r="O205" s="23">
        <f t="shared" si="39"/>
        <v>1</v>
      </c>
      <c r="P205" s="715" t="s">
        <v>3117</v>
      </c>
      <c r="Q205" s="23">
        <f t="shared" si="40"/>
        <v>1.1499999999999999</v>
      </c>
      <c r="R205" s="712">
        <f t="shared" si="41"/>
        <v>0</v>
      </c>
      <c r="S205" s="360">
        <f t="shared" si="42"/>
        <v>0</v>
      </c>
    </row>
    <row r="206" spans="1:19">
      <c r="A206" s="3006"/>
      <c r="B206" s="714"/>
      <c r="C206" s="23">
        <f t="shared" si="33"/>
        <v>1</v>
      </c>
      <c r="D206" s="715"/>
      <c r="E206" s="23">
        <f t="shared" si="34"/>
        <v>0.03</v>
      </c>
      <c r="F206" s="715"/>
      <c r="G206" s="23">
        <f t="shared" si="35"/>
        <v>0.1</v>
      </c>
      <c r="H206" s="715"/>
      <c r="I206" s="23">
        <f t="shared" si="36"/>
        <v>1</v>
      </c>
      <c r="J206" s="715"/>
      <c r="K206" s="23">
        <f t="shared" si="37"/>
        <v>1</v>
      </c>
      <c r="L206" s="715"/>
      <c r="M206" s="23">
        <f t="shared" si="38"/>
        <v>1</v>
      </c>
      <c r="N206" s="715"/>
      <c r="O206" s="23">
        <f t="shared" si="39"/>
        <v>1</v>
      </c>
      <c r="P206" s="715" t="s">
        <v>3117</v>
      </c>
      <c r="Q206" s="23">
        <f t="shared" si="40"/>
        <v>1.1499999999999999</v>
      </c>
      <c r="R206" s="712">
        <f t="shared" si="41"/>
        <v>0</v>
      </c>
      <c r="S206" s="360">
        <f t="shared" si="42"/>
        <v>0</v>
      </c>
    </row>
    <row r="207" spans="1:19">
      <c r="A207" s="3006"/>
      <c r="B207" s="714"/>
      <c r="C207" s="23">
        <f t="shared" si="33"/>
        <v>1</v>
      </c>
      <c r="D207" s="715"/>
      <c r="E207" s="23">
        <f t="shared" si="34"/>
        <v>0.03</v>
      </c>
      <c r="F207" s="715"/>
      <c r="G207" s="23">
        <f t="shared" si="35"/>
        <v>0.1</v>
      </c>
      <c r="H207" s="715"/>
      <c r="I207" s="23">
        <f t="shared" si="36"/>
        <v>1</v>
      </c>
      <c r="J207" s="715"/>
      <c r="K207" s="23">
        <f t="shared" si="37"/>
        <v>1</v>
      </c>
      <c r="L207" s="715"/>
      <c r="M207" s="23">
        <f t="shared" si="38"/>
        <v>1</v>
      </c>
      <c r="N207" s="715"/>
      <c r="O207" s="23">
        <f t="shared" si="39"/>
        <v>1</v>
      </c>
      <c r="P207" s="715" t="s">
        <v>3117</v>
      </c>
      <c r="Q207" s="23">
        <f t="shared" si="40"/>
        <v>1.1499999999999999</v>
      </c>
      <c r="R207" s="712">
        <f t="shared" si="41"/>
        <v>0</v>
      </c>
      <c r="S207" s="360">
        <f t="shared" si="42"/>
        <v>0</v>
      </c>
    </row>
    <row r="208" spans="1:19">
      <c r="A208" s="3006"/>
      <c r="B208" s="714"/>
      <c r="C208" s="23">
        <f t="shared" si="33"/>
        <v>1</v>
      </c>
      <c r="D208" s="715"/>
      <c r="E208" s="23">
        <f t="shared" si="34"/>
        <v>0.03</v>
      </c>
      <c r="F208" s="715"/>
      <c r="G208" s="23">
        <f t="shared" si="35"/>
        <v>0.1</v>
      </c>
      <c r="H208" s="715"/>
      <c r="I208" s="23">
        <f t="shared" si="36"/>
        <v>1</v>
      </c>
      <c r="J208" s="715"/>
      <c r="K208" s="23">
        <f t="shared" si="37"/>
        <v>1</v>
      </c>
      <c r="L208" s="715"/>
      <c r="M208" s="23">
        <f t="shared" si="38"/>
        <v>1</v>
      </c>
      <c r="N208" s="715"/>
      <c r="O208" s="23">
        <f t="shared" si="39"/>
        <v>1</v>
      </c>
      <c r="P208" s="715" t="s">
        <v>3117</v>
      </c>
      <c r="Q208" s="23">
        <f t="shared" si="40"/>
        <v>1.1499999999999999</v>
      </c>
      <c r="R208" s="712">
        <f t="shared" si="41"/>
        <v>0</v>
      </c>
      <c r="S208" s="360">
        <f t="shared" si="42"/>
        <v>0</v>
      </c>
    </row>
    <row r="209" spans="1:19">
      <c r="A209" s="3006"/>
      <c r="B209" s="714"/>
      <c r="C209" s="23">
        <f t="shared" si="33"/>
        <v>1</v>
      </c>
      <c r="D209" s="715"/>
      <c r="E209" s="23">
        <f t="shared" si="34"/>
        <v>0.03</v>
      </c>
      <c r="F209" s="715"/>
      <c r="G209" s="23">
        <f t="shared" si="35"/>
        <v>0.1</v>
      </c>
      <c r="H209" s="715"/>
      <c r="I209" s="23">
        <f t="shared" si="36"/>
        <v>1</v>
      </c>
      <c r="J209" s="715"/>
      <c r="K209" s="23">
        <f t="shared" si="37"/>
        <v>1</v>
      </c>
      <c r="L209" s="715"/>
      <c r="M209" s="23">
        <f t="shared" si="38"/>
        <v>1</v>
      </c>
      <c r="N209" s="715"/>
      <c r="O209" s="23">
        <f t="shared" si="39"/>
        <v>1</v>
      </c>
      <c r="P209" s="715" t="s">
        <v>3117</v>
      </c>
      <c r="Q209" s="23">
        <f t="shared" si="40"/>
        <v>1.1499999999999999</v>
      </c>
      <c r="R209" s="712">
        <f t="shared" si="41"/>
        <v>0</v>
      </c>
      <c r="S209" s="360">
        <f t="shared" si="42"/>
        <v>0</v>
      </c>
    </row>
    <row r="210" spans="1:19">
      <c r="A210" s="3006"/>
      <c r="B210" s="714"/>
      <c r="C210" s="23">
        <f t="shared" si="33"/>
        <v>1</v>
      </c>
      <c r="D210" s="715"/>
      <c r="E210" s="23">
        <f t="shared" si="34"/>
        <v>0.03</v>
      </c>
      <c r="F210" s="715"/>
      <c r="G210" s="23">
        <f t="shared" si="35"/>
        <v>0.1</v>
      </c>
      <c r="H210" s="715"/>
      <c r="I210" s="23">
        <f t="shared" si="36"/>
        <v>1</v>
      </c>
      <c r="J210" s="715"/>
      <c r="K210" s="23">
        <f t="shared" si="37"/>
        <v>1</v>
      </c>
      <c r="L210" s="715"/>
      <c r="M210" s="23">
        <f t="shared" si="38"/>
        <v>1</v>
      </c>
      <c r="N210" s="715"/>
      <c r="O210" s="23">
        <f t="shared" si="39"/>
        <v>1</v>
      </c>
      <c r="P210" s="715" t="s">
        <v>3117</v>
      </c>
      <c r="Q210" s="23">
        <f t="shared" si="40"/>
        <v>1.1499999999999999</v>
      </c>
      <c r="R210" s="712">
        <f t="shared" si="41"/>
        <v>0</v>
      </c>
      <c r="S210" s="360">
        <f t="shared" si="42"/>
        <v>0</v>
      </c>
    </row>
    <row r="211" spans="1:19">
      <c r="A211" s="3006"/>
      <c r="B211" s="714"/>
      <c r="C211" s="23">
        <f t="shared" si="33"/>
        <v>1</v>
      </c>
      <c r="D211" s="715"/>
      <c r="E211" s="23">
        <f t="shared" si="34"/>
        <v>0.03</v>
      </c>
      <c r="F211" s="715"/>
      <c r="G211" s="23">
        <f t="shared" si="35"/>
        <v>0.1</v>
      </c>
      <c r="H211" s="715"/>
      <c r="I211" s="23">
        <f t="shared" si="36"/>
        <v>1</v>
      </c>
      <c r="J211" s="715"/>
      <c r="K211" s="23">
        <f t="shared" si="37"/>
        <v>1</v>
      </c>
      <c r="L211" s="715"/>
      <c r="M211" s="23">
        <f t="shared" si="38"/>
        <v>1</v>
      </c>
      <c r="N211" s="715"/>
      <c r="O211" s="23">
        <f t="shared" si="39"/>
        <v>1</v>
      </c>
      <c r="P211" s="715" t="s">
        <v>3117</v>
      </c>
      <c r="Q211" s="23">
        <f t="shared" si="40"/>
        <v>1.1499999999999999</v>
      </c>
      <c r="R211" s="712">
        <f t="shared" si="41"/>
        <v>0</v>
      </c>
      <c r="S211" s="360">
        <f t="shared" si="42"/>
        <v>0</v>
      </c>
    </row>
    <row r="212" spans="1:19">
      <c r="A212" s="3006"/>
      <c r="B212" s="714"/>
      <c r="C212" s="23">
        <f t="shared" si="33"/>
        <v>1</v>
      </c>
      <c r="D212" s="715"/>
      <c r="E212" s="23">
        <f t="shared" si="34"/>
        <v>0.03</v>
      </c>
      <c r="F212" s="715"/>
      <c r="G212" s="23">
        <f t="shared" si="35"/>
        <v>0.1</v>
      </c>
      <c r="H212" s="715"/>
      <c r="I212" s="23">
        <f t="shared" si="36"/>
        <v>1</v>
      </c>
      <c r="J212" s="715"/>
      <c r="K212" s="23">
        <f t="shared" si="37"/>
        <v>1</v>
      </c>
      <c r="L212" s="715"/>
      <c r="M212" s="23">
        <f t="shared" si="38"/>
        <v>1</v>
      </c>
      <c r="N212" s="715"/>
      <c r="O212" s="23">
        <f t="shared" si="39"/>
        <v>1</v>
      </c>
      <c r="P212" s="715" t="s">
        <v>3117</v>
      </c>
      <c r="Q212" s="23">
        <f t="shared" si="40"/>
        <v>1.1499999999999999</v>
      </c>
      <c r="R212" s="712">
        <f t="shared" si="41"/>
        <v>0</v>
      </c>
      <c r="S212" s="360">
        <f t="shared" si="42"/>
        <v>0</v>
      </c>
    </row>
    <row r="213" spans="1:19">
      <c r="A213" s="3006"/>
      <c r="B213" s="714"/>
      <c r="C213" s="23">
        <f t="shared" si="33"/>
        <v>1</v>
      </c>
      <c r="D213" s="715"/>
      <c r="E213" s="23">
        <f t="shared" si="34"/>
        <v>0.03</v>
      </c>
      <c r="F213" s="715"/>
      <c r="G213" s="23">
        <f t="shared" si="35"/>
        <v>0.1</v>
      </c>
      <c r="H213" s="715"/>
      <c r="I213" s="23">
        <f t="shared" si="36"/>
        <v>1</v>
      </c>
      <c r="J213" s="715"/>
      <c r="K213" s="23">
        <f t="shared" si="37"/>
        <v>1</v>
      </c>
      <c r="L213" s="715"/>
      <c r="M213" s="23">
        <f t="shared" si="38"/>
        <v>1</v>
      </c>
      <c r="N213" s="715"/>
      <c r="O213" s="23">
        <f t="shared" si="39"/>
        <v>1</v>
      </c>
      <c r="P213" s="715" t="s">
        <v>3117</v>
      </c>
      <c r="Q213" s="23">
        <f t="shared" si="40"/>
        <v>1.1499999999999999</v>
      </c>
      <c r="R213" s="712">
        <f t="shared" si="41"/>
        <v>0</v>
      </c>
      <c r="S213" s="360">
        <f t="shared" si="42"/>
        <v>0</v>
      </c>
    </row>
    <row r="214" spans="1:19">
      <c r="A214" s="3006"/>
      <c r="B214" s="714"/>
      <c r="C214" s="23">
        <f t="shared" si="33"/>
        <v>1</v>
      </c>
      <c r="D214" s="715"/>
      <c r="E214" s="23">
        <f t="shared" si="34"/>
        <v>0.03</v>
      </c>
      <c r="F214" s="715"/>
      <c r="G214" s="23">
        <f t="shared" si="35"/>
        <v>0.1</v>
      </c>
      <c r="H214" s="715"/>
      <c r="I214" s="23">
        <f t="shared" si="36"/>
        <v>1</v>
      </c>
      <c r="J214" s="715"/>
      <c r="K214" s="23">
        <f t="shared" si="37"/>
        <v>1</v>
      </c>
      <c r="L214" s="715"/>
      <c r="M214" s="23">
        <f t="shared" si="38"/>
        <v>1</v>
      </c>
      <c r="N214" s="715"/>
      <c r="O214" s="23">
        <f t="shared" si="39"/>
        <v>1</v>
      </c>
      <c r="P214" s="715" t="s">
        <v>3117</v>
      </c>
      <c r="Q214" s="23">
        <f t="shared" si="40"/>
        <v>1.1499999999999999</v>
      </c>
      <c r="R214" s="712">
        <f t="shared" si="41"/>
        <v>0</v>
      </c>
      <c r="S214" s="360">
        <f t="shared" si="42"/>
        <v>0</v>
      </c>
    </row>
    <row r="215" spans="1:19">
      <c r="A215" s="3006"/>
      <c r="B215" s="714"/>
      <c r="C215" s="23">
        <f t="shared" si="33"/>
        <v>1</v>
      </c>
      <c r="D215" s="715"/>
      <c r="E215" s="23">
        <f t="shared" si="34"/>
        <v>0.03</v>
      </c>
      <c r="F215" s="715"/>
      <c r="G215" s="23">
        <f t="shared" si="35"/>
        <v>0.1</v>
      </c>
      <c r="H215" s="715"/>
      <c r="I215" s="23">
        <f t="shared" si="36"/>
        <v>1</v>
      </c>
      <c r="J215" s="715"/>
      <c r="K215" s="23">
        <f t="shared" si="37"/>
        <v>1</v>
      </c>
      <c r="L215" s="715"/>
      <c r="M215" s="23">
        <f t="shared" si="38"/>
        <v>1</v>
      </c>
      <c r="N215" s="715"/>
      <c r="O215" s="23">
        <f t="shared" si="39"/>
        <v>1</v>
      </c>
      <c r="P215" s="715" t="s">
        <v>3117</v>
      </c>
      <c r="Q215" s="23">
        <f t="shared" si="40"/>
        <v>1.1499999999999999</v>
      </c>
      <c r="R215" s="712">
        <f t="shared" si="41"/>
        <v>0</v>
      </c>
      <c r="S215" s="360">
        <f t="shared" si="42"/>
        <v>0</v>
      </c>
    </row>
    <row r="216" spans="1:19">
      <c r="A216" s="3006"/>
      <c r="B216" s="714"/>
      <c r="C216" s="23">
        <f t="shared" si="33"/>
        <v>1</v>
      </c>
      <c r="D216" s="715"/>
      <c r="E216" s="23">
        <f t="shared" si="34"/>
        <v>0.03</v>
      </c>
      <c r="F216" s="715"/>
      <c r="G216" s="23">
        <f t="shared" si="35"/>
        <v>0.1</v>
      </c>
      <c r="H216" s="715"/>
      <c r="I216" s="23">
        <f t="shared" si="36"/>
        <v>1</v>
      </c>
      <c r="J216" s="715"/>
      <c r="K216" s="23">
        <f t="shared" si="37"/>
        <v>1</v>
      </c>
      <c r="L216" s="715"/>
      <c r="M216" s="23">
        <f t="shared" si="38"/>
        <v>1</v>
      </c>
      <c r="N216" s="715"/>
      <c r="O216" s="23">
        <f t="shared" si="39"/>
        <v>1</v>
      </c>
      <c r="P216" s="715" t="s">
        <v>3117</v>
      </c>
      <c r="Q216" s="23">
        <f t="shared" si="40"/>
        <v>1.1499999999999999</v>
      </c>
      <c r="R216" s="712">
        <f t="shared" si="41"/>
        <v>0</v>
      </c>
      <c r="S216" s="360">
        <f t="shared" si="42"/>
        <v>0</v>
      </c>
    </row>
    <row r="217" spans="1:19">
      <c r="A217" s="3006"/>
      <c r="B217" s="714"/>
      <c r="C217" s="23">
        <f t="shared" si="33"/>
        <v>1</v>
      </c>
      <c r="D217" s="715"/>
      <c r="E217" s="23">
        <f t="shared" si="34"/>
        <v>0.03</v>
      </c>
      <c r="F217" s="715"/>
      <c r="G217" s="23">
        <f t="shared" si="35"/>
        <v>0.1</v>
      </c>
      <c r="H217" s="715"/>
      <c r="I217" s="23">
        <f t="shared" si="36"/>
        <v>1</v>
      </c>
      <c r="J217" s="715"/>
      <c r="K217" s="23">
        <f t="shared" si="37"/>
        <v>1</v>
      </c>
      <c r="L217" s="715"/>
      <c r="M217" s="23">
        <f t="shared" si="38"/>
        <v>1</v>
      </c>
      <c r="N217" s="715"/>
      <c r="O217" s="23">
        <f t="shared" si="39"/>
        <v>1</v>
      </c>
      <c r="P217" s="715" t="s">
        <v>3117</v>
      </c>
      <c r="Q217" s="23">
        <f t="shared" si="40"/>
        <v>1.1499999999999999</v>
      </c>
      <c r="R217" s="712">
        <f t="shared" si="41"/>
        <v>0</v>
      </c>
      <c r="S217" s="360">
        <f t="shared" si="42"/>
        <v>0</v>
      </c>
    </row>
    <row r="218" spans="1:19">
      <c r="A218" s="3006"/>
      <c r="B218" s="714"/>
      <c r="C218" s="23">
        <f t="shared" ref="C218:C281" si="43">IF(B218="",1,(LOOKUP(B218,$3:$3,$4:$4)-LOOKUP($B$24,$3:$3,$4:$4)+100)/100)</f>
        <v>1</v>
      </c>
      <c r="D218" s="715"/>
      <c r="E218" s="23">
        <f t="shared" ref="E218:E281" si="44">(SUMIF($5:$5,D218,$6:$6)-SUMIF($5:$5,$D$24,$6:$6)+100)/100</f>
        <v>0.03</v>
      </c>
      <c r="F218" s="715"/>
      <c r="G218" s="23">
        <f t="shared" ref="G218:G281" si="45">(SUMIF($7:$7,F218,$8:$8)-SUMIF($7:$7,$F$24,$8:$8)+100)/100</f>
        <v>0.1</v>
      </c>
      <c r="H218" s="715"/>
      <c r="I218" s="23">
        <f t="shared" ref="I218:I281" si="46">(SUMIF($9:$9,H218,$10:$10)-SUMIF($9:$9,$H$24,$10:$10)+100)/100</f>
        <v>1</v>
      </c>
      <c r="J218" s="715"/>
      <c r="K218" s="23">
        <f t="shared" ref="K218:K281" si="47">(SUMIF($11:$11,J218,$12:$12)-SUMIF($11:$11,$J$24,$12:$12)+100)/100</f>
        <v>1</v>
      </c>
      <c r="L218" s="715"/>
      <c r="M218" s="23">
        <f t="shared" ref="M218:M281" si="48">(SUMIF($13:$13,L218,$14:$14)-SUMIF($13:$13,$L$24,$14:$14)+100)/100</f>
        <v>1</v>
      </c>
      <c r="N218" s="715"/>
      <c r="O218" s="23">
        <f t="shared" ref="O218:O281" si="49">(SUMIF($15:$15,N218,$16:$16)-SUMIF($15:$15,$N$24,$16:$16)+100)/100</f>
        <v>1</v>
      </c>
      <c r="P218" s="715" t="s">
        <v>3117</v>
      </c>
      <c r="Q218" s="23">
        <f t="shared" ref="Q218:Q281" si="50">(SUMIF($17:$17,P218,$18:$18)-SUMIF($17:$17,$P$24,$18:$18)+100)/100</f>
        <v>1.1499999999999999</v>
      </c>
      <c r="R218" s="712">
        <f t="shared" ref="R218:R281" si="51">IF(B218="",0,ROUND($R$24*C218*E218*G218*I218*K218*M218*O218*Q218,0))</f>
        <v>0</v>
      </c>
      <c r="S218" s="360">
        <f t="shared" si="42"/>
        <v>0</v>
      </c>
    </row>
    <row r="219" spans="1:19">
      <c r="A219" s="3006"/>
      <c r="B219" s="714"/>
      <c r="C219" s="23">
        <f t="shared" si="43"/>
        <v>1</v>
      </c>
      <c r="D219" s="715"/>
      <c r="E219" s="23">
        <f t="shared" si="44"/>
        <v>0.03</v>
      </c>
      <c r="F219" s="715"/>
      <c r="G219" s="23">
        <f t="shared" si="45"/>
        <v>0.1</v>
      </c>
      <c r="H219" s="715"/>
      <c r="I219" s="23">
        <f t="shared" si="46"/>
        <v>1</v>
      </c>
      <c r="J219" s="715"/>
      <c r="K219" s="23">
        <f t="shared" si="47"/>
        <v>1</v>
      </c>
      <c r="L219" s="715"/>
      <c r="M219" s="23">
        <f t="shared" si="48"/>
        <v>1</v>
      </c>
      <c r="N219" s="715"/>
      <c r="O219" s="23">
        <f t="shared" si="49"/>
        <v>1</v>
      </c>
      <c r="P219" s="715" t="s">
        <v>3117</v>
      </c>
      <c r="Q219" s="23">
        <f t="shared" si="50"/>
        <v>1.1499999999999999</v>
      </c>
      <c r="R219" s="712">
        <f t="shared" si="51"/>
        <v>0</v>
      </c>
      <c r="S219" s="360">
        <f t="shared" si="42"/>
        <v>0</v>
      </c>
    </row>
    <row r="220" spans="1:19">
      <c r="A220" s="3006"/>
      <c r="B220" s="714"/>
      <c r="C220" s="23">
        <f t="shared" si="43"/>
        <v>1</v>
      </c>
      <c r="D220" s="715"/>
      <c r="E220" s="23">
        <f t="shared" si="44"/>
        <v>0.03</v>
      </c>
      <c r="F220" s="715"/>
      <c r="G220" s="23">
        <f t="shared" si="45"/>
        <v>0.1</v>
      </c>
      <c r="H220" s="715"/>
      <c r="I220" s="23">
        <f t="shared" si="46"/>
        <v>1</v>
      </c>
      <c r="J220" s="715"/>
      <c r="K220" s="23">
        <f t="shared" si="47"/>
        <v>1</v>
      </c>
      <c r="L220" s="715"/>
      <c r="M220" s="23">
        <f t="shared" si="48"/>
        <v>1</v>
      </c>
      <c r="N220" s="715"/>
      <c r="O220" s="23">
        <f t="shared" si="49"/>
        <v>1</v>
      </c>
      <c r="P220" s="715" t="s">
        <v>3117</v>
      </c>
      <c r="Q220" s="23">
        <f t="shared" si="50"/>
        <v>1.1499999999999999</v>
      </c>
      <c r="R220" s="712">
        <f t="shared" si="51"/>
        <v>0</v>
      </c>
      <c r="S220" s="360">
        <f t="shared" si="42"/>
        <v>0</v>
      </c>
    </row>
    <row r="221" spans="1:19">
      <c r="A221" s="3006"/>
      <c r="B221" s="714"/>
      <c r="C221" s="23">
        <f t="shared" si="43"/>
        <v>1</v>
      </c>
      <c r="D221" s="715"/>
      <c r="E221" s="23">
        <f t="shared" si="44"/>
        <v>0.03</v>
      </c>
      <c r="F221" s="715"/>
      <c r="G221" s="23">
        <f t="shared" si="45"/>
        <v>0.1</v>
      </c>
      <c r="H221" s="715"/>
      <c r="I221" s="23">
        <f t="shared" si="46"/>
        <v>1</v>
      </c>
      <c r="J221" s="715"/>
      <c r="K221" s="23">
        <f t="shared" si="47"/>
        <v>1</v>
      </c>
      <c r="L221" s="715"/>
      <c r="M221" s="23">
        <f t="shared" si="48"/>
        <v>1</v>
      </c>
      <c r="N221" s="715"/>
      <c r="O221" s="23">
        <f t="shared" si="49"/>
        <v>1</v>
      </c>
      <c r="P221" s="715" t="s">
        <v>3117</v>
      </c>
      <c r="Q221" s="23">
        <f t="shared" si="50"/>
        <v>1.1499999999999999</v>
      </c>
      <c r="R221" s="712">
        <f t="shared" si="51"/>
        <v>0</v>
      </c>
      <c r="S221" s="360">
        <f t="shared" si="42"/>
        <v>0</v>
      </c>
    </row>
    <row r="222" spans="1:19">
      <c r="A222" s="3006"/>
      <c r="B222" s="714"/>
      <c r="C222" s="23">
        <f t="shared" si="43"/>
        <v>1</v>
      </c>
      <c r="D222" s="715"/>
      <c r="E222" s="23">
        <f t="shared" si="44"/>
        <v>0.03</v>
      </c>
      <c r="F222" s="715"/>
      <c r="G222" s="23">
        <f t="shared" si="45"/>
        <v>0.1</v>
      </c>
      <c r="H222" s="715"/>
      <c r="I222" s="23">
        <f t="shared" si="46"/>
        <v>1</v>
      </c>
      <c r="J222" s="715"/>
      <c r="K222" s="23">
        <f t="shared" si="47"/>
        <v>1</v>
      </c>
      <c r="L222" s="715"/>
      <c r="M222" s="23">
        <f t="shared" si="48"/>
        <v>1</v>
      </c>
      <c r="N222" s="715"/>
      <c r="O222" s="23">
        <f t="shared" si="49"/>
        <v>1</v>
      </c>
      <c r="P222" s="715" t="s">
        <v>3117</v>
      </c>
      <c r="Q222" s="23">
        <f t="shared" si="50"/>
        <v>1.1499999999999999</v>
      </c>
      <c r="R222" s="712">
        <f t="shared" si="51"/>
        <v>0</v>
      </c>
      <c r="S222" s="360">
        <f t="shared" si="42"/>
        <v>0</v>
      </c>
    </row>
    <row r="223" spans="1:19">
      <c r="A223" s="3006"/>
      <c r="B223" s="714"/>
      <c r="C223" s="23">
        <f t="shared" si="43"/>
        <v>1</v>
      </c>
      <c r="D223" s="715"/>
      <c r="E223" s="23">
        <f t="shared" si="44"/>
        <v>0.03</v>
      </c>
      <c r="F223" s="715"/>
      <c r="G223" s="23">
        <f t="shared" si="45"/>
        <v>0.1</v>
      </c>
      <c r="H223" s="715"/>
      <c r="I223" s="23">
        <f t="shared" si="46"/>
        <v>1</v>
      </c>
      <c r="J223" s="715"/>
      <c r="K223" s="23">
        <f t="shared" si="47"/>
        <v>1</v>
      </c>
      <c r="L223" s="715"/>
      <c r="M223" s="23">
        <f t="shared" si="48"/>
        <v>1</v>
      </c>
      <c r="N223" s="715"/>
      <c r="O223" s="23">
        <f t="shared" si="49"/>
        <v>1</v>
      </c>
      <c r="P223" s="715" t="s">
        <v>3117</v>
      </c>
      <c r="Q223" s="23">
        <f t="shared" si="50"/>
        <v>1.1499999999999999</v>
      </c>
      <c r="R223" s="712">
        <f t="shared" si="51"/>
        <v>0</v>
      </c>
      <c r="S223" s="360">
        <f t="shared" ref="S223:S286" si="52">ROUND(R223*B223/10000,0)</f>
        <v>0</v>
      </c>
    </row>
    <row r="224" spans="1:19">
      <c r="A224" s="3006"/>
      <c r="B224" s="714"/>
      <c r="C224" s="23">
        <f t="shared" si="43"/>
        <v>1</v>
      </c>
      <c r="D224" s="715"/>
      <c r="E224" s="23">
        <f t="shared" si="44"/>
        <v>0.03</v>
      </c>
      <c r="F224" s="715"/>
      <c r="G224" s="23">
        <f t="shared" si="45"/>
        <v>0.1</v>
      </c>
      <c r="H224" s="715"/>
      <c r="I224" s="23">
        <f t="shared" si="46"/>
        <v>1</v>
      </c>
      <c r="J224" s="715"/>
      <c r="K224" s="23">
        <f t="shared" si="47"/>
        <v>1</v>
      </c>
      <c r="L224" s="715"/>
      <c r="M224" s="23">
        <f t="shared" si="48"/>
        <v>1</v>
      </c>
      <c r="N224" s="715"/>
      <c r="O224" s="23">
        <f t="shared" si="49"/>
        <v>1</v>
      </c>
      <c r="P224" s="715" t="s">
        <v>3117</v>
      </c>
      <c r="Q224" s="23">
        <f t="shared" si="50"/>
        <v>1.1499999999999999</v>
      </c>
      <c r="R224" s="712">
        <f t="shared" si="51"/>
        <v>0</v>
      </c>
      <c r="S224" s="360">
        <f t="shared" si="52"/>
        <v>0</v>
      </c>
    </row>
    <row r="225" spans="1:19">
      <c r="A225" s="3006"/>
      <c r="B225" s="714"/>
      <c r="C225" s="23">
        <f t="shared" si="43"/>
        <v>1</v>
      </c>
      <c r="D225" s="715"/>
      <c r="E225" s="23">
        <f t="shared" si="44"/>
        <v>0.03</v>
      </c>
      <c r="F225" s="715"/>
      <c r="G225" s="23">
        <f t="shared" si="45"/>
        <v>0.1</v>
      </c>
      <c r="H225" s="715"/>
      <c r="I225" s="23">
        <f t="shared" si="46"/>
        <v>1</v>
      </c>
      <c r="J225" s="715"/>
      <c r="K225" s="23">
        <f t="shared" si="47"/>
        <v>1</v>
      </c>
      <c r="L225" s="715"/>
      <c r="M225" s="23">
        <f t="shared" si="48"/>
        <v>1</v>
      </c>
      <c r="N225" s="715"/>
      <c r="O225" s="23">
        <f t="shared" si="49"/>
        <v>1</v>
      </c>
      <c r="P225" s="715" t="s">
        <v>3117</v>
      </c>
      <c r="Q225" s="23">
        <f t="shared" si="50"/>
        <v>1.1499999999999999</v>
      </c>
      <c r="R225" s="712">
        <f t="shared" si="51"/>
        <v>0</v>
      </c>
      <c r="S225" s="360">
        <f t="shared" si="52"/>
        <v>0</v>
      </c>
    </row>
    <row r="226" spans="1:19">
      <c r="A226" s="3006"/>
      <c r="B226" s="714"/>
      <c r="C226" s="23">
        <f t="shared" si="43"/>
        <v>1</v>
      </c>
      <c r="D226" s="715"/>
      <c r="E226" s="23">
        <f t="shared" si="44"/>
        <v>0.03</v>
      </c>
      <c r="F226" s="715"/>
      <c r="G226" s="23">
        <f t="shared" si="45"/>
        <v>0.1</v>
      </c>
      <c r="H226" s="715"/>
      <c r="I226" s="23">
        <f t="shared" si="46"/>
        <v>1</v>
      </c>
      <c r="J226" s="715"/>
      <c r="K226" s="23">
        <f t="shared" si="47"/>
        <v>1</v>
      </c>
      <c r="L226" s="715"/>
      <c r="M226" s="23">
        <f t="shared" si="48"/>
        <v>1</v>
      </c>
      <c r="N226" s="715"/>
      <c r="O226" s="23">
        <f t="shared" si="49"/>
        <v>1</v>
      </c>
      <c r="P226" s="715" t="s">
        <v>3117</v>
      </c>
      <c r="Q226" s="23">
        <f t="shared" si="50"/>
        <v>1.1499999999999999</v>
      </c>
      <c r="R226" s="712">
        <f t="shared" si="51"/>
        <v>0</v>
      </c>
      <c r="S226" s="360">
        <f t="shared" si="52"/>
        <v>0</v>
      </c>
    </row>
    <row r="227" spans="1:19">
      <c r="A227" s="3006"/>
      <c r="B227" s="714"/>
      <c r="C227" s="23">
        <f t="shared" si="43"/>
        <v>1</v>
      </c>
      <c r="D227" s="715"/>
      <c r="E227" s="23">
        <f t="shared" si="44"/>
        <v>0.03</v>
      </c>
      <c r="F227" s="715"/>
      <c r="G227" s="23">
        <f t="shared" si="45"/>
        <v>0.1</v>
      </c>
      <c r="H227" s="715"/>
      <c r="I227" s="23">
        <f t="shared" si="46"/>
        <v>1</v>
      </c>
      <c r="J227" s="715"/>
      <c r="K227" s="23">
        <f t="shared" si="47"/>
        <v>1</v>
      </c>
      <c r="L227" s="715"/>
      <c r="M227" s="23">
        <f t="shared" si="48"/>
        <v>1</v>
      </c>
      <c r="N227" s="715"/>
      <c r="O227" s="23">
        <f t="shared" si="49"/>
        <v>1</v>
      </c>
      <c r="P227" s="715" t="s">
        <v>3117</v>
      </c>
      <c r="Q227" s="23">
        <f t="shared" si="50"/>
        <v>1.1499999999999999</v>
      </c>
      <c r="R227" s="712">
        <f t="shared" si="51"/>
        <v>0</v>
      </c>
      <c r="S227" s="360">
        <f t="shared" si="52"/>
        <v>0</v>
      </c>
    </row>
    <row r="228" spans="1:19">
      <c r="A228" s="3006"/>
      <c r="B228" s="714"/>
      <c r="C228" s="23">
        <f t="shared" si="43"/>
        <v>1</v>
      </c>
      <c r="D228" s="715"/>
      <c r="E228" s="23">
        <f t="shared" si="44"/>
        <v>0.03</v>
      </c>
      <c r="F228" s="715"/>
      <c r="G228" s="23">
        <f t="shared" si="45"/>
        <v>0.1</v>
      </c>
      <c r="H228" s="715"/>
      <c r="I228" s="23">
        <f t="shared" si="46"/>
        <v>1</v>
      </c>
      <c r="J228" s="715"/>
      <c r="K228" s="23">
        <f t="shared" si="47"/>
        <v>1</v>
      </c>
      <c r="L228" s="715"/>
      <c r="M228" s="23">
        <f t="shared" si="48"/>
        <v>1</v>
      </c>
      <c r="N228" s="715"/>
      <c r="O228" s="23">
        <f t="shared" si="49"/>
        <v>1</v>
      </c>
      <c r="P228" s="715" t="s">
        <v>3117</v>
      </c>
      <c r="Q228" s="23">
        <f t="shared" si="50"/>
        <v>1.1499999999999999</v>
      </c>
      <c r="R228" s="712">
        <f t="shared" si="51"/>
        <v>0</v>
      </c>
      <c r="S228" s="360">
        <f t="shared" si="52"/>
        <v>0</v>
      </c>
    </row>
    <row r="229" spans="1:19">
      <c r="A229" s="3006"/>
      <c r="B229" s="714"/>
      <c r="C229" s="23">
        <f t="shared" si="43"/>
        <v>1</v>
      </c>
      <c r="D229" s="715"/>
      <c r="E229" s="23">
        <f t="shared" si="44"/>
        <v>0.03</v>
      </c>
      <c r="F229" s="715"/>
      <c r="G229" s="23">
        <f t="shared" si="45"/>
        <v>0.1</v>
      </c>
      <c r="H229" s="715"/>
      <c r="I229" s="23">
        <f t="shared" si="46"/>
        <v>1</v>
      </c>
      <c r="J229" s="715"/>
      <c r="K229" s="23">
        <f t="shared" si="47"/>
        <v>1</v>
      </c>
      <c r="L229" s="715"/>
      <c r="M229" s="23">
        <f t="shared" si="48"/>
        <v>1</v>
      </c>
      <c r="N229" s="715"/>
      <c r="O229" s="23">
        <f t="shared" si="49"/>
        <v>1</v>
      </c>
      <c r="P229" s="715" t="s">
        <v>3117</v>
      </c>
      <c r="Q229" s="23">
        <f t="shared" si="50"/>
        <v>1.1499999999999999</v>
      </c>
      <c r="R229" s="712">
        <f t="shared" si="51"/>
        <v>0</v>
      </c>
      <c r="S229" s="360">
        <f t="shared" si="52"/>
        <v>0</v>
      </c>
    </row>
    <row r="230" spans="1:19">
      <c r="A230" s="3006"/>
      <c r="B230" s="714"/>
      <c r="C230" s="23">
        <f t="shared" si="43"/>
        <v>1</v>
      </c>
      <c r="D230" s="715"/>
      <c r="E230" s="23">
        <f t="shared" si="44"/>
        <v>0.03</v>
      </c>
      <c r="F230" s="715"/>
      <c r="G230" s="23">
        <f t="shared" si="45"/>
        <v>0.1</v>
      </c>
      <c r="H230" s="715"/>
      <c r="I230" s="23">
        <f t="shared" si="46"/>
        <v>1</v>
      </c>
      <c r="J230" s="715"/>
      <c r="K230" s="23">
        <f t="shared" si="47"/>
        <v>1</v>
      </c>
      <c r="L230" s="715"/>
      <c r="M230" s="23">
        <f t="shared" si="48"/>
        <v>1</v>
      </c>
      <c r="N230" s="715"/>
      <c r="O230" s="23">
        <f t="shared" si="49"/>
        <v>1</v>
      </c>
      <c r="P230" s="715" t="s">
        <v>3117</v>
      </c>
      <c r="Q230" s="23">
        <f t="shared" si="50"/>
        <v>1.1499999999999999</v>
      </c>
      <c r="R230" s="712">
        <f t="shared" si="51"/>
        <v>0</v>
      </c>
      <c r="S230" s="360">
        <f t="shared" si="52"/>
        <v>0</v>
      </c>
    </row>
    <row r="231" spans="1:19">
      <c r="A231" s="3006"/>
      <c r="B231" s="714"/>
      <c r="C231" s="23">
        <f t="shared" si="43"/>
        <v>1</v>
      </c>
      <c r="D231" s="715"/>
      <c r="E231" s="23">
        <f t="shared" si="44"/>
        <v>0.03</v>
      </c>
      <c r="F231" s="715"/>
      <c r="G231" s="23">
        <f t="shared" si="45"/>
        <v>0.1</v>
      </c>
      <c r="H231" s="715"/>
      <c r="I231" s="23">
        <f t="shared" si="46"/>
        <v>1</v>
      </c>
      <c r="J231" s="715"/>
      <c r="K231" s="23">
        <f t="shared" si="47"/>
        <v>1</v>
      </c>
      <c r="L231" s="715"/>
      <c r="M231" s="23">
        <f t="shared" si="48"/>
        <v>1</v>
      </c>
      <c r="N231" s="715"/>
      <c r="O231" s="23">
        <f t="shared" si="49"/>
        <v>1</v>
      </c>
      <c r="P231" s="715" t="s">
        <v>3117</v>
      </c>
      <c r="Q231" s="23">
        <f t="shared" si="50"/>
        <v>1.1499999999999999</v>
      </c>
      <c r="R231" s="712">
        <f t="shared" si="51"/>
        <v>0</v>
      </c>
      <c r="S231" s="360">
        <f t="shared" si="52"/>
        <v>0</v>
      </c>
    </row>
    <row r="232" spans="1:19">
      <c r="A232" s="3006"/>
      <c r="B232" s="714"/>
      <c r="C232" s="23">
        <f t="shared" si="43"/>
        <v>1</v>
      </c>
      <c r="D232" s="715"/>
      <c r="E232" s="23">
        <f t="shared" si="44"/>
        <v>0.03</v>
      </c>
      <c r="F232" s="715"/>
      <c r="G232" s="23">
        <f t="shared" si="45"/>
        <v>0.1</v>
      </c>
      <c r="H232" s="715"/>
      <c r="I232" s="23">
        <f t="shared" si="46"/>
        <v>1</v>
      </c>
      <c r="J232" s="715"/>
      <c r="K232" s="23">
        <f t="shared" si="47"/>
        <v>1</v>
      </c>
      <c r="L232" s="715"/>
      <c r="M232" s="23">
        <f t="shared" si="48"/>
        <v>1</v>
      </c>
      <c r="N232" s="715"/>
      <c r="O232" s="23">
        <f t="shared" si="49"/>
        <v>1</v>
      </c>
      <c r="P232" s="715" t="s">
        <v>3117</v>
      </c>
      <c r="Q232" s="23">
        <f t="shared" si="50"/>
        <v>1.1499999999999999</v>
      </c>
      <c r="R232" s="712">
        <f t="shared" si="51"/>
        <v>0</v>
      </c>
      <c r="S232" s="360">
        <f t="shared" si="52"/>
        <v>0</v>
      </c>
    </row>
    <row r="233" spans="1:19">
      <c r="A233" s="3006"/>
      <c r="B233" s="714"/>
      <c r="C233" s="23">
        <f t="shared" si="43"/>
        <v>1</v>
      </c>
      <c r="D233" s="715"/>
      <c r="E233" s="23">
        <f t="shared" si="44"/>
        <v>0.03</v>
      </c>
      <c r="F233" s="715"/>
      <c r="G233" s="23">
        <f t="shared" si="45"/>
        <v>0.1</v>
      </c>
      <c r="H233" s="715"/>
      <c r="I233" s="23">
        <f t="shared" si="46"/>
        <v>1</v>
      </c>
      <c r="J233" s="715"/>
      <c r="K233" s="23">
        <f t="shared" si="47"/>
        <v>1</v>
      </c>
      <c r="L233" s="715"/>
      <c r="M233" s="23">
        <f t="shared" si="48"/>
        <v>1</v>
      </c>
      <c r="N233" s="715"/>
      <c r="O233" s="23">
        <f t="shared" si="49"/>
        <v>1</v>
      </c>
      <c r="P233" s="715" t="s">
        <v>3117</v>
      </c>
      <c r="Q233" s="23">
        <f t="shared" si="50"/>
        <v>1.1499999999999999</v>
      </c>
      <c r="R233" s="712">
        <f t="shared" si="51"/>
        <v>0</v>
      </c>
      <c r="S233" s="360">
        <f t="shared" si="52"/>
        <v>0</v>
      </c>
    </row>
    <row r="234" spans="1:19">
      <c r="A234" s="3006"/>
      <c r="B234" s="714"/>
      <c r="C234" s="23">
        <f t="shared" si="43"/>
        <v>1</v>
      </c>
      <c r="D234" s="715"/>
      <c r="E234" s="23">
        <f t="shared" si="44"/>
        <v>0.03</v>
      </c>
      <c r="F234" s="715"/>
      <c r="G234" s="23">
        <f t="shared" si="45"/>
        <v>0.1</v>
      </c>
      <c r="H234" s="715"/>
      <c r="I234" s="23">
        <f t="shared" si="46"/>
        <v>1</v>
      </c>
      <c r="J234" s="715"/>
      <c r="K234" s="23">
        <f t="shared" si="47"/>
        <v>1</v>
      </c>
      <c r="L234" s="715"/>
      <c r="M234" s="23">
        <f t="shared" si="48"/>
        <v>1</v>
      </c>
      <c r="N234" s="715"/>
      <c r="O234" s="23">
        <f t="shared" si="49"/>
        <v>1</v>
      </c>
      <c r="P234" s="715" t="s">
        <v>3117</v>
      </c>
      <c r="Q234" s="23">
        <f t="shared" si="50"/>
        <v>1.1499999999999999</v>
      </c>
      <c r="R234" s="712">
        <f t="shared" si="51"/>
        <v>0</v>
      </c>
      <c r="S234" s="360">
        <f t="shared" si="52"/>
        <v>0</v>
      </c>
    </row>
    <row r="235" spans="1:19">
      <c r="A235" s="3006"/>
      <c r="B235" s="714"/>
      <c r="C235" s="23">
        <f t="shared" si="43"/>
        <v>1</v>
      </c>
      <c r="D235" s="715"/>
      <c r="E235" s="23">
        <f t="shared" si="44"/>
        <v>0.03</v>
      </c>
      <c r="F235" s="715"/>
      <c r="G235" s="23">
        <f t="shared" si="45"/>
        <v>0.1</v>
      </c>
      <c r="H235" s="715"/>
      <c r="I235" s="23">
        <f t="shared" si="46"/>
        <v>1</v>
      </c>
      <c r="J235" s="715"/>
      <c r="K235" s="23">
        <f t="shared" si="47"/>
        <v>1</v>
      </c>
      <c r="L235" s="715"/>
      <c r="M235" s="23">
        <f t="shared" si="48"/>
        <v>1</v>
      </c>
      <c r="N235" s="715"/>
      <c r="O235" s="23">
        <f t="shared" si="49"/>
        <v>1</v>
      </c>
      <c r="P235" s="715" t="s">
        <v>3117</v>
      </c>
      <c r="Q235" s="23">
        <f t="shared" si="50"/>
        <v>1.1499999999999999</v>
      </c>
      <c r="R235" s="712">
        <f t="shared" si="51"/>
        <v>0</v>
      </c>
      <c r="S235" s="360">
        <f t="shared" si="52"/>
        <v>0</v>
      </c>
    </row>
    <row r="236" spans="1:19">
      <c r="A236" s="3006"/>
      <c r="B236" s="714"/>
      <c r="C236" s="23">
        <f t="shared" si="43"/>
        <v>1</v>
      </c>
      <c r="D236" s="715"/>
      <c r="E236" s="23">
        <f t="shared" si="44"/>
        <v>0.03</v>
      </c>
      <c r="F236" s="715"/>
      <c r="G236" s="23">
        <f t="shared" si="45"/>
        <v>0.1</v>
      </c>
      <c r="H236" s="715"/>
      <c r="I236" s="23">
        <f t="shared" si="46"/>
        <v>1</v>
      </c>
      <c r="J236" s="715"/>
      <c r="K236" s="23">
        <f t="shared" si="47"/>
        <v>1</v>
      </c>
      <c r="L236" s="715"/>
      <c r="M236" s="23">
        <f t="shared" si="48"/>
        <v>1</v>
      </c>
      <c r="N236" s="715"/>
      <c r="O236" s="23">
        <f t="shared" si="49"/>
        <v>1</v>
      </c>
      <c r="P236" s="715" t="s">
        <v>3117</v>
      </c>
      <c r="Q236" s="23">
        <f t="shared" si="50"/>
        <v>1.1499999999999999</v>
      </c>
      <c r="R236" s="712">
        <f t="shared" si="51"/>
        <v>0</v>
      </c>
      <c r="S236" s="360">
        <f t="shared" si="52"/>
        <v>0</v>
      </c>
    </row>
    <row r="237" spans="1:19">
      <c r="A237" s="3006"/>
      <c r="B237" s="714"/>
      <c r="C237" s="23">
        <f t="shared" si="43"/>
        <v>1</v>
      </c>
      <c r="D237" s="715"/>
      <c r="E237" s="23">
        <f t="shared" si="44"/>
        <v>0.03</v>
      </c>
      <c r="F237" s="715"/>
      <c r="G237" s="23">
        <f t="shared" si="45"/>
        <v>0.1</v>
      </c>
      <c r="H237" s="715"/>
      <c r="I237" s="23">
        <f t="shared" si="46"/>
        <v>1</v>
      </c>
      <c r="J237" s="715"/>
      <c r="K237" s="23">
        <f t="shared" si="47"/>
        <v>1</v>
      </c>
      <c r="L237" s="715"/>
      <c r="M237" s="23">
        <f t="shared" si="48"/>
        <v>1</v>
      </c>
      <c r="N237" s="715"/>
      <c r="O237" s="23">
        <f t="shared" si="49"/>
        <v>1</v>
      </c>
      <c r="P237" s="715" t="s">
        <v>3117</v>
      </c>
      <c r="Q237" s="23">
        <f t="shared" si="50"/>
        <v>1.1499999999999999</v>
      </c>
      <c r="R237" s="712">
        <f t="shared" si="51"/>
        <v>0</v>
      </c>
      <c r="S237" s="360">
        <f t="shared" si="52"/>
        <v>0</v>
      </c>
    </row>
    <row r="238" spans="1:19">
      <c r="A238" s="3006"/>
      <c r="B238" s="714"/>
      <c r="C238" s="23">
        <f t="shared" si="43"/>
        <v>1</v>
      </c>
      <c r="D238" s="715"/>
      <c r="E238" s="23">
        <f t="shared" si="44"/>
        <v>0.03</v>
      </c>
      <c r="F238" s="715"/>
      <c r="G238" s="23">
        <f t="shared" si="45"/>
        <v>0.1</v>
      </c>
      <c r="H238" s="715"/>
      <c r="I238" s="23">
        <f t="shared" si="46"/>
        <v>1</v>
      </c>
      <c r="J238" s="715"/>
      <c r="K238" s="23">
        <f t="shared" si="47"/>
        <v>1</v>
      </c>
      <c r="L238" s="715"/>
      <c r="M238" s="23">
        <f t="shared" si="48"/>
        <v>1</v>
      </c>
      <c r="N238" s="715"/>
      <c r="O238" s="23">
        <f t="shared" si="49"/>
        <v>1</v>
      </c>
      <c r="P238" s="715" t="s">
        <v>3117</v>
      </c>
      <c r="Q238" s="23">
        <f t="shared" si="50"/>
        <v>1.1499999999999999</v>
      </c>
      <c r="R238" s="712">
        <f t="shared" si="51"/>
        <v>0</v>
      </c>
      <c r="S238" s="360">
        <f t="shared" si="52"/>
        <v>0</v>
      </c>
    </row>
    <row r="239" spans="1:19">
      <c r="A239" s="3006"/>
      <c r="B239" s="714"/>
      <c r="C239" s="23">
        <f t="shared" si="43"/>
        <v>1</v>
      </c>
      <c r="D239" s="715"/>
      <c r="E239" s="23">
        <f t="shared" si="44"/>
        <v>0.03</v>
      </c>
      <c r="F239" s="715"/>
      <c r="G239" s="23">
        <f t="shared" si="45"/>
        <v>0.1</v>
      </c>
      <c r="H239" s="715"/>
      <c r="I239" s="23">
        <f t="shared" si="46"/>
        <v>1</v>
      </c>
      <c r="J239" s="715"/>
      <c r="K239" s="23">
        <f t="shared" si="47"/>
        <v>1</v>
      </c>
      <c r="L239" s="715"/>
      <c r="M239" s="23">
        <f t="shared" si="48"/>
        <v>1</v>
      </c>
      <c r="N239" s="715"/>
      <c r="O239" s="23">
        <f t="shared" si="49"/>
        <v>1</v>
      </c>
      <c r="P239" s="715" t="s">
        <v>3117</v>
      </c>
      <c r="Q239" s="23">
        <f t="shared" si="50"/>
        <v>1.1499999999999999</v>
      </c>
      <c r="R239" s="712">
        <f t="shared" si="51"/>
        <v>0</v>
      </c>
      <c r="S239" s="360">
        <f t="shared" si="52"/>
        <v>0</v>
      </c>
    </row>
    <row r="240" spans="1:19">
      <c r="A240" s="3006"/>
      <c r="B240" s="714"/>
      <c r="C240" s="23">
        <f t="shared" si="43"/>
        <v>1</v>
      </c>
      <c r="D240" s="715"/>
      <c r="E240" s="23">
        <f t="shared" si="44"/>
        <v>0.03</v>
      </c>
      <c r="F240" s="715"/>
      <c r="G240" s="23">
        <f t="shared" si="45"/>
        <v>0.1</v>
      </c>
      <c r="H240" s="715"/>
      <c r="I240" s="23">
        <f t="shared" si="46"/>
        <v>1</v>
      </c>
      <c r="J240" s="715"/>
      <c r="K240" s="23">
        <f t="shared" si="47"/>
        <v>1</v>
      </c>
      <c r="L240" s="715"/>
      <c r="M240" s="23">
        <f t="shared" si="48"/>
        <v>1</v>
      </c>
      <c r="N240" s="715"/>
      <c r="O240" s="23">
        <f t="shared" si="49"/>
        <v>1</v>
      </c>
      <c r="P240" s="715" t="s">
        <v>3117</v>
      </c>
      <c r="Q240" s="23">
        <f t="shared" si="50"/>
        <v>1.1499999999999999</v>
      </c>
      <c r="R240" s="712">
        <f t="shared" si="51"/>
        <v>0</v>
      </c>
      <c r="S240" s="360">
        <f t="shared" si="52"/>
        <v>0</v>
      </c>
    </row>
    <row r="241" spans="1:19">
      <c r="A241" s="3006"/>
      <c r="B241" s="714"/>
      <c r="C241" s="23">
        <f t="shared" si="43"/>
        <v>1</v>
      </c>
      <c r="D241" s="715"/>
      <c r="E241" s="23">
        <f t="shared" si="44"/>
        <v>0.03</v>
      </c>
      <c r="F241" s="715"/>
      <c r="G241" s="23">
        <f t="shared" si="45"/>
        <v>0.1</v>
      </c>
      <c r="H241" s="715"/>
      <c r="I241" s="23">
        <f t="shared" si="46"/>
        <v>1</v>
      </c>
      <c r="J241" s="715"/>
      <c r="K241" s="23">
        <f t="shared" si="47"/>
        <v>1</v>
      </c>
      <c r="L241" s="715"/>
      <c r="M241" s="23">
        <f t="shared" si="48"/>
        <v>1</v>
      </c>
      <c r="N241" s="715"/>
      <c r="O241" s="23">
        <f t="shared" si="49"/>
        <v>1</v>
      </c>
      <c r="P241" s="715" t="s">
        <v>3117</v>
      </c>
      <c r="Q241" s="23">
        <f t="shared" si="50"/>
        <v>1.1499999999999999</v>
      </c>
      <c r="R241" s="712">
        <f t="shared" si="51"/>
        <v>0</v>
      </c>
      <c r="S241" s="360">
        <f t="shared" si="52"/>
        <v>0</v>
      </c>
    </row>
    <row r="242" spans="1:19">
      <c r="A242" s="3006"/>
      <c r="B242" s="714"/>
      <c r="C242" s="23">
        <f t="shared" si="43"/>
        <v>1</v>
      </c>
      <c r="D242" s="715"/>
      <c r="E242" s="23">
        <f t="shared" si="44"/>
        <v>0.03</v>
      </c>
      <c r="F242" s="715"/>
      <c r="G242" s="23">
        <f t="shared" si="45"/>
        <v>0.1</v>
      </c>
      <c r="H242" s="715"/>
      <c r="I242" s="23">
        <f t="shared" si="46"/>
        <v>1</v>
      </c>
      <c r="J242" s="715"/>
      <c r="K242" s="23">
        <f t="shared" si="47"/>
        <v>1</v>
      </c>
      <c r="L242" s="715"/>
      <c r="M242" s="23">
        <f t="shared" si="48"/>
        <v>1</v>
      </c>
      <c r="N242" s="715"/>
      <c r="O242" s="23">
        <f t="shared" si="49"/>
        <v>1</v>
      </c>
      <c r="P242" s="715" t="s">
        <v>3117</v>
      </c>
      <c r="Q242" s="23">
        <f t="shared" si="50"/>
        <v>1.1499999999999999</v>
      </c>
      <c r="R242" s="712">
        <f t="shared" si="51"/>
        <v>0</v>
      </c>
      <c r="S242" s="360">
        <f t="shared" si="52"/>
        <v>0</v>
      </c>
    </row>
    <row r="243" spans="1:19">
      <c r="A243" s="3006"/>
      <c r="B243" s="714"/>
      <c r="C243" s="23">
        <f t="shared" si="43"/>
        <v>1</v>
      </c>
      <c r="D243" s="715"/>
      <c r="E243" s="23">
        <f t="shared" si="44"/>
        <v>0.03</v>
      </c>
      <c r="F243" s="715"/>
      <c r="G243" s="23">
        <f t="shared" si="45"/>
        <v>0.1</v>
      </c>
      <c r="H243" s="715"/>
      <c r="I243" s="23">
        <f t="shared" si="46"/>
        <v>1</v>
      </c>
      <c r="J243" s="715"/>
      <c r="K243" s="23">
        <f t="shared" si="47"/>
        <v>1</v>
      </c>
      <c r="L243" s="715"/>
      <c r="M243" s="23">
        <f t="shared" si="48"/>
        <v>1</v>
      </c>
      <c r="N243" s="715"/>
      <c r="O243" s="23">
        <f t="shared" si="49"/>
        <v>1</v>
      </c>
      <c r="P243" s="715" t="s">
        <v>3117</v>
      </c>
      <c r="Q243" s="23">
        <f t="shared" si="50"/>
        <v>1.1499999999999999</v>
      </c>
      <c r="R243" s="712">
        <f t="shared" si="51"/>
        <v>0</v>
      </c>
      <c r="S243" s="360">
        <f t="shared" si="52"/>
        <v>0</v>
      </c>
    </row>
    <row r="244" spans="1:19">
      <c r="A244" s="3006"/>
      <c r="B244" s="714"/>
      <c r="C244" s="23">
        <f t="shared" si="43"/>
        <v>1</v>
      </c>
      <c r="D244" s="715"/>
      <c r="E244" s="23">
        <f t="shared" si="44"/>
        <v>0.03</v>
      </c>
      <c r="F244" s="715"/>
      <c r="G244" s="23">
        <f t="shared" si="45"/>
        <v>0.1</v>
      </c>
      <c r="H244" s="715"/>
      <c r="I244" s="23">
        <f t="shared" si="46"/>
        <v>1</v>
      </c>
      <c r="J244" s="715"/>
      <c r="K244" s="23">
        <f t="shared" si="47"/>
        <v>1</v>
      </c>
      <c r="L244" s="715"/>
      <c r="M244" s="23">
        <f t="shared" si="48"/>
        <v>1</v>
      </c>
      <c r="N244" s="715"/>
      <c r="O244" s="23">
        <f t="shared" si="49"/>
        <v>1</v>
      </c>
      <c r="P244" s="715" t="s">
        <v>3117</v>
      </c>
      <c r="Q244" s="23">
        <f t="shared" si="50"/>
        <v>1.1499999999999999</v>
      </c>
      <c r="R244" s="712">
        <f t="shared" si="51"/>
        <v>0</v>
      </c>
      <c r="S244" s="360">
        <f t="shared" si="52"/>
        <v>0</v>
      </c>
    </row>
    <row r="245" spans="1:19">
      <c r="A245" s="3006"/>
      <c r="B245" s="714"/>
      <c r="C245" s="23">
        <f t="shared" si="43"/>
        <v>1</v>
      </c>
      <c r="D245" s="715"/>
      <c r="E245" s="23">
        <f t="shared" si="44"/>
        <v>0.03</v>
      </c>
      <c r="F245" s="715"/>
      <c r="G245" s="23">
        <f t="shared" si="45"/>
        <v>0.1</v>
      </c>
      <c r="H245" s="715"/>
      <c r="I245" s="23">
        <f t="shared" si="46"/>
        <v>1</v>
      </c>
      <c r="J245" s="715"/>
      <c r="K245" s="23">
        <f t="shared" si="47"/>
        <v>1</v>
      </c>
      <c r="L245" s="715"/>
      <c r="M245" s="23">
        <f t="shared" si="48"/>
        <v>1</v>
      </c>
      <c r="N245" s="715"/>
      <c r="O245" s="23">
        <f t="shared" si="49"/>
        <v>1</v>
      </c>
      <c r="P245" s="715" t="s">
        <v>3117</v>
      </c>
      <c r="Q245" s="23">
        <f t="shared" si="50"/>
        <v>1.1499999999999999</v>
      </c>
      <c r="R245" s="712">
        <f t="shared" si="51"/>
        <v>0</v>
      </c>
      <c r="S245" s="360">
        <f t="shared" si="52"/>
        <v>0</v>
      </c>
    </row>
    <row r="246" spans="1:19">
      <c r="A246" s="3006"/>
      <c r="B246" s="714"/>
      <c r="C246" s="23">
        <f t="shared" si="43"/>
        <v>1</v>
      </c>
      <c r="D246" s="715"/>
      <c r="E246" s="23">
        <f t="shared" si="44"/>
        <v>0.03</v>
      </c>
      <c r="F246" s="715"/>
      <c r="G246" s="23">
        <f t="shared" si="45"/>
        <v>0.1</v>
      </c>
      <c r="H246" s="715"/>
      <c r="I246" s="23">
        <f t="shared" si="46"/>
        <v>1</v>
      </c>
      <c r="J246" s="715"/>
      <c r="K246" s="23">
        <f t="shared" si="47"/>
        <v>1</v>
      </c>
      <c r="L246" s="715"/>
      <c r="M246" s="23">
        <f t="shared" si="48"/>
        <v>1</v>
      </c>
      <c r="N246" s="715"/>
      <c r="O246" s="23">
        <f t="shared" si="49"/>
        <v>1</v>
      </c>
      <c r="P246" s="715" t="s">
        <v>3117</v>
      </c>
      <c r="Q246" s="23">
        <f t="shared" si="50"/>
        <v>1.1499999999999999</v>
      </c>
      <c r="R246" s="712">
        <f t="shared" si="51"/>
        <v>0</v>
      </c>
      <c r="S246" s="360">
        <f t="shared" si="52"/>
        <v>0</v>
      </c>
    </row>
    <row r="247" spans="1:19">
      <c r="A247" s="3006"/>
      <c r="B247" s="714"/>
      <c r="C247" s="23">
        <f t="shared" si="43"/>
        <v>1</v>
      </c>
      <c r="D247" s="715"/>
      <c r="E247" s="23">
        <f t="shared" si="44"/>
        <v>0.03</v>
      </c>
      <c r="F247" s="715"/>
      <c r="G247" s="23">
        <f t="shared" si="45"/>
        <v>0.1</v>
      </c>
      <c r="H247" s="715"/>
      <c r="I247" s="23">
        <f t="shared" si="46"/>
        <v>1</v>
      </c>
      <c r="J247" s="715"/>
      <c r="K247" s="23">
        <f t="shared" si="47"/>
        <v>1</v>
      </c>
      <c r="L247" s="715"/>
      <c r="M247" s="23">
        <f t="shared" si="48"/>
        <v>1</v>
      </c>
      <c r="N247" s="715"/>
      <c r="O247" s="23">
        <f t="shared" si="49"/>
        <v>1</v>
      </c>
      <c r="P247" s="715" t="s">
        <v>3117</v>
      </c>
      <c r="Q247" s="23">
        <f t="shared" si="50"/>
        <v>1.1499999999999999</v>
      </c>
      <c r="R247" s="712">
        <f t="shared" si="51"/>
        <v>0</v>
      </c>
      <c r="S247" s="360">
        <f t="shared" si="52"/>
        <v>0</v>
      </c>
    </row>
    <row r="248" spans="1:19">
      <c r="A248" s="3006"/>
      <c r="B248" s="714"/>
      <c r="C248" s="23">
        <f t="shared" si="43"/>
        <v>1</v>
      </c>
      <c r="D248" s="715"/>
      <c r="E248" s="23">
        <f t="shared" si="44"/>
        <v>0.03</v>
      </c>
      <c r="F248" s="715"/>
      <c r="G248" s="23">
        <f t="shared" si="45"/>
        <v>0.1</v>
      </c>
      <c r="H248" s="715"/>
      <c r="I248" s="23">
        <f t="shared" si="46"/>
        <v>1</v>
      </c>
      <c r="J248" s="715"/>
      <c r="K248" s="23">
        <f t="shared" si="47"/>
        <v>1</v>
      </c>
      <c r="L248" s="715"/>
      <c r="M248" s="23">
        <f t="shared" si="48"/>
        <v>1</v>
      </c>
      <c r="N248" s="715"/>
      <c r="O248" s="23">
        <f t="shared" si="49"/>
        <v>1</v>
      </c>
      <c r="P248" s="715" t="s">
        <v>3117</v>
      </c>
      <c r="Q248" s="23">
        <f t="shared" si="50"/>
        <v>1.1499999999999999</v>
      </c>
      <c r="R248" s="712">
        <f t="shared" si="51"/>
        <v>0</v>
      </c>
      <c r="S248" s="360">
        <f t="shared" si="52"/>
        <v>0</v>
      </c>
    </row>
    <row r="249" spans="1:19">
      <c r="A249" s="3006"/>
      <c r="B249" s="714"/>
      <c r="C249" s="23">
        <f t="shared" si="43"/>
        <v>1</v>
      </c>
      <c r="D249" s="715"/>
      <c r="E249" s="23">
        <f t="shared" si="44"/>
        <v>0.03</v>
      </c>
      <c r="F249" s="715"/>
      <c r="G249" s="23">
        <f t="shared" si="45"/>
        <v>0.1</v>
      </c>
      <c r="H249" s="715"/>
      <c r="I249" s="23">
        <f t="shared" si="46"/>
        <v>1</v>
      </c>
      <c r="J249" s="715"/>
      <c r="K249" s="23">
        <f t="shared" si="47"/>
        <v>1</v>
      </c>
      <c r="L249" s="715"/>
      <c r="M249" s="23">
        <f t="shared" si="48"/>
        <v>1</v>
      </c>
      <c r="N249" s="715"/>
      <c r="O249" s="23">
        <f t="shared" si="49"/>
        <v>1</v>
      </c>
      <c r="P249" s="715" t="s">
        <v>3117</v>
      </c>
      <c r="Q249" s="23">
        <f t="shared" si="50"/>
        <v>1.1499999999999999</v>
      </c>
      <c r="R249" s="712">
        <f t="shared" si="51"/>
        <v>0</v>
      </c>
      <c r="S249" s="360">
        <f t="shared" si="52"/>
        <v>0</v>
      </c>
    </row>
    <row r="250" spans="1:19">
      <c r="A250" s="3006"/>
      <c r="B250" s="714"/>
      <c r="C250" s="23">
        <f t="shared" si="43"/>
        <v>1</v>
      </c>
      <c r="D250" s="715"/>
      <c r="E250" s="23">
        <f t="shared" si="44"/>
        <v>0.03</v>
      </c>
      <c r="F250" s="715"/>
      <c r="G250" s="23">
        <f t="shared" si="45"/>
        <v>0.1</v>
      </c>
      <c r="H250" s="715"/>
      <c r="I250" s="23">
        <f t="shared" si="46"/>
        <v>1</v>
      </c>
      <c r="J250" s="715"/>
      <c r="K250" s="23">
        <f t="shared" si="47"/>
        <v>1</v>
      </c>
      <c r="L250" s="715"/>
      <c r="M250" s="23">
        <f t="shared" si="48"/>
        <v>1</v>
      </c>
      <c r="N250" s="715"/>
      <c r="O250" s="23">
        <f t="shared" si="49"/>
        <v>1</v>
      </c>
      <c r="P250" s="715" t="s">
        <v>3117</v>
      </c>
      <c r="Q250" s="23">
        <f t="shared" si="50"/>
        <v>1.1499999999999999</v>
      </c>
      <c r="R250" s="712">
        <f t="shared" si="51"/>
        <v>0</v>
      </c>
      <c r="S250" s="360">
        <f t="shared" si="52"/>
        <v>0</v>
      </c>
    </row>
    <row r="251" spans="1:19">
      <c r="A251" s="3006"/>
      <c r="B251" s="714"/>
      <c r="C251" s="23">
        <f t="shared" si="43"/>
        <v>1</v>
      </c>
      <c r="D251" s="715"/>
      <c r="E251" s="23">
        <f t="shared" si="44"/>
        <v>0.03</v>
      </c>
      <c r="F251" s="715"/>
      <c r="G251" s="23">
        <f t="shared" si="45"/>
        <v>0.1</v>
      </c>
      <c r="H251" s="715"/>
      <c r="I251" s="23">
        <f t="shared" si="46"/>
        <v>1</v>
      </c>
      <c r="J251" s="715"/>
      <c r="K251" s="23">
        <f t="shared" si="47"/>
        <v>1</v>
      </c>
      <c r="L251" s="715"/>
      <c r="M251" s="23">
        <f t="shared" si="48"/>
        <v>1</v>
      </c>
      <c r="N251" s="715"/>
      <c r="O251" s="23">
        <f t="shared" si="49"/>
        <v>1</v>
      </c>
      <c r="P251" s="715" t="s">
        <v>3117</v>
      </c>
      <c r="Q251" s="23">
        <f t="shared" si="50"/>
        <v>1.1499999999999999</v>
      </c>
      <c r="R251" s="712">
        <f t="shared" si="51"/>
        <v>0</v>
      </c>
      <c r="S251" s="360">
        <f t="shared" si="52"/>
        <v>0</v>
      </c>
    </row>
    <row r="252" spans="1:19">
      <c r="A252" s="3006"/>
      <c r="B252" s="714"/>
      <c r="C252" s="23">
        <f t="shared" si="43"/>
        <v>1</v>
      </c>
      <c r="D252" s="715"/>
      <c r="E252" s="23">
        <f t="shared" si="44"/>
        <v>0.03</v>
      </c>
      <c r="F252" s="715"/>
      <c r="G252" s="23">
        <f t="shared" si="45"/>
        <v>0.1</v>
      </c>
      <c r="H252" s="715"/>
      <c r="I252" s="23">
        <f t="shared" si="46"/>
        <v>1</v>
      </c>
      <c r="J252" s="715"/>
      <c r="K252" s="23">
        <f t="shared" si="47"/>
        <v>1</v>
      </c>
      <c r="L252" s="715"/>
      <c r="M252" s="23">
        <f t="shared" si="48"/>
        <v>1</v>
      </c>
      <c r="N252" s="715"/>
      <c r="O252" s="23">
        <f t="shared" si="49"/>
        <v>1</v>
      </c>
      <c r="P252" s="715" t="s">
        <v>3117</v>
      </c>
      <c r="Q252" s="23">
        <f t="shared" si="50"/>
        <v>1.1499999999999999</v>
      </c>
      <c r="R252" s="712">
        <f t="shared" si="51"/>
        <v>0</v>
      </c>
      <c r="S252" s="360">
        <f t="shared" si="52"/>
        <v>0</v>
      </c>
    </row>
    <row r="253" spans="1:19">
      <c r="A253" s="3006"/>
      <c r="B253" s="714"/>
      <c r="C253" s="23">
        <f t="shared" si="43"/>
        <v>1</v>
      </c>
      <c r="D253" s="715"/>
      <c r="E253" s="23">
        <f t="shared" si="44"/>
        <v>0.03</v>
      </c>
      <c r="F253" s="715"/>
      <c r="G253" s="23">
        <f t="shared" si="45"/>
        <v>0.1</v>
      </c>
      <c r="H253" s="715"/>
      <c r="I253" s="23">
        <f t="shared" si="46"/>
        <v>1</v>
      </c>
      <c r="J253" s="715"/>
      <c r="K253" s="23">
        <f t="shared" si="47"/>
        <v>1</v>
      </c>
      <c r="L253" s="715"/>
      <c r="M253" s="23">
        <f t="shared" si="48"/>
        <v>1</v>
      </c>
      <c r="N253" s="715"/>
      <c r="O253" s="23">
        <f t="shared" si="49"/>
        <v>1</v>
      </c>
      <c r="P253" s="715" t="s">
        <v>3117</v>
      </c>
      <c r="Q253" s="23">
        <f t="shared" si="50"/>
        <v>1.1499999999999999</v>
      </c>
      <c r="R253" s="712">
        <f t="shared" si="51"/>
        <v>0</v>
      </c>
      <c r="S253" s="360">
        <f t="shared" si="52"/>
        <v>0</v>
      </c>
    </row>
    <row r="254" spans="1:19">
      <c r="A254" s="3006"/>
      <c r="B254" s="714"/>
      <c r="C254" s="23">
        <f t="shared" si="43"/>
        <v>1</v>
      </c>
      <c r="D254" s="715"/>
      <c r="E254" s="23">
        <f t="shared" si="44"/>
        <v>0.03</v>
      </c>
      <c r="F254" s="715"/>
      <c r="G254" s="23">
        <f t="shared" si="45"/>
        <v>0.1</v>
      </c>
      <c r="H254" s="715"/>
      <c r="I254" s="23">
        <f t="shared" si="46"/>
        <v>1</v>
      </c>
      <c r="J254" s="715"/>
      <c r="K254" s="23">
        <f t="shared" si="47"/>
        <v>1</v>
      </c>
      <c r="L254" s="715"/>
      <c r="M254" s="23">
        <f t="shared" si="48"/>
        <v>1</v>
      </c>
      <c r="N254" s="715"/>
      <c r="O254" s="23">
        <f t="shared" si="49"/>
        <v>1</v>
      </c>
      <c r="P254" s="715" t="s">
        <v>3117</v>
      </c>
      <c r="Q254" s="23">
        <f t="shared" si="50"/>
        <v>1.1499999999999999</v>
      </c>
      <c r="R254" s="712">
        <f t="shared" si="51"/>
        <v>0</v>
      </c>
      <c r="S254" s="360">
        <f t="shared" si="52"/>
        <v>0</v>
      </c>
    </row>
    <row r="255" spans="1:19">
      <c r="A255" s="3006"/>
      <c r="B255" s="714"/>
      <c r="C255" s="23">
        <f t="shared" si="43"/>
        <v>1</v>
      </c>
      <c r="D255" s="715"/>
      <c r="E255" s="23">
        <f t="shared" si="44"/>
        <v>0.03</v>
      </c>
      <c r="F255" s="715"/>
      <c r="G255" s="23">
        <f t="shared" si="45"/>
        <v>0.1</v>
      </c>
      <c r="H255" s="715"/>
      <c r="I255" s="23">
        <f t="shared" si="46"/>
        <v>1</v>
      </c>
      <c r="J255" s="715"/>
      <c r="K255" s="23">
        <f t="shared" si="47"/>
        <v>1</v>
      </c>
      <c r="L255" s="715"/>
      <c r="M255" s="23">
        <f t="shared" si="48"/>
        <v>1</v>
      </c>
      <c r="N255" s="715"/>
      <c r="O255" s="23">
        <f t="shared" si="49"/>
        <v>1</v>
      </c>
      <c r="P255" s="715" t="s">
        <v>3117</v>
      </c>
      <c r="Q255" s="23">
        <f t="shared" si="50"/>
        <v>1.1499999999999999</v>
      </c>
      <c r="R255" s="712">
        <f t="shared" si="51"/>
        <v>0</v>
      </c>
      <c r="S255" s="360">
        <f t="shared" si="52"/>
        <v>0</v>
      </c>
    </row>
    <row r="256" spans="1:19">
      <c r="A256" s="3006"/>
      <c r="B256" s="714"/>
      <c r="C256" s="23">
        <f t="shared" si="43"/>
        <v>1</v>
      </c>
      <c r="D256" s="715"/>
      <c r="E256" s="23">
        <f t="shared" si="44"/>
        <v>0.03</v>
      </c>
      <c r="F256" s="715"/>
      <c r="G256" s="23">
        <f t="shared" si="45"/>
        <v>0.1</v>
      </c>
      <c r="H256" s="715"/>
      <c r="I256" s="23">
        <f t="shared" si="46"/>
        <v>1</v>
      </c>
      <c r="J256" s="715"/>
      <c r="K256" s="23">
        <f t="shared" si="47"/>
        <v>1</v>
      </c>
      <c r="L256" s="715"/>
      <c r="M256" s="23">
        <f t="shared" si="48"/>
        <v>1</v>
      </c>
      <c r="N256" s="715"/>
      <c r="O256" s="23">
        <f t="shared" si="49"/>
        <v>1</v>
      </c>
      <c r="P256" s="715" t="s">
        <v>3117</v>
      </c>
      <c r="Q256" s="23">
        <f t="shared" si="50"/>
        <v>1.1499999999999999</v>
      </c>
      <c r="R256" s="712">
        <f t="shared" si="51"/>
        <v>0</v>
      </c>
      <c r="S256" s="360">
        <f t="shared" si="52"/>
        <v>0</v>
      </c>
    </row>
    <row r="257" spans="1:19">
      <c r="A257" s="3006"/>
      <c r="B257" s="714"/>
      <c r="C257" s="23">
        <f t="shared" si="43"/>
        <v>1</v>
      </c>
      <c r="D257" s="715"/>
      <c r="E257" s="23">
        <f t="shared" si="44"/>
        <v>0.03</v>
      </c>
      <c r="F257" s="715"/>
      <c r="G257" s="23">
        <f t="shared" si="45"/>
        <v>0.1</v>
      </c>
      <c r="H257" s="715"/>
      <c r="I257" s="23">
        <f t="shared" si="46"/>
        <v>1</v>
      </c>
      <c r="J257" s="715"/>
      <c r="K257" s="23">
        <f t="shared" si="47"/>
        <v>1</v>
      </c>
      <c r="L257" s="715"/>
      <c r="M257" s="23">
        <f t="shared" si="48"/>
        <v>1</v>
      </c>
      <c r="N257" s="715"/>
      <c r="O257" s="23">
        <f t="shared" si="49"/>
        <v>1</v>
      </c>
      <c r="P257" s="715" t="s">
        <v>3117</v>
      </c>
      <c r="Q257" s="23">
        <f t="shared" si="50"/>
        <v>1.1499999999999999</v>
      </c>
      <c r="R257" s="712">
        <f t="shared" si="51"/>
        <v>0</v>
      </c>
      <c r="S257" s="360">
        <f t="shared" si="52"/>
        <v>0</v>
      </c>
    </row>
    <row r="258" spans="1:19">
      <c r="A258" s="3006"/>
      <c r="B258" s="714"/>
      <c r="C258" s="23">
        <f t="shared" si="43"/>
        <v>1</v>
      </c>
      <c r="D258" s="715"/>
      <c r="E258" s="23">
        <f t="shared" si="44"/>
        <v>0.03</v>
      </c>
      <c r="F258" s="715"/>
      <c r="G258" s="23">
        <f t="shared" si="45"/>
        <v>0.1</v>
      </c>
      <c r="H258" s="715"/>
      <c r="I258" s="23">
        <f t="shared" si="46"/>
        <v>1</v>
      </c>
      <c r="J258" s="715"/>
      <c r="K258" s="23">
        <f t="shared" si="47"/>
        <v>1</v>
      </c>
      <c r="L258" s="715"/>
      <c r="M258" s="23">
        <f t="shared" si="48"/>
        <v>1</v>
      </c>
      <c r="N258" s="715"/>
      <c r="O258" s="23">
        <f t="shared" si="49"/>
        <v>1</v>
      </c>
      <c r="P258" s="715" t="s">
        <v>3117</v>
      </c>
      <c r="Q258" s="23">
        <f t="shared" si="50"/>
        <v>1.1499999999999999</v>
      </c>
      <c r="R258" s="712">
        <f t="shared" si="51"/>
        <v>0</v>
      </c>
      <c r="S258" s="360">
        <f t="shared" si="52"/>
        <v>0</v>
      </c>
    </row>
    <row r="259" spans="1:19">
      <c r="A259" s="3006"/>
      <c r="B259" s="714"/>
      <c r="C259" s="23">
        <f t="shared" si="43"/>
        <v>1</v>
      </c>
      <c r="D259" s="715"/>
      <c r="E259" s="23">
        <f t="shared" si="44"/>
        <v>0.03</v>
      </c>
      <c r="F259" s="715"/>
      <c r="G259" s="23">
        <f t="shared" si="45"/>
        <v>0.1</v>
      </c>
      <c r="H259" s="715"/>
      <c r="I259" s="23">
        <f t="shared" si="46"/>
        <v>1</v>
      </c>
      <c r="J259" s="715"/>
      <c r="K259" s="23">
        <f t="shared" si="47"/>
        <v>1</v>
      </c>
      <c r="L259" s="715"/>
      <c r="M259" s="23">
        <f t="shared" si="48"/>
        <v>1</v>
      </c>
      <c r="N259" s="715"/>
      <c r="O259" s="23">
        <f t="shared" si="49"/>
        <v>1</v>
      </c>
      <c r="P259" s="715" t="s">
        <v>3117</v>
      </c>
      <c r="Q259" s="23">
        <f t="shared" si="50"/>
        <v>1.1499999999999999</v>
      </c>
      <c r="R259" s="712">
        <f t="shared" si="51"/>
        <v>0</v>
      </c>
      <c r="S259" s="360">
        <f t="shared" si="52"/>
        <v>0</v>
      </c>
    </row>
    <row r="260" spans="1:19">
      <c r="A260" s="3006"/>
      <c r="B260" s="714"/>
      <c r="C260" s="23">
        <f t="shared" si="43"/>
        <v>1</v>
      </c>
      <c r="D260" s="715"/>
      <c r="E260" s="23">
        <f t="shared" si="44"/>
        <v>0.03</v>
      </c>
      <c r="F260" s="715"/>
      <c r="G260" s="23">
        <f t="shared" si="45"/>
        <v>0.1</v>
      </c>
      <c r="H260" s="715"/>
      <c r="I260" s="23">
        <f t="shared" si="46"/>
        <v>1</v>
      </c>
      <c r="J260" s="715"/>
      <c r="K260" s="23">
        <f t="shared" si="47"/>
        <v>1</v>
      </c>
      <c r="L260" s="715"/>
      <c r="M260" s="23">
        <f t="shared" si="48"/>
        <v>1</v>
      </c>
      <c r="N260" s="715"/>
      <c r="O260" s="23">
        <f t="shared" si="49"/>
        <v>1</v>
      </c>
      <c r="P260" s="715" t="s">
        <v>3117</v>
      </c>
      <c r="Q260" s="23">
        <f t="shared" si="50"/>
        <v>1.1499999999999999</v>
      </c>
      <c r="R260" s="712">
        <f t="shared" si="51"/>
        <v>0</v>
      </c>
      <c r="S260" s="360">
        <f t="shared" si="52"/>
        <v>0</v>
      </c>
    </row>
    <row r="261" spans="1:19">
      <c r="A261" s="3006"/>
      <c r="B261" s="714"/>
      <c r="C261" s="23">
        <f t="shared" si="43"/>
        <v>1</v>
      </c>
      <c r="D261" s="715"/>
      <c r="E261" s="23">
        <f t="shared" si="44"/>
        <v>0.03</v>
      </c>
      <c r="F261" s="715"/>
      <c r="G261" s="23">
        <f t="shared" si="45"/>
        <v>0.1</v>
      </c>
      <c r="H261" s="715"/>
      <c r="I261" s="23">
        <f t="shared" si="46"/>
        <v>1</v>
      </c>
      <c r="J261" s="715"/>
      <c r="K261" s="23">
        <f t="shared" si="47"/>
        <v>1</v>
      </c>
      <c r="L261" s="715"/>
      <c r="M261" s="23">
        <f t="shared" si="48"/>
        <v>1</v>
      </c>
      <c r="N261" s="715"/>
      <c r="O261" s="23">
        <f t="shared" si="49"/>
        <v>1</v>
      </c>
      <c r="P261" s="715" t="s">
        <v>3117</v>
      </c>
      <c r="Q261" s="23">
        <f t="shared" si="50"/>
        <v>1.1499999999999999</v>
      </c>
      <c r="R261" s="712">
        <f t="shared" si="51"/>
        <v>0</v>
      </c>
      <c r="S261" s="360">
        <f t="shared" si="52"/>
        <v>0</v>
      </c>
    </row>
    <row r="262" spans="1:19">
      <c r="A262" s="3006"/>
      <c r="B262" s="714"/>
      <c r="C262" s="23">
        <f t="shared" si="43"/>
        <v>1</v>
      </c>
      <c r="D262" s="715"/>
      <c r="E262" s="23">
        <f t="shared" si="44"/>
        <v>0.03</v>
      </c>
      <c r="F262" s="715"/>
      <c r="G262" s="23">
        <f t="shared" si="45"/>
        <v>0.1</v>
      </c>
      <c r="H262" s="715"/>
      <c r="I262" s="23">
        <f t="shared" si="46"/>
        <v>1</v>
      </c>
      <c r="J262" s="715"/>
      <c r="K262" s="23">
        <f t="shared" si="47"/>
        <v>1</v>
      </c>
      <c r="L262" s="715"/>
      <c r="M262" s="23">
        <f t="shared" si="48"/>
        <v>1</v>
      </c>
      <c r="N262" s="715"/>
      <c r="O262" s="23">
        <f t="shared" si="49"/>
        <v>1</v>
      </c>
      <c r="P262" s="715" t="s">
        <v>3117</v>
      </c>
      <c r="Q262" s="23">
        <f t="shared" si="50"/>
        <v>1.1499999999999999</v>
      </c>
      <c r="R262" s="712">
        <f t="shared" si="51"/>
        <v>0</v>
      </c>
      <c r="S262" s="360">
        <f t="shared" si="52"/>
        <v>0</v>
      </c>
    </row>
    <row r="263" spans="1:19">
      <c r="A263" s="3006"/>
      <c r="B263" s="714"/>
      <c r="C263" s="23">
        <f t="shared" si="43"/>
        <v>1</v>
      </c>
      <c r="D263" s="715"/>
      <c r="E263" s="23">
        <f t="shared" si="44"/>
        <v>0.03</v>
      </c>
      <c r="F263" s="715"/>
      <c r="G263" s="23">
        <f t="shared" si="45"/>
        <v>0.1</v>
      </c>
      <c r="H263" s="715"/>
      <c r="I263" s="23">
        <f t="shared" si="46"/>
        <v>1</v>
      </c>
      <c r="J263" s="715"/>
      <c r="K263" s="23">
        <f t="shared" si="47"/>
        <v>1</v>
      </c>
      <c r="L263" s="715"/>
      <c r="M263" s="23">
        <f t="shared" si="48"/>
        <v>1</v>
      </c>
      <c r="N263" s="715"/>
      <c r="O263" s="23">
        <f t="shared" si="49"/>
        <v>1</v>
      </c>
      <c r="P263" s="715" t="s">
        <v>3117</v>
      </c>
      <c r="Q263" s="23">
        <f t="shared" si="50"/>
        <v>1.1499999999999999</v>
      </c>
      <c r="R263" s="712">
        <f t="shared" si="51"/>
        <v>0</v>
      </c>
      <c r="S263" s="360">
        <f t="shared" si="52"/>
        <v>0</v>
      </c>
    </row>
    <row r="264" spans="1:19">
      <c r="A264" s="3006"/>
      <c r="B264" s="714"/>
      <c r="C264" s="23">
        <f t="shared" si="43"/>
        <v>1</v>
      </c>
      <c r="D264" s="715"/>
      <c r="E264" s="23">
        <f t="shared" si="44"/>
        <v>0.03</v>
      </c>
      <c r="F264" s="715"/>
      <c r="G264" s="23">
        <f t="shared" si="45"/>
        <v>0.1</v>
      </c>
      <c r="H264" s="715"/>
      <c r="I264" s="23">
        <f t="shared" si="46"/>
        <v>1</v>
      </c>
      <c r="J264" s="715"/>
      <c r="K264" s="23">
        <f t="shared" si="47"/>
        <v>1</v>
      </c>
      <c r="L264" s="715"/>
      <c r="M264" s="23">
        <f t="shared" si="48"/>
        <v>1</v>
      </c>
      <c r="N264" s="715"/>
      <c r="O264" s="23">
        <f t="shared" si="49"/>
        <v>1</v>
      </c>
      <c r="P264" s="715" t="s">
        <v>3117</v>
      </c>
      <c r="Q264" s="23">
        <f t="shared" si="50"/>
        <v>1.1499999999999999</v>
      </c>
      <c r="R264" s="712">
        <f t="shared" si="51"/>
        <v>0</v>
      </c>
      <c r="S264" s="360">
        <f t="shared" si="52"/>
        <v>0</v>
      </c>
    </row>
    <row r="265" spans="1:19">
      <c r="A265" s="3006"/>
      <c r="B265" s="714"/>
      <c r="C265" s="23">
        <f t="shared" si="43"/>
        <v>1</v>
      </c>
      <c r="D265" s="715"/>
      <c r="E265" s="23">
        <f t="shared" si="44"/>
        <v>0.03</v>
      </c>
      <c r="F265" s="715"/>
      <c r="G265" s="23">
        <f t="shared" si="45"/>
        <v>0.1</v>
      </c>
      <c r="H265" s="715"/>
      <c r="I265" s="23">
        <f t="shared" si="46"/>
        <v>1</v>
      </c>
      <c r="J265" s="715"/>
      <c r="K265" s="23">
        <f t="shared" si="47"/>
        <v>1</v>
      </c>
      <c r="L265" s="715"/>
      <c r="M265" s="23">
        <f t="shared" si="48"/>
        <v>1</v>
      </c>
      <c r="N265" s="715"/>
      <c r="O265" s="23">
        <f t="shared" si="49"/>
        <v>1</v>
      </c>
      <c r="P265" s="715" t="s">
        <v>3117</v>
      </c>
      <c r="Q265" s="23">
        <f t="shared" si="50"/>
        <v>1.1499999999999999</v>
      </c>
      <c r="R265" s="712">
        <f t="shared" si="51"/>
        <v>0</v>
      </c>
      <c r="S265" s="360">
        <f t="shared" si="52"/>
        <v>0</v>
      </c>
    </row>
    <row r="266" spans="1:19">
      <c r="A266" s="3006"/>
      <c r="B266" s="714"/>
      <c r="C266" s="23">
        <f t="shared" si="43"/>
        <v>1</v>
      </c>
      <c r="D266" s="715"/>
      <c r="E266" s="23">
        <f t="shared" si="44"/>
        <v>0.03</v>
      </c>
      <c r="F266" s="715"/>
      <c r="G266" s="23">
        <f t="shared" si="45"/>
        <v>0.1</v>
      </c>
      <c r="H266" s="715"/>
      <c r="I266" s="23">
        <f t="shared" si="46"/>
        <v>1</v>
      </c>
      <c r="J266" s="715"/>
      <c r="K266" s="23">
        <f t="shared" si="47"/>
        <v>1</v>
      </c>
      <c r="L266" s="715"/>
      <c r="M266" s="23">
        <f t="shared" si="48"/>
        <v>1</v>
      </c>
      <c r="N266" s="715"/>
      <c r="O266" s="23">
        <f t="shared" si="49"/>
        <v>1</v>
      </c>
      <c r="P266" s="715" t="s">
        <v>3117</v>
      </c>
      <c r="Q266" s="23">
        <f t="shared" si="50"/>
        <v>1.1499999999999999</v>
      </c>
      <c r="R266" s="712">
        <f t="shared" si="51"/>
        <v>0</v>
      </c>
      <c r="S266" s="360">
        <f t="shared" si="52"/>
        <v>0</v>
      </c>
    </row>
    <row r="267" spans="1:19">
      <c r="A267" s="3006"/>
      <c r="B267" s="714"/>
      <c r="C267" s="23">
        <f t="shared" si="43"/>
        <v>1</v>
      </c>
      <c r="D267" s="715"/>
      <c r="E267" s="23">
        <f t="shared" si="44"/>
        <v>0.03</v>
      </c>
      <c r="F267" s="715"/>
      <c r="G267" s="23">
        <f t="shared" si="45"/>
        <v>0.1</v>
      </c>
      <c r="H267" s="715"/>
      <c r="I267" s="23">
        <f t="shared" si="46"/>
        <v>1</v>
      </c>
      <c r="J267" s="715"/>
      <c r="K267" s="23">
        <f t="shared" si="47"/>
        <v>1</v>
      </c>
      <c r="L267" s="715"/>
      <c r="M267" s="23">
        <f t="shared" si="48"/>
        <v>1</v>
      </c>
      <c r="N267" s="715"/>
      <c r="O267" s="23">
        <f t="shared" si="49"/>
        <v>1</v>
      </c>
      <c r="P267" s="715" t="s">
        <v>3117</v>
      </c>
      <c r="Q267" s="23">
        <f t="shared" si="50"/>
        <v>1.1499999999999999</v>
      </c>
      <c r="R267" s="712">
        <f t="shared" si="51"/>
        <v>0</v>
      </c>
      <c r="S267" s="360">
        <f t="shared" si="52"/>
        <v>0</v>
      </c>
    </row>
    <row r="268" spans="1:19">
      <c r="A268" s="3006"/>
      <c r="B268" s="714"/>
      <c r="C268" s="23">
        <f t="shared" si="43"/>
        <v>1</v>
      </c>
      <c r="D268" s="715"/>
      <c r="E268" s="23">
        <f t="shared" si="44"/>
        <v>0.03</v>
      </c>
      <c r="F268" s="715"/>
      <c r="G268" s="23">
        <f t="shared" si="45"/>
        <v>0.1</v>
      </c>
      <c r="H268" s="715"/>
      <c r="I268" s="23">
        <f t="shared" si="46"/>
        <v>1</v>
      </c>
      <c r="J268" s="715"/>
      <c r="K268" s="23">
        <f t="shared" si="47"/>
        <v>1</v>
      </c>
      <c r="L268" s="715"/>
      <c r="M268" s="23">
        <f t="shared" si="48"/>
        <v>1</v>
      </c>
      <c r="N268" s="715"/>
      <c r="O268" s="23">
        <f t="shared" si="49"/>
        <v>1</v>
      </c>
      <c r="P268" s="715" t="s">
        <v>3117</v>
      </c>
      <c r="Q268" s="23">
        <f t="shared" si="50"/>
        <v>1.1499999999999999</v>
      </c>
      <c r="R268" s="712">
        <f t="shared" si="51"/>
        <v>0</v>
      </c>
      <c r="S268" s="360">
        <f t="shared" si="52"/>
        <v>0</v>
      </c>
    </row>
    <row r="269" spans="1:19">
      <c r="A269" s="3006"/>
      <c r="B269" s="714"/>
      <c r="C269" s="23">
        <f t="shared" si="43"/>
        <v>1</v>
      </c>
      <c r="D269" s="715"/>
      <c r="E269" s="23">
        <f t="shared" si="44"/>
        <v>0.03</v>
      </c>
      <c r="F269" s="715"/>
      <c r="G269" s="23">
        <f t="shared" si="45"/>
        <v>0.1</v>
      </c>
      <c r="H269" s="715"/>
      <c r="I269" s="23">
        <f t="shared" si="46"/>
        <v>1</v>
      </c>
      <c r="J269" s="715"/>
      <c r="K269" s="23">
        <f t="shared" si="47"/>
        <v>1</v>
      </c>
      <c r="L269" s="715"/>
      <c r="M269" s="23">
        <f t="shared" si="48"/>
        <v>1</v>
      </c>
      <c r="N269" s="715"/>
      <c r="O269" s="23">
        <f t="shared" si="49"/>
        <v>1</v>
      </c>
      <c r="P269" s="715" t="s">
        <v>3117</v>
      </c>
      <c r="Q269" s="23">
        <f t="shared" si="50"/>
        <v>1.1499999999999999</v>
      </c>
      <c r="R269" s="712">
        <f t="shared" si="51"/>
        <v>0</v>
      </c>
      <c r="S269" s="360">
        <f t="shared" si="52"/>
        <v>0</v>
      </c>
    </row>
    <row r="270" spans="1:19">
      <c r="A270" s="3006"/>
      <c r="B270" s="714"/>
      <c r="C270" s="23">
        <f t="shared" si="43"/>
        <v>1</v>
      </c>
      <c r="D270" s="715"/>
      <c r="E270" s="23">
        <f t="shared" si="44"/>
        <v>0.03</v>
      </c>
      <c r="F270" s="715"/>
      <c r="G270" s="23">
        <f t="shared" si="45"/>
        <v>0.1</v>
      </c>
      <c r="H270" s="715"/>
      <c r="I270" s="23">
        <f t="shared" si="46"/>
        <v>1</v>
      </c>
      <c r="J270" s="715"/>
      <c r="K270" s="23">
        <f t="shared" si="47"/>
        <v>1</v>
      </c>
      <c r="L270" s="715"/>
      <c r="M270" s="23">
        <f t="shared" si="48"/>
        <v>1</v>
      </c>
      <c r="N270" s="715"/>
      <c r="O270" s="23">
        <f t="shared" si="49"/>
        <v>1</v>
      </c>
      <c r="P270" s="715" t="s">
        <v>3117</v>
      </c>
      <c r="Q270" s="23">
        <f t="shared" si="50"/>
        <v>1.1499999999999999</v>
      </c>
      <c r="R270" s="712">
        <f t="shared" si="51"/>
        <v>0</v>
      </c>
      <c r="S270" s="360">
        <f t="shared" si="52"/>
        <v>0</v>
      </c>
    </row>
    <row r="271" spans="1:19">
      <c r="A271" s="3006"/>
      <c r="B271" s="714"/>
      <c r="C271" s="23">
        <f t="shared" si="43"/>
        <v>1</v>
      </c>
      <c r="D271" s="715"/>
      <c r="E271" s="23">
        <f t="shared" si="44"/>
        <v>0.03</v>
      </c>
      <c r="F271" s="715"/>
      <c r="G271" s="23">
        <f t="shared" si="45"/>
        <v>0.1</v>
      </c>
      <c r="H271" s="715"/>
      <c r="I271" s="23">
        <f t="shared" si="46"/>
        <v>1</v>
      </c>
      <c r="J271" s="715"/>
      <c r="K271" s="23">
        <f t="shared" si="47"/>
        <v>1</v>
      </c>
      <c r="L271" s="715"/>
      <c r="M271" s="23">
        <f t="shared" si="48"/>
        <v>1</v>
      </c>
      <c r="N271" s="715"/>
      <c r="O271" s="23">
        <f t="shared" si="49"/>
        <v>1</v>
      </c>
      <c r="P271" s="715" t="s">
        <v>3117</v>
      </c>
      <c r="Q271" s="23">
        <f t="shared" si="50"/>
        <v>1.1499999999999999</v>
      </c>
      <c r="R271" s="712">
        <f t="shared" si="51"/>
        <v>0</v>
      </c>
      <c r="S271" s="360">
        <f t="shared" si="52"/>
        <v>0</v>
      </c>
    </row>
    <row r="272" spans="1:19">
      <c r="A272" s="3006"/>
      <c r="B272" s="714"/>
      <c r="C272" s="23">
        <f t="shared" si="43"/>
        <v>1</v>
      </c>
      <c r="D272" s="715"/>
      <c r="E272" s="23">
        <f t="shared" si="44"/>
        <v>0.03</v>
      </c>
      <c r="F272" s="715"/>
      <c r="G272" s="23">
        <f t="shared" si="45"/>
        <v>0.1</v>
      </c>
      <c r="H272" s="715"/>
      <c r="I272" s="23">
        <f t="shared" si="46"/>
        <v>1</v>
      </c>
      <c r="J272" s="715"/>
      <c r="K272" s="23">
        <f t="shared" si="47"/>
        <v>1</v>
      </c>
      <c r="L272" s="715"/>
      <c r="M272" s="23">
        <f t="shared" si="48"/>
        <v>1</v>
      </c>
      <c r="N272" s="715"/>
      <c r="O272" s="23">
        <f t="shared" si="49"/>
        <v>1</v>
      </c>
      <c r="P272" s="715" t="s">
        <v>3117</v>
      </c>
      <c r="Q272" s="23">
        <f t="shared" si="50"/>
        <v>1.1499999999999999</v>
      </c>
      <c r="R272" s="712">
        <f t="shared" si="51"/>
        <v>0</v>
      </c>
      <c r="S272" s="360">
        <f t="shared" si="52"/>
        <v>0</v>
      </c>
    </row>
    <row r="273" spans="1:19">
      <c r="A273" s="3006"/>
      <c r="B273" s="714"/>
      <c r="C273" s="23">
        <f t="shared" si="43"/>
        <v>1</v>
      </c>
      <c r="D273" s="715"/>
      <c r="E273" s="23">
        <f t="shared" si="44"/>
        <v>0.03</v>
      </c>
      <c r="F273" s="715"/>
      <c r="G273" s="23">
        <f t="shared" si="45"/>
        <v>0.1</v>
      </c>
      <c r="H273" s="715"/>
      <c r="I273" s="23">
        <f t="shared" si="46"/>
        <v>1</v>
      </c>
      <c r="J273" s="715"/>
      <c r="K273" s="23">
        <f t="shared" si="47"/>
        <v>1</v>
      </c>
      <c r="L273" s="715"/>
      <c r="M273" s="23">
        <f t="shared" si="48"/>
        <v>1</v>
      </c>
      <c r="N273" s="715"/>
      <c r="O273" s="23">
        <f t="shared" si="49"/>
        <v>1</v>
      </c>
      <c r="P273" s="715" t="s">
        <v>3117</v>
      </c>
      <c r="Q273" s="23">
        <f t="shared" si="50"/>
        <v>1.1499999999999999</v>
      </c>
      <c r="R273" s="712">
        <f t="shared" si="51"/>
        <v>0</v>
      </c>
      <c r="S273" s="360">
        <f t="shared" si="52"/>
        <v>0</v>
      </c>
    </row>
    <row r="274" spans="1:19">
      <c r="A274" s="3006"/>
      <c r="B274" s="714"/>
      <c r="C274" s="23">
        <f t="shared" si="43"/>
        <v>1</v>
      </c>
      <c r="D274" s="715"/>
      <c r="E274" s="23">
        <f t="shared" si="44"/>
        <v>0.03</v>
      </c>
      <c r="F274" s="715"/>
      <c r="G274" s="23">
        <f t="shared" si="45"/>
        <v>0.1</v>
      </c>
      <c r="H274" s="715"/>
      <c r="I274" s="23">
        <f t="shared" si="46"/>
        <v>1</v>
      </c>
      <c r="J274" s="715"/>
      <c r="K274" s="23">
        <f t="shared" si="47"/>
        <v>1</v>
      </c>
      <c r="L274" s="715"/>
      <c r="M274" s="23">
        <f t="shared" si="48"/>
        <v>1</v>
      </c>
      <c r="N274" s="715"/>
      <c r="O274" s="23">
        <f t="shared" si="49"/>
        <v>1</v>
      </c>
      <c r="P274" s="715" t="s">
        <v>3117</v>
      </c>
      <c r="Q274" s="23">
        <f t="shared" si="50"/>
        <v>1.1499999999999999</v>
      </c>
      <c r="R274" s="712">
        <f t="shared" si="51"/>
        <v>0</v>
      </c>
      <c r="S274" s="360">
        <f t="shared" si="52"/>
        <v>0</v>
      </c>
    </row>
    <row r="275" spans="1:19">
      <c r="A275" s="3006"/>
      <c r="B275" s="714"/>
      <c r="C275" s="23">
        <f t="shared" si="43"/>
        <v>1</v>
      </c>
      <c r="D275" s="715"/>
      <c r="E275" s="23">
        <f t="shared" si="44"/>
        <v>0.03</v>
      </c>
      <c r="F275" s="715"/>
      <c r="G275" s="23">
        <f t="shared" si="45"/>
        <v>0.1</v>
      </c>
      <c r="H275" s="715"/>
      <c r="I275" s="23">
        <f t="shared" si="46"/>
        <v>1</v>
      </c>
      <c r="J275" s="715"/>
      <c r="K275" s="23">
        <f t="shared" si="47"/>
        <v>1</v>
      </c>
      <c r="L275" s="715"/>
      <c r="M275" s="23">
        <f t="shared" si="48"/>
        <v>1</v>
      </c>
      <c r="N275" s="715"/>
      <c r="O275" s="23">
        <f t="shared" si="49"/>
        <v>1</v>
      </c>
      <c r="P275" s="715" t="s">
        <v>3117</v>
      </c>
      <c r="Q275" s="23">
        <f t="shared" si="50"/>
        <v>1.1499999999999999</v>
      </c>
      <c r="R275" s="712">
        <f t="shared" si="51"/>
        <v>0</v>
      </c>
      <c r="S275" s="360">
        <f t="shared" si="52"/>
        <v>0</v>
      </c>
    </row>
    <row r="276" spans="1:19">
      <c r="A276" s="3006"/>
      <c r="B276" s="714"/>
      <c r="C276" s="23">
        <f t="shared" si="43"/>
        <v>1</v>
      </c>
      <c r="D276" s="715"/>
      <c r="E276" s="23">
        <f t="shared" si="44"/>
        <v>0.03</v>
      </c>
      <c r="F276" s="715"/>
      <c r="G276" s="23">
        <f t="shared" si="45"/>
        <v>0.1</v>
      </c>
      <c r="H276" s="715"/>
      <c r="I276" s="23">
        <f t="shared" si="46"/>
        <v>1</v>
      </c>
      <c r="J276" s="715"/>
      <c r="K276" s="23">
        <f t="shared" si="47"/>
        <v>1</v>
      </c>
      <c r="L276" s="715"/>
      <c r="M276" s="23">
        <f t="shared" si="48"/>
        <v>1</v>
      </c>
      <c r="N276" s="715"/>
      <c r="O276" s="23">
        <f t="shared" si="49"/>
        <v>1</v>
      </c>
      <c r="P276" s="715" t="s">
        <v>3117</v>
      </c>
      <c r="Q276" s="23">
        <f t="shared" si="50"/>
        <v>1.1499999999999999</v>
      </c>
      <c r="R276" s="712">
        <f t="shared" si="51"/>
        <v>0</v>
      </c>
      <c r="S276" s="360">
        <f t="shared" si="52"/>
        <v>0</v>
      </c>
    </row>
    <row r="277" spans="1:19">
      <c r="A277" s="3006"/>
      <c r="B277" s="714"/>
      <c r="C277" s="23">
        <f t="shared" si="43"/>
        <v>1</v>
      </c>
      <c r="D277" s="715"/>
      <c r="E277" s="23">
        <f t="shared" si="44"/>
        <v>0.03</v>
      </c>
      <c r="F277" s="715"/>
      <c r="G277" s="23">
        <f t="shared" si="45"/>
        <v>0.1</v>
      </c>
      <c r="H277" s="715"/>
      <c r="I277" s="23">
        <f t="shared" si="46"/>
        <v>1</v>
      </c>
      <c r="J277" s="715"/>
      <c r="K277" s="23">
        <f t="shared" si="47"/>
        <v>1</v>
      </c>
      <c r="L277" s="715"/>
      <c r="M277" s="23">
        <f t="shared" si="48"/>
        <v>1</v>
      </c>
      <c r="N277" s="715"/>
      <c r="O277" s="23">
        <f t="shared" si="49"/>
        <v>1</v>
      </c>
      <c r="P277" s="715" t="s">
        <v>3117</v>
      </c>
      <c r="Q277" s="23">
        <f t="shared" si="50"/>
        <v>1.1499999999999999</v>
      </c>
      <c r="R277" s="712">
        <f t="shared" si="51"/>
        <v>0</v>
      </c>
      <c r="S277" s="360">
        <f t="shared" si="52"/>
        <v>0</v>
      </c>
    </row>
    <row r="278" spans="1:19">
      <c r="A278" s="3006"/>
      <c r="B278" s="714"/>
      <c r="C278" s="23">
        <f t="shared" si="43"/>
        <v>1</v>
      </c>
      <c r="D278" s="715"/>
      <c r="E278" s="23">
        <f t="shared" si="44"/>
        <v>0.03</v>
      </c>
      <c r="F278" s="715"/>
      <c r="G278" s="23">
        <f t="shared" si="45"/>
        <v>0.1</v>
      </c>
      <c r="H278" s="715"/>
      <c r="I278" s="23">
        <f t="shared" si="46"/>
        <v>1</v>
      </c>
      <c r="J278" s="715"/>
      <c r="K278" s="23">
        <f t="shared" si="47"/>
        <v>1</v>
      </c>
      <c r="L278" s="715"/>
      <c r="M278" s="23">
        <f t="shared" si="48"/>
        <v>1</v>
      </c>
      <c r="N278" s="715"/>
      <c r="O278" s="23">
        <f t="shared" si="49"/>
        <v>1</v>
      </c>
      <c r="P278" s="715" t="s">
        <v>3117</v>
      </c>
      <c r="Q278" s="23">
        <f t="shared" si="50"/>
        <v>1.1499999999999999</v>
      </c>
      <c r="R278" s="712">
        <f t="shared" si="51"/>
        <v>0</v>
      </c>
      <c r="S278" s="360">
        <f t="shared" si="52"/>
        <v>0</v>
      </c>
    </row>
    <row r="279" spans="1:19">
      <c r="A279" s="3006"/>
      <c r="B279" s="714"/>
      <c r="C279" s="23">
        <f t="shared" si="43"/>
        <v>1</v>
      </c>
      <c r="D279" s="715"/>
      <c r="E279" s="23">
        <f t="shared" si="44"/>
        <v>0.03</v>
      </c>
      <c r="F279" s="715"/>
      <c r="G279" s="23">
        <f t="shared" si="45"/>
        <v>0.1</v>
      </c>
      <c r="H279" s="715"/>
      <c r="I279" s="23">
        <f t="shared" si="46"/>
        <v>1</v>
      </c>
      <c r="J279" s="715"/>
      <c r="K279" s="23">
        <f t="shared" si="47"/>
        <v>1</v>
      </c>
      <c r="L279" s="715"/>
      <c r="M279" s="23">
        <f t="shared" si="48"/>
        <v>1</v>
      </c>
      <c r="N279" s="715"/>
      <c r="O279" s="23">
        <f t="shared" si="49"/>
        <v>1</v>
      </c>
      <c r="P279" s="715" t="s">
        <v>3117</v>
      </c>
      <c r="Q279" s="23">
        <f t="shared" si="50"/>
        <v>1.1499999999999999</v>
      </c>
      <c r="R279" s="712">
        <f t="shared" si="51"/>
        <v>0</v>
      </c>
      <c r="S279" s="360">
        <f t="shared" si="52"/>
        <v>0</v>
      </c>
    </row>
    <row r="280" spans="1:19">
      <c r="A280" s="3006"/>
      <c r="B280" s="714"/>
      <c r="C280" s="23">
        <f t="shared" si="43"/>
        <v>1</v>
      </c>
      <c r="D280" s="715"/>
      <c r="E280" s="23">
        <f t="shared" si="44"/>
        <v>0.03</v>
      </c>
      <c r="F280" s="715"/>
      <c r="G280" s="23">
        <f t="shared" si="45"/>
        <v>0.1</v>
      </c>
      <c r="H280" s="715"/>
      <c r="I280" s="23">
        <f t="shared" si="46"/>
        <v>1</v>
      </c>
      <c r="J280" s="715"/>
      <c r="K280" s="23">
        <f t="shared" si="47"/>
        <v>1</v>
      </c>
      <c r="L280" s="715"/>
      <c r="M280" s="23">
        <f t="shared" si="48"/>
        <v>1</v>
      </c>
      <c r="N280" s="715"/>
      <c r="O280" s="23">
        <f t="shared" si="49"/>
        <v>1</v>
      </c>
      <c r="P280" s="715" t="s">
        <v>3117</v>
      </c>
      <c r="Q280" s="23">
        <f t="shared" si="50"/>
        <v>1.1499999999999999</v>
      </c>
      <c r="R280" s="712">
        <f t="shared" si="51"/>
        <v>0</v>
      </c>
      <c r="S280" s="360">
        <f t="shared" si="52"/>
        <v>0</v>
      </c>
    </row>
    <row r="281" spans="1:19">
      <c r="A281" s="3006"/>
      <c r="B281" s="714"/>
      <c r="C281" s="23">
        <f t="shared" si="43"/>
        <v>1</v>
      </c>
      <c r="D281" s="715"/>
      <c r="E281" s="23">
        <f t="shared" si="44"/>
        <v>0.03</v>
      </c>
      <c r="F281" s="715"/>
      <c r="G281" s="23">
        <f t="shared" si="45"/>
        <v>0.1</v>
      </c>
      <c r="H281" s="715"/>
      <c r="I281" s="23">
        <f t="shared" si="46"/>
        <v>1</v>
      </c>
      <c r="J281" s="715"/>
      <c r="K281" s="23">
        <f t="shared" si="47"/>
        <v>1</v>
      </c>
      <c r="L281" s="715"/>
      <c r="M281" s="23">
        <f t="shared" si="48"/>
        <v>1</v>
      </c>
      <c r="N281" s="715"/>
      <c r="O281" s="23">
        <f t="shared" si="49"/>
        <v>1</v>
      </c>
      <c r="P281" s="715" t="s">
        <v>3117</v>
      </c>
      <c r="Q281" s="23">
        <f t="shared" si="50"/>
        <v>1.1499999999999999</v>
      </c>
      <c r="R281" s="712">
        <f t="shared" si="51"/>
        <v>0</v>
      </c>
      <c r="S281" s="360">
        <f t="shared" si="52"/>
        <v>0</v>
      </c>
    </row>
    <row r="282" spans="1:19">
      <c r="A282" s="3006"/>
      <c r="B282" s="714"/>
      <c r="C282" s="23">
        <f t="shared" ref="C282:C345" si="53">IF(B282="",1,(LOOKUP(B282,$3:$3,$4:$4)-LOOKUP($B$24,$3:$3,$4:$4)+100)/100)</f>
        <v>1</v>
      </c>
      <c r="D282" s="715"/>
      <c r="E282" s="23">
        <f t="shared" ref="E282:E345" si="54">(SUMIF($5:$5,D282,$6:$6)-SUMIF($5:$5,$D$24,$6:$6)+100)/100</f>
        <v>0.03</v>
      </c>
      <c r="F282" s="715"/>
      <c r="G282" s="23">
        <f t="shared" ref="G282:G345" si="55">(SUMIF($7:$7,F282,$8:$8)-SUMIF($7:$7,$F$24,$8:$8)+100)/100</f>
        <v>0.1</v>
      </c>
      <c r="H282" s="715"/>
      <c r="I282" s="23">
        <f t="shared" ref="I282:I345" si="56">(SUMIF($9:$9,H282,$10:$10)-SUMIF($9:$9,$H$24,$10:$10)+100)/100</f>
        <v>1</v>
      </c>
      <c r="J282" s="715"/>
      <c r="K282" s="23">
        <f t="shared" ref="K282:K345" si="57">(SUMIF($11:$11,J282,$12:$12)-SUMIF($11:$11,$J$24,$12:$12)+100)/100</f>
        <v>1</v>
      </c>
      <c r="L282" s="715"/>
      <c r="M282" s="23">
        <f t="shared" ref="M282:M345" si="58">(SUMIF($13:$13,L282,$14:$14)-SUMIF($13:$13,$L$24,$14:$14)+100)/100</f>
        <v>1</v>
      </c>
      <c r="N282" s="715"/>
      <c r="O282" s="23">
        <f t="shared" ref="O282:O345" si="59">(SUMIF($15:$15,N282,$16:$16)-SUMIF($15:$15,$N$24,$16:$16)+100)/100</f>
        <v>1</v>
      </c>
      <c r="P282" s="715" t="s">
        <v>3117</v>
      </c>
      <c r="Q282" s="23">
        <f t="shared" ref="Q282:Q345" si="60">(SUMIF($17:$17,P282,$18:$18)-SUMIF($17:$17,$P$24,$18:$18)+100)/100</f>
        <v>1.1499999999999999</v>
      </c>
      <c r="R282" s="712">
        <f t="shared" ref="R282:R345" si="61">IF(B282="",0,ROUND($R$24*C282*E282*G282*I282*K282*M282*O282*Q282,0))</f>
        <v>0</v>
      </c>
      <c r="S282" s="360">
        <f t="shared" si="52"/>
        <v>0</v>
      </c>
    </row>
    <row r="283" spans="1:19">
      <c r="A283" s="3006"/>
      <c r="B283" s="714"/>
      <c r="C283" s="23">
        <f t="shared" si="53"/>
        <v>1</v>
      </c>
      <c r="D283" s="715"/>
      <c r="E283" s="23">
        <f t="shared" si="54"/>
        <v>0.03</v>
      </c>
      <c r="F283" s="715"/>
      <c r="G283" s="23">
        <f t="shared" si="55"/>
        <v>0.1</v>
      </c>
      <c r="H283" s="715"/>
      <c r="I283" s="23">
        <f t="shared" si="56"/>
        <v>1</v>
      </c>
      <c r="J283" s="715"/>
      <c r="K283" s="23">
        <f t="shared" si="57"/>
        <v>1</v>
      </c>
      <c r="L283" s="715"/>
      <c r="M283" s="23">
        <f t="shared" si="58"/>
        <v>1</v>
      </c>
      <c r="N283" s="715"/>
      <c r="O283" s="23">
        <f t="shared" si="59"/>
        <v>1</v>
      </c>
      <c r="P283" s="715" t="s">
        <v>3117</v>
      </c>
      <c r="Q283" s="23">
        <f t="shared" si="60"/>
        <v>1.1499999999999999</v>
      </c>
      <c r="R283" s="712">
        <f t="shared" si="61"/>
        <v>0</v>
      </c>
      <c r="S283" s="360">
        <f t="shared" si="52"/>
        <v>0</v>
      </c>
    </row>
    <row r="284" spans="1:19">
      <c r="A284" s="3006"/>
      <c r="B284" s="714"/>
      <c r="C284" s="23">
        <f t="shared" si="53"/>
        <v>1</v>
      </c>
      <c r="D284" s="715"/>
      <c r="E284" s="23">
        <f t="shared" si="54"/>
        <v>0.03</v>
      </c>
      <c r="F284" s="715"/>
      <c r="G284" s="23">
        <f t="shared" si="55"/>
        <v>0.1</v>
      </c>
      <c r="H284" s="715"/>
      <c r="I284" s="23">
        <f t="shared" si="56"/>
        <v>1</v>
      </c>
      <c r="J284" s="715"/>
      <c r="K284" s="23">
        <f t="shared" si="57"/>
        <v>1</v>
      </c>
      <c r="L284" s="715"/>
      <c r="M284" s="23">
        <f t="shared" si="58"/>
        <v>1</v>
      </c>
      <c r="N284" s="715"/>
      <c r="O284" s="23">
        <f t="shared" si="59"/>
        <v>1</v>
      </c>
      <c r="P284" s="715" t="s">
        <v>3117</v>
      </c>
      <c r="Q284" s="23">
        <f t="shared" si="60"/>
        <v>1.1499999999999999</v>
      </c>
      <c r="R284" s="712">
        <f t="shared" si="61"/>
        <v>0</v>
      </c>
      <c r="S284" s="360">
        <f t="shared" si="52"/>
        <v>0</v>
      </c>
    </row>
    <row r="285" spans="1:19">
      <c r="A285" s="3006"/>
      <c r="B285" s="714"/>
      <c r="C285" s="23">
        <f t="shared" si="53"/>
        <v>1</v>
      </c>
      <c r="D285" s="715"/>
      <c r="E285" s="23">
        <f t="shared" si="54"/>
        <v>0.03</v>
      </c>
      <c r="F285" s="715"/>
      <c r="G285" s="23">
        <f t="shared" si="55"/>
        <v>0.1</v>
      </c>
      <c r="H285" s="715"/>
      <c r="I285" s="23">
        <f t="shared" si="56"/>
        <v>1</v>
      </c>
      <c r="J285" s="715"/>
      <c r="K285" s="23">
        <f t="shared" si="57"/>
        <v>1</v>
      </c>
      <c r="L285" s="715"/>
      <c r="M285" s="23">
        <f t="shared" si="58"/>
        <v>1</v>
      </c>
      <c r="N285" s="715"/>
      <c r="O285" s="23">
        <f t="shared" si="59"/>
        <v>1</v>
      </c>
      <c r="P285" s="715" t="s">
        <v>3117</v>
      </c>
      <c r="Q285" s="23">
        <f t="shared" si="60"/>
        <v>1.1499999999999999</v>
      </c>
      <c r="R285" s="712">
        <f t="shared" si="61"/>
        <v>0</v>
      </c>
      <c r="S285" s="360">
        <f t="shared" si="52"/>
        <v>0</v>
      </c>
    </row>
    <row r="286" spans="1:19">
      <c r="A286" s="3006"/>
      <c r="B286" s="714"/>
      <c r="C286" s="23">
        <f t="shared" si="53"/>
        <v>1</v>
      </c>
      <c r="D286" s="715"/>
      <c r="E286" s="23">
        <f t="shared" si="54"/>
        <v>0.03</v>
      </c>
      <c r="F286" s="715"/>
      <c r="G286" s="23">
        <f t="shared" si="55"/>
        <v>0.1</v>
      </c>
      <c r="H286" s="715"/>
      <c r="I286" s="23">
        <f t="shared" si="56"/>
        <v>1</v>
      </c>
      <c r="J286" s="715"/>
      <c r="K286" s="23">
        <f t="shared" si="57"/>
        <v>1</v>
      </c>
      <c r="L286" s="715"/>
      <c r="M286" s="23">
        <f t="shared" si="58"/>
        <v>1</v>
      </c>
      <c r="N286" s="715"/>
      <c r="O286" s="23">
        <f t="shared" si="59"/>
        <v>1</v>
      </c>
      <c r="P286" s="715" t="s">
        <v>3117</v>
      </c>
      <c r="Q286" s="23">
        <f t="shared" si="60"/>
        <v>1.1499999999999999</v>
      </c>
      <c r="R286" s="712">
        <f t="shared" si="61"/>
        <v>0</v>
      </c>
      <c r="S286" s="360">
        <f t="shared" si="52"/>
        <v>0</v>
      </c>
    </row>
    <row r="287" spans="1:19">
      <c r="A287" s="3006"/>
      <c r="B287" s="714"/>
      <c r="C287" s="23">
        <f t="shared" si="53"/>
        <v>1</v>
      </c>
      <c r="D287" s="715"/>
      <c r="E287" s="23">
        <f t="shared" si="54"/>
        <v>0.03</v>
      </c>
      <c r="F287" s="715"/>
      <c r="G287" s="23">
        <f t="shared" si="55"/>
        <v>0.1</v>
      </c>
      <c r="H287" s="715"/>
      <c r="I287" s="23">
        <f t="shared" si="56"/>
        <v>1</v>
      </c>
      <c r="J287" s="715"/>
      <c r="K287" s="23">
        <f t="shared" si="57"/>
        <v>1</v>
      </c>
      <c r="L287" s="715"/>
      <c r="M287" s="23">
        <f t="shared" si="58"/>
        <v>1</v>
      </c>
      <c r="N287" s="715"/>
      <c r="O287" s="23">
        <f t="shared" si="59"/>
        <v>1</v>
      </c>
      <c r="P287" s="715" t="s">
        <v>3117</v>
      </c>
      <c r="Q287" s="23">
        <f t="shared" si="60"/>
        <v>1.1499999999999999</v>
      </c>
      <c r="R287" s="712">
        <f t="shared" si="61"/>
        <v>0</v>
      </c>
      <c r="S287" s="360">
        <f t="shared" ref="S287:S320" si="62">ROUND(R287*B287/10000,0)</f>
        <v>0</v>
      </c>
    </row>
    <row r="288" spans="1:19">
      <c r="A288" s="3006"/>
      <c r="B288" s="714"/>
      <c r="C288" s="23">
        <f t="shared" si="53"/>
        <v>1</v>
      </c>
      <c r="D288" s="715"/>
      <c r="E288" s="23">
        <f t="shared" si="54"/>
        <v>0.03</v>
      </c>
      <c r="F288" s="715"/>
      <c r="G288" s="23">
        <f t="shared" si="55"/>
        <v>0.1</v>
      </c>
      <c r="H288" s="715"/>
      <c r="I288" s="23">
        <f t="shared" si="56"/>
        <v>1</v>
      </c>
      <c r="J288" s="715"/>
      <c r="K288" s="23">
        <f t="shared" si="57"/>
        <v>1</v>
      </c>
      <c r="L288" s="715"/>
      <c r="M288" s="23">
        <f t="shared" si="58"/>
        <v>1</v>
      </c>
      <c r="N288" s="715"/>
      <c r="O288" s="23">
        <f t="shared" si="59"/>
        <v>1</v>
      </c>
      <c r="P288" s="715" t="s">
        <v>3117</v>
      </c>
      <c r="Q288" s="23">
        <f t="shared" si="60"/>
        <v>1.1499999999999999</v>
      </c>
      <c r="R288" s="712">
        <f t="shared" si="61"/>
        <v>0</v>
      </c>
      <c r="S288" s="360">
        <f t="shared" si="62"/>
        <v>0</v>
      </c>
    </row>
    <row r="289" spans="1:19">
      <c r="A289" s="3006"/>
      <c r="B289" s="714"/>
      <c r="C289" s="23">
        <f t="shared" si="53"/>
        <v>1</v>
      </c>
      <c r="D289" s="715"/>
      <c r="E289" s="23">
        <f t="shared" si="54"/>
        <v>0.03</v>
      </c>
      <c r="F289" s="715"/>
      <c r="G289" s="23">
        <f t="shared" si="55"/>
        <v>0.1</v>
      </c>
      <c r="H289" s="715"/>
      <c r="I289" s="23">
        <f t="shared" si="56"/>
        <v>1</v>
      </c>
      <c r="J289" s="715"/>
      <c r="K289" s="23">
        <f t="shared" si="57"/>
        <v>1</v>
      </c>
      <c r="L289" s="715"/>
      <c r="M289" s="23">
        <f t="shared" si="58"/>
        <v>1</v>
      </c>
      <c r="N289" s="715"/>
      <c r="O289" s="23">
        <f t="shared" si="59"/>
        <v>1</v>
      </c>
      <c r="P289" s="715" t="s">
        <v>3117</v>
      </c>
      <c r="Q289" s="23">
        <f t="shared" si="60"/>
        <v>1.1499999999999999</v>
      </c>
      <c r="R289" s="712">
        <f t="shared" si="61"/>
        <v>0</v>
      </c>
      <c r="S289" s="360">
        <f t="shared" si="62"/>
        <v>0</v>
      </c>
    </row>
    <row r="290" spans="1:19">
      <c r="A290" s="3006"/>
      <c r="B290" s="714"/>
      <c r="C290" s="23">
        <f t="shared" si="53"/>
        <v>1</v>
      </c>
      <c r="D290" s="715"/>
      <c r="E290" s="23">
        <f t="shared" si="54"/>
        <v>0.03</v>
      </c>
      <c r="F290" s="715"/>
      <c r="G290" s="23">
        <f t="shared" si="55"/>
        <v>0.1</v>
      </c>
      <c r="H290" s="715"/>
      <c r="I290" s="23">
        <f t="shared" si="56"/>
        <v>1</v>
      </c>
      <c r="J290" s="715"/>
      <c r="K290" s="23">
        <f t="shared" si="57"/>
        <v>1</v>
      </c>
      <c r="L290" s="715"/>
      <c r="M290" s="23">
        <f t="shared" si="58"/>
        <v>1</v>
      </c>
      <c r="N290" s="715"/>
      <c r="O290" s="23">
        <f t="shared" si="59"/>
        <v>1</v>
      </c>
      <c r="P290" s="715" t="s">
        <v>3117</v>
      </c>
      <c r="Q290" s="23">
        <f t="shared" si="60"/>
        <v>1.1499999999999999</v>
      </c>
      <c r="R290" s="712">
        <f t="shared" si="61"/>
        <v>0</v>
      </c>
      <c r="S290" s="360">
        <f t="shared" si="62"/>
        <v>0</v>
      </c>
    </row>
    <row r="291" spans="1:19">
      <c r="A291" s="3006"/>
      <c r="B291" s="714"/>
      <c r="C291" s="23">
        <f t="shared" si="53"/>
        <v>1</v>
      </c>
      <c r="D291" s="715"/>
      <c r="E291" s="23">
        <f t="shared" si="54"/>
        <v>0.03</v>
      </c>
      <c r="F291" s="715"/>
      <c r="G291" s="23">
        <f t="shared" si="55"/>
        <v>0.1</v>
      </c>
      <c r="H291" s="715"/>
      <c r="I291" s="23">
        <f t="shared" si="56"/>
        <v>1</v>
      </c>
      <c r="J291" s="715"/>
      <c r="K291" s="23">
        <f t="shared" si="57"/>
        <v>1</v>
      </c>
      <c r="L291" s="715"/>
      <c r="M291" s="23">
        <f t="shared" si="58"/>
        <v>1</v>
      </c>
      <c r="N291" s="715"/>
      <c r="O291" s="23">
        <f t="shared" si="59"/>
        <v>1</v>
      </c>
      <c r="P291" s="715" t="s">
        <v>3117</v>
      </c>
      <c r="Q291" s="23">
        <f t="shared" si="60"/>
        <v>1.1499999999999999</v>
      </c>
      <c r="R291" s="712">
        <f t="shared" si="61"/>
        <v>0</v>
      </c>
      <c r="S291" s="360">
        <f t="shared" si="62"/>
        <v>0</v>
      </c>
    </row>
    <row r="292" spans="1:19">
      <c r="A292" s="3006"/>
      <c r="B292" s="714"/>
      <c r="C292" s="23">
        <f t="shared" si="53"/>
        <v>1</v>
      </c>
      <c r="D292" s="715"/>
      <c r="E292" s="23">
        <f t="shared" si="54"/>
        <v>0.03</v>
      </c>
      <c r="F292" s="715"/>
      <c r="G292" s="23">
        <f t="shared" si="55"/>
        <v>0.1</v>
      </c>
      <c r="H292" s="715"/>
      <c r="I292" s="23">
        <f t="shared" si="56"/>
        <v>1</v>
      </c>
      <c r="J292" s="715"/>
      <c r="K292" s="23">
        <f t="shared" si="57"/>
        <v>1</v>
      </c>
      <c r="L292" s="715"/>
      <c r="M292" s="23">
        <f t="shared" si="58"/>
        <v>1</v>
      </c>
      <c r="N292" s="715"/>
      <c r="O292" s="23">
        <f t="shared" si="59"/>
        <v>1</v>
      </c>
      <c r="P292" s="715" t="s">
        <v>3117</v>
      </c>
      <c r="Q292" s="23">
        <f t="shared" si="60"/>
        <v>1.1499999999999999</v>
      </c>
      <c r="R292" s="712">
        <f t="shared" si="61"/>
        <v>0</v>
      </c>
      <c r="S292" s="360">
        <f t="shared" si="62"/>
        <v>0</v>
      </c>
    </row>
    <row r="293" spans="1:19">
      <c r="A293" s="3006"/>
      <c r="B293" s="714"/>
      <c r="C293" s="23">
        <f t="shared" si="53"/>
        <v>1</v>
      </c>
      <c r="D293" s="715"/>
      <c r="E293" s="23">
        <f t="shared" si="54"/>
        <v>0.03</v>
      </c>
      <c r="F293" s="715"/>
      <c r="G293" s="23">
        <f t="shared" si="55"/>
        <v>0.1</v>
      </c>
      <c r="H293" s="715"/>
      <c r="I293" s="23">
        <f t="shared" si="56"/>
        <v>1</v>
      </c>
      <c r="J293" s="715"/>
      <c r="K293" s="23">
        <f t="shared" si="57"/>
        <v>1</v>
      </c>
      <c r="L293" s="715"/>
      <c r="M293" s="23">
        <f t="shared" si="58"/>
        <v>1</v>
      </c>
      <c r="N293" s="715"/>
      <c r="O293" s="23">
        <f t="shared" si="59"/>
        <v>1</v>
      </c>
      <c r="P293" s="715" t="s">
        <v>3117</v>
      </c>
      <c r="Q293" s="23">
        <f t="shared" si="60"/>
        <v>1.1499999999999999</v>
      </c>
      <c r="R293" s="712">
        <f t="shared" si="61"/>
        <v>0</v>
      </c>
      <c r="S293" s="360">
        <f t="shared" si="62"/>
        <v>0</v>
      </c>
    </row>
    <row r="294" spans="1:19">
      <c r="A294" s="3006"/>
      <c r="B294" s="714"/>
      <c r="C294" s="23">
        <f t="shared" si="53"/>
        <v>1</v>
      </c>
      <c r="D294" s="715"/>
      <c r="E294" s="23">
        <f t="shared" si="54"/>
        <v>0.03</v>
      </c>
      <c r="F294" s="715"/>
      <c r="G294" s="23">
        <f t="shared" si="55"/>
        <v>0.1</v>
      </c>
      <c r="H294" s="715"/>
      <c r="I294" s="23">
        <f t="shared" si="56"/>
        <v>1</v>
      </c>
      <c r="J294" s="715"/>
      <c r="K294" s="23">
        <f t="shared" si="57"/>
        <v>1</v>
      </c>
      <c r="L294" s="715"/>
      <c r="M294" s="23">
        <f t="shared" si="58"/>
        <v>1</v>
      </c>
      <c r="N294" s="715"/>
      <c r="O294" s="23">
        <f t="shared" si="59"/>
        <v>1</v>
      </c>
      <c r="P294" s="715" t="s">
        <v>3117</v>
      </c>
      <c r="Q294" s="23">
        <f t="shared" si="60"/>
        <v>1.1499999999999999</v>
      </c>
      <c r="R294" s="712">
        <f t="shared" si="61"/>
        <v>0</v>
      </c>
      <c r="S294" s="360">
        <f t="shared" si="62"/>
        <v>0</v>
      </c>
    </row>
    <row r="295" spans="1:19">
      <c r="A295" s="3006"/>
      <c r="B295" s="714"/>
      <c r="C295" s="23">
        <f t="shared" si="53"/>
        <v>1</v>
      </c>
      <c r="D295" s="715"/>
      <c r="E295" s="23">
        <f t="shared" si="54"/>
        <v>0.03</v>
      </c>
      <c r="F295" s="715"/>
      <c r="G295" s="23">
        <f t="shared" si="55"/>
        <v>0.1</v>
      </c>
      <c r="H295" s="715"/>
      <c r="I295" s="23">
        <f t="shared" si="56"/>
        <v>1</v>
      </c>
      <c r="J295" s="715"/>
      <c r="K295" s="23">
        <f t="shared" si="57"/>
        <v>1</v>
      </c>
      <c r="L295" s="715"/>
      <c r="M295" s="23">
        <f t="shared" si="58"/>
        <v>1</v>
      </c>
      <c r="N295" s="715"/>
      <c r="O295" s="23">
        <f t="shared" si="59"/>
        <v>1</v>
      </c>
      <c r="P295" s="715" t="s">
        <v>3117</v>
      </c>
      <c r="Q295" s="23">
        <f t="shared" si="60"/>
        <v>1.1499999999999999</v>
      </c>
      <c r="R295" s="712">
        <f t="shared" si="61"/>
        <v>0</v>
      </c>
      <c r="S295" s="360">
        <f t="shared" si="62"/>
        <v>0</v>
      </c>
    </row>
    <row r="296" spans="1:19">
      <c r="A296" s="3006"/>
      <c r="B296" s="714"/>
      <c r="C296" s="23">
        <f t="shared" si="53"/>
        <v>1</v>
      </c>
      <c r="D296" s="715"/>
      <c r="E296" s="23">
        <f t="shared" si="54"/>
        <v>0.03</v>
      </c>
      <c r="F296" s="715"/>
      <c r="G296" s="23">
        <f t="shared" si="55"/>
        <v>0.1</v>
      </c>
      <c r="H296" s="715"/>
      <c r="I296" s="23">
        <f t="shared" si="56"/>
        <v>1</v>
      </c>
      <c r="J296" s="715"/>
      <c r="K296" s="23">
        <f t="shared" si="57"/>
        <v>1</v>
      </c>
      <c r="L296" s="715"/>
      <c r="M296" s="23">
        <f t="shared" si="58"/>
        <v>1</v>
      </c>
      <c r="N296" s="715"/>
      <c r="O296" s="23">
        <f t="shared" si="59"/>
        <v>1</v>
      </c>
      <c r="P296" s="715" t="s">
        <v>3117</v>
      </c>
      <c r="Q296" s="23">
        <f t="shared" si="60"/>
        <v>1.1499999999999999</v>
      </c>
      <c r="R296" s="712">
        <f t="shared" si="61"/>
        <v>0</v>
      </c>
      <c r="S296" s="360">
        <f t="shared" si="62"/>
        <v>0</v>
      </c>
    </row>
    <row r="297" spans="1:19">
      <c r="A297" s="3006"/>
      <c r="B297" s="714"/>
      <c r="C297" s="23">
        <f t="shared" si="53"/>
        <v>1</v>
      </c>
      <c r="D297" s="715"/>
      <c r="E297" s="23">
        <f t="shared" si="54"/>
        <v>0.03</v>
      </c>
      <c r="F297" s="715"/>
      <c r="G297" s="23">
        <f t="shared" si="55"/>
        <v>0.1</v>
      </c>
      <c r="H297" s="715"/>
      <c r="I297" s="23">
        <f t="shared" si="56"/>
        <v>1</v>
      </c>
      <c r="J297" s="715"/>
      <c r="K297" s="23">
        <f t="shared" si="57"/>
        <v>1</v>
      </c>
      <c r="L297" s="715"/>
      <c r="M297" s="23">
        <f t="shared" si="58"/>
        <v>1</v>
      </c>
      <c r="N297" s="715"/>
      <c r="O297" s="23">
        <f t="shared" si="59"/>
        <v>1</v>
      </c>
      <c r="P297" s="715" t="s">
        <v>3117</v>
      </c>
      <c r="Q297" s="23">
        <f t="shared" si="60"/>
        <v>1.1499999999999999</v>
      </c>
      <c r="R297" s="712">
        <f t="shared" si="61"/>
        <v>0</v>
      </c>
      <c r="S297" s="360">
        <f t="shared" si="62"/>
        <v>0</v>
      </c>
    </row>
    <row r="298" spans="1:19">
      <c r="A298" s="3006"/>
      <c r="B298" s="714"/>
      <c r="C298" s="23">
        <f t="shared" si="53"/>
        <v>1</v>
      </c>
      <c r="D298" s="715"/>
      <c r="E298" s="23">
        <f t="shared" si="54"/>
        <v>0.03</v>
      </c>
      <c r="F298" s="715"/>
      <c r="G298" s="23">
        <f t="shared" si="55"/>
        <v>0.1</v>
      </c>
      <c r="H298" s="715"/>
      <c r="I298" s="23">
        <f t="shared" si="56"/>
        <v>1</v>
      </c>
      <c r="J298" s="715"/>
      <c r="K298" s="23">
        <f t="shared" si="57"/>
        <v>1</v>
      </c>
      <c r="L298" s="715"/>
      <c r="M298" s="23">
        <f t="shared" si="58"/>
        <v>1</v>
      </c>
      <c r="N298" s="715"/>
      <c r="O298" s="23">
        <f t="shared" si="59"/>
        <v>1</v>
      </c>
      <c r="P298" s="715" t="s">
        <v>3117</v>
      </c>
      <c r="Q298" s="23">
        <f t="shared" si="60"/>
        <v>1.1499999999999999</v>
      </c>
      <c r="R298" s="712">
        <f t="shared" si="61"/>
        <v>0</v>
      </c>
      <c r="S298" s="360">
        <f t="shared" si="62"/>
        <v>0</v>
      </c>
    </row>
    <row r="299" spans="1:19">
      <c r="A299" s="3006"/>
      <c r="B299" s="714"/>
      <c r="C299" s="23">
        <f t="shared" si="53"/>
        <v>1</v>
      </c>
      <c r="D299" s="715"/>
      <c r="E299" s="23">
        <f t="shared" si="54"/>
        <v>0.03</v>
      </c>
      <c r="F299" s="715"/>
      <c r="G299" s="23">
        <f t="shared" si="55"/>
        <v>0.1</v>
      </c>
      <c r="H299" s="715"/>
      <c r="I299" s="23">
        <f t="shared" si="56"/>
        <v>1</v>
      </c>
      <c r="J299" s="715"/>
      <c r="K299" s="23">
        <f t="shared" si="57"/>
        <v>1</v>
      </c>
      <c r="L299" s="715"/>
      <c r="M299" s="23">
        <f t="shared" si="58"/>
        <v>1</v>
      </c>
      <c r="N299" s="715"/>
      <c r="O299" s="23">
        <f t="shared" si="59"/>
        <v>1</v>
      </c>
      <c r="P299" s="715" t="s">
        <v>3117</v>
      </c>
      <c r="Q299" s="23">
        <f t="shared" si="60"/>
        <v>1.1499999999999999</v>
      </c>
      <c r="R299" s="712">
        <f t="shared" si="61"/>
        <v>0</v>
      </c>
      <c r="S299" s="360">
        <f t="shared" si="62"/>
        <v>0</v>
      </c>
    </row>
    <row r="300" spans="1:19">
      <c r="A300" s="3006"/>
      <c r="B300" s="714"/>
      <c r="C300" s="23">
        <f t="shared" si="53"/>
        <v>1</v>
      </c>
      <c r="D300" s="715"/>
      <c r="E300" s="23">
        <f t="shared" si="54"/>
        <v>0.03</v>
      </c>
      <c r="F300" s="715"/>
      <c r="G300" s="23">
        <f t="shared" si="55"/>
        <v>0.1</v>
      </c>
      <c r="H300" s="715"/>
      <c r="I300" s="23">
        <f t="shared" si="56"/>
        <v>1</v>
      </c>
      <c r="J300" s="715"/>
      <c r="K300" s="23">
        <f t="shared" si="57"/>
        <v>1</v>
      </c>
      <c r="L300" s="715"/>
      <c r="M300" s="23">
        <f t="shared" si="58"/>
        <v>1</v>
      </c>
      <c r="N300" s="715"/>
      <c r="O300" s="23">
        <f t="shared" si="59"/>
        <v>1</v>
      </c>
      <c r="P300" s="715" t="s">
        <v>3117</v>
      </c>
      <c r="Q300" s="23">
        <f t="shared" si="60"/>
        <v>1.1499999999999999</v>
      </c>
      <c r="R300" s="712">
        <f t="shared" si="61"/>
        <v>0</v>
      </c>
      <c r="S300" s="360">
        <f t="shared" si="62"/>
        <v>0</v>
      </c>
    </row>
    <row r="301" spans="1:19">
      <c r="A301" s="3006"/>
      <c r="B301" s="714"/>
      <c r="C301" s="23">
        <f t="shared" si="53"/>
        <v>1</v>
      </c>
      <c r="D301" s="715"/>
      <c r="E301" s="23">
        <f t="shared" si="54"/>
        <v>0.03</v>
      </c>
      <c r="F301" s="715"/>
      <c r="G301" s="23">
        <f t="shared" si="55"/>
        <v>0.1</v>
      </c>
      <c r="H301" s="715"/>
      <c r="I301" s="23">
        <f t="shared" si="56"/>
        <v>1</v>
      </c>
      <c r="J301" s="715"/>
      <c r="K301" s="23">
        <f t="shared" si="57"/>
        <v>1</v>
      </c>
      <c r="L301" s="715"/>
      <c r="M301" s="23">
        <f t="shared" si="58"/>
        <v>1</v>
      </c>
      <c r="N301" s="715"/>
      <c r="O301" s="23">
        <f t="shared" si="59"/>
        <v>1</v>
      </c>
      <c r="P301" s="715" t="s">
        <v>3117</v>
      </c>
      <c r="Q301" s="23">
        <f t="shared" si="60"/>
        <v>1.1499999999999999</v>
      </c>
      <c r="R301" s="712">
        <f t="shared" si="61"/>
        <v>0</v>
      </c>
      <c r="S301" s="360">
        <f t="shared" si="62"/>
        <v>0</v>
      </c>
    </row>
    <row r="302" spans="1:19">
      <c r="A302" s="3006"/>
      <c r="B302" s="714"/>
      <c r="C302" s="23">
        <f t="shared" si="53"/>
        <v>1</v>
      </c>
      <c r="D302" s="715"/>
      <c r="E302" s="23">
        <f t="shared" si="54"/>
        <v>0.03</v>
      </c>
      <c r="F302" s="715"/>
      <c r="G302" s="23">
        <f t="shared" si="55"/>
        <v>0.1</v>
      </c>
      <c r="H302" s="715"/>
      <c r="I302" s="23">
        <f t="shared" si="56"/>
        <v>1</v>
      </c>
      <c r="J302" s="715"/>
      <c r="K302" s="23">
        <f t="shared" si="57"/>
        <v>1</v>
      </c>
      <c r="L302" s="715"/>
      <c r="M302" s="23">
        <f t="shared" si="58"/>
        <v>1</v>
      </c>
      <c r="N302" s="715"/>
      <c r="O302" s="23">
        <f t="shared" si="59"/>
        <v>1</v>
      </c>
      <c r="P302" s="715" t="s">
        <v>3117</v>
      </c>
      <c r="Q302" s="23">
        <f t="shared" si="60"/>
        <v>1.1499999999999999</v>
      </c>
      <c r="R302" s="712">
        <f t="shared" si="61"/>
        <v>0</v>
      </c>
      <c r="S302" s="360">
        <f t="shared" si="62"/>
        <v>0</v>
      </c>
    </row>
    <row r="303" spans="1:19">
      <c r="A303" s="3006"/>
      <c r="B303" s="714"/>
      <c r="C303" s="23">
        <f t="shared" si="53"/>
        <v>1</v>
      </c>
      <c r="D303" s="715"/>
      <c r="E303" s="23">
        <f t="shared" si="54"/>
        <v>0.03</v>
      </c>
      <c r="F303" s="715"/>
      <c r="G303" s="23">
        <f t="shared" si="55"/>
        <v>0.1</v>
      </c>
      <c r="H303" s="715"/>
      <c r="I303" s="23">
        <f t="shared" si="56"/>
        <v>1</v>
      </c>
      <c r="J303" s="715"/>
      <c r="K303" s="23">
        <f t="shared" si="57"/>
        <v>1</v>
      </c>
      <c r="L303" s="715"/>
      <c r="M303" s="23">
        <f t="shared" si="58"/>
        <v>1</v>
      </c>
      <c r="N303" s="715"/>
      <c r="O303" s="23">
        <f t="shared" si="59"/>
        <v>1</v>
      </c>
      <c r="P303" s="715" t="s">
        <v>3117</v>
      </c>
      <c r="Q303" s="23">
        <f t="shared" si="60"/>
        <v>1.1499999999999999</v>
      </c>
      <c r="R303" s="712">
        <f t="shared" si="61"/>
        <v>0</v>
      </c>
      <c r="S303" s="360">
        <f t="shared" si="62"/>
        <v>0</v>
      </c>
    </row>
    <row r="304" spans="1:19">
      <c r="A304" s="3006"/>
      <c r="B304" s="714"/>
      <c r="C304" s="23">
        <f t="shared" si="53"/>
        <v>1</v>
      </c>
      <c r="D304" s="715"/>
      <c r="E304" s="23">
        <f t="shared" si="54"/>
        <v>0.03</v>
      </c>
      <c r="F304" s="715"/>
      <c r="G304" s="23">
        <f t="shared" si="55"/>
        <v>0.1</v>
      </c>
      <c r="H304" s="715"/>
      <c r="I304" s="23">
        <f t="shared" si="56"/>
        <v>1</v>
      </c>
      <c r="J304" s="715"/>
      <c r="K304" s="23">
        <f t="shared" si="57"/>
        <v>1</v>
      </c>
      <c r="L304" s="715"/>
      <c r="M304" s="23">
        <f t="shared" si="58"/>
        <v>1</v>
      </c>
      <c r="N304" s="715"/>
      <c r="O304" s="23">
        <f t="shared" si="59"/>
        <v>1</v>
      </c>
      <c r="P304" s="715" t="s">
        <v>3117</v>
      </c>
      <c r="Q304" s="23">
        <f t="shared" si="60"/>
        <v>1.1499999999999999</v>
      </c>
      <c r="R304" s="712">
        <f t="shared" si="61"/>
        <v>0</v>
      </c>
      <c r="S304" s="360">
        <f t="shared" si="62"/>
        <v>0</v>
      </c>
    </row>
    <row r="305" spans="1:19">
      <c r="A305" s="3006"/>
      <c r="B305" s="714"/>
      <c r="C305" s="23">
        <f t="shared" si="53"/>
        <v>1</v>
      </c>
      <c r="D305" s="715"/>
      <c r="E305" s="23">
        <f t="shared" si="54"/>
        <v>0.03</v>
      </c>
      <c r="F305" s="715"/>
      <c r="G305" s="23">
        <f t="shared" si="55"/>
        <v>0.1</v>
      </c>
      <c r="H305" s="715"/>
      <c r="I305" s="23">
        <f t="shared" si="56"/>
        <v>1</v>
      </c>
      <c r="J305" s="715"/>
      <c r="K305" s="23">
        <f t="shared" si="57"/>
        <v>1</v>
      </c>
      <c r="L305" s="715"/>
      <c r="M305" s="23">
        <f t="shared" si="58"/>
        <v>1</v>
      </c>
      <c r="N305" s="715"/>
      <c r="O305" s="23">
        <f t="shared" si="59"/>
        <v>1</v>
      </c>
      <c r="P305" s="715" t="s">
        <v>3117</v>
      </c>
      <c r="Q305" s="23">
        <f t="shared" si="60"/>
        <v>1.1499999999999999</v>
      </c>
      <c r="R305" s="712">
        <f t="shared" si="61"/>
        <v>0</v>
      </c>
      <c r="S305" s="360">
        <f t="shared" si="62"/>
        <v>0</v>
      </c>
    </row>
    <row r="306" spans="1:19">
      <c r="A306" s="3006"/>
      <c r="B306" s="714"/>
      <c r="C306" s="23">
        <f t="shared" si="53"/>
        <v>1</v>
      </c>
      <c r="D306" s="715"/>
      <c r="E306" s="23">
        <f t="shared" si="54"/>
        <v>0.03</v>
      </c>
      <c r="F306" s="715"/>
      <c r="G306" s="23">
        <f t="shared" si="55"/>
        <v>0.1</v>
      </c>
      <c r="H306" s="715"/>
      <c r="I306" s="23">
        <f t="shared" si="56"/>
        <v>1</v>
      </c>
      <c r="J306" s="715"/>
      <c r="K306" s="23">
        <f t="shared" si="57"/>
        <v>1</v>
      </c>
      <c r="L306" s="715"/>
      <c r="M306" s="23">
        <f t="shared" si="58"/>
        <v>1</v>
      </c>
      <c r="N306" s="715"/>
      <c r="O306" s="23">
        <f t="shared" si="59"/>
        <v>1</v>
      </c>
      <c r="P306" s="715" t="s">
        <v>3117</v>
      </c>
      <c r="Q306" s="23">
        <f t="shared" si="60"/>
        <v>1.1499999999999999</v>
      </c>
      <c r="R306" s="712">
        <f t="shared" si="61"/>
        <v>0</v>
      </c>
      <c r="S306" s="360">
        <f t="shared" si="62"/>
        <v>0</v>
      </c>
    </row>
    <row r="307" spans="1:19">
      <c r="A307" s="3006"/>
      <c r="B307" s="714"/>
      <c r="C307" s="23">
        <f t="shared" si="53"/>
        <v>1</v>
      </c>
      <c r="D307" s="715"/>
      <c r="E307" s="23">
        <f t="shared" si="54"/>
        <v>0.03</v>
      </c>
      <c r="F307" s="715"/>
      <c r="G307" s="23">
        <f t="shared" si="55"/>
        <v>0.1</v>
      </c>
      <c r="H307" s="715"/>
      <c r="I307" s="23">
        <f t="shared" si="56"/>
        <v>1</v>
      </c>
      <c r="J307" s="715"/>
      <c r="K307" s="23">
        <f t="shared" si="57"/>
        <v>1</v>
      </c>
      <c r="L307" s="715"/>
      <c r="M307" s="23">
        <f t="shared" si="58"/>
        <v>1</v>
      </c>
      <c r="N307" s="715"/>
      <c r="O307" s="23">
        <f t="shared" si="59"/>
        <v>1</v>
      </c>
      <c r="P307" s="715" t="s">
        <v>3117</v>
      </c>
      <c r="Q307" s="23">
        <f t="shared" si="60"/>
        <v>1.1499999999999999</v>
      </c>
      <c r="R307" s="712">
        <f t="shared" si="61"/>
        <v>0</v>
      </c>
      <c r="S307" s="360">
        <f t="shared" si="62"/>
        <v>0</v>
      </c>
    </row>
    <row r="308" spans="1:19">
      <c r="A308" s="3006"/>
      <c r="B308" s="714"/>
      <c r="C308" s="23">
        <f t="shared" si="53"/>
        <v>1</v>
      </c>
      <c r="D308" s="715"/>
      <c r="E308" s="23">
        <f t="shared" si="54"/>
        <v>0.03</v>
      </c>
      <c r="F308" s="715"/>
      <c r="G308" s="23">
        <f t="shared" si="55"/>
        <v>0.1</v>
      </c>
      <c r="H308" s="715"/>
      <c r="I308" s="23">
        <f t="shared" si="56"/>
        <v>1</v>
      </c>
      <c r="J308" s="715"/>
      <c r="K308" s="23">
        <f t="shared" si="57"/>
        <v>1</v>
      </c>
      <c r="L308" s="715"/>
      <c r="M308" s="23">
        <f t="shared" si="58"/>
        <v>1</v>
      </c>
      <c r="N308" s="715"/>
      <c r="O308" s="23">
        <f t="shared" si="59"/>
        <v>1</v>
      </c>
      <c r="P308" s="715" t="s">
        <v>3117</v>
      </c>
      <c r="Q308" s="23">
        <f t="shared" si="60"/>
        <v>1.1499999999999999</v>
      </c>
      <c r="R308" s="712">
        <f t="shared" si="61"/>
        <v>0</v>
      </c>
      <c r="S308" s="360">
        <f t="shared" si="62"/>
        <v>0</v>
      </c>
    </row>
    <row r="309" spans="1:19">
      <c r="A309" s="3006"/>
      <c r="B309" s="714"/>
      <c r="C309" s="23">
        <f t="shared" si="53"/>
        <v>1</v>
      </c>
      <c r="D309" s="715"/>
      <c r="E309" s="23">
        <f t="shared" si="54"/>
        <v>0.03</v>
      </c>
      <c r="F309" s="715"/>
      <c r="G309" s="23">
        <f t="shared" si="55"/>
        <v>0.1</v>
      </c>
      <c r="H309" s="715"/>
      <c r="I309" s="23">
        <f t="shared" si="56"/>
        <v>1</v>
      </c>
      <c r="J309" s="715"/>
      <c r="K309" s="23">
        <f t="shared" si="57"/>
        <v>1</v>
      </c>
      <c r="L309" s="715"/>
      <c r="M309" s="23">
        <f t="shared" si="58"/>
        <v>1</v>
      </c>
      <c r="N309" s="715"/>
      <c r="O309" s="23">
        <f t="shared" si="59"/>
        <v>1</v>
      </c>
      <c r="P309" s="715" t="s">
        <v>3117</v>
      </c>
      <c r="Q309" s="23">
        <f t="shared" si="60"/>
        <v>1.1499999999999999</v>
      </c>
      <c r="R309" s="712">
        <f t="shared" si="61"/>
        <v>0</v>
      </c>
      <c r="S309" s="360">
        <f t="shared" si="62"/>
        <v>0</v>
      </c>
    </row>
    <row r="310" spans="1:19">
      <c r="A310" s="3006"/>
      <c r="B310" s="714"/>
      <c r="C310" s="23">
        <f t="shared" si="53"/>
        <v>1</v>
      </c>
      <c r="D310" s="715"/>
      <c r="E310" s="23">
        <f t="shared" si="54"/>
        <v>0.03</v>
      </c>
      <c r="F310" s="715"/>
      <c r="G310" s="23">
        <f t="shared" si="55"/>
        <v>0.1</v>
      </c>
      <c r="H310" s="715"/>
      <c r="I310" s="23">
        <f t="shared" si="56"/>
        <v>1</v>
      </c>
      <c r="J310" s="715"/>
      <c r="K310" s="23">
        <f t="shared" si="57"/>
        <v>1</v>
      </c>
      <c r="L310" s="715"/>
      <c r="M310" s="23">
        <f t="shared" si="58"/>
        <v>1</v>
      </c>
      <c r="N310" s="715"/>
      <c r="O310" s="23">
        <f t="shared" si="59"/>
        <v>1</v>
      </c>
      <c r="P310" s="715" t="s">
        <v>3117</v>
      </c>
      <c r="Q310" s="23">
        <f t="shared" si="60"/>
        <v>1.1499999999999999</v>
      </c>
      <c r="R310" s="712">
        <f t="shared" si="61"/>
        <v>0</v>
      </c>
      <c r="S310" s="360">
        <f t="shared" si="62"/>
        <v>0</v>
      </c>
    </row>
    <row r="311" spans="1:19">
      <c r="A311" s="3006"/>
      <c r="B311" s="714"/>
      <c r="C311" s="23">
        <f t="shared" si="53"/>
        <v>1</v>
      </c>
      <c r="D311" s="715"/>
      <c r="E311" s="23">
        <f t="shared" si="54"/>
        <v>0.03</v>
      </c>
      <c r="F311" s="715"/>
      <c r="G311" s="23">
        <f t="shared" si="55"/>
        <v>0.1</v>
      </c>
      <c r="H311" s="715"/>
      <c r="I311" s="23">
        <f t="shared" si="56"/>
        <v>1</v>
      </c>
      <c r="J311" s="715"/>
      <c r="K311" s="23">
        <f t="shared" si="57"/>
        <v>1</v>
      </c>
      <c r="L311" s="715"/>
      <c r="M311" s="23">
        <f t="shared" si="58"/>
        <v>1</v>
      </c>
      <c r="N311" s="715"/>
      <c r="O311" s="23">
        <f t="shared" si="59"/>
        <v>1</v>
      </c>
      <c r="P311" s="715" t="s">
        <v>3117</v>
      </c>
      <c r="Q311" s="23">
        <f t="shared" si="60"/>
        <v>1.1499999999999999</v>
      </c>
      <c r="R311" s="712">
        <f t="shared" si="61"/>
        <v>0</v>
      </c>
      <c r="S311" s="360">
        <f t="shared" si="62"/>
        <v>0</v>
      </c>
    </row>
    <row r="312" spans="1:19">
      <c r="A312" s="3006"/>
      <c r="B312" s="714"/>
      <c r="C312" s="23">
        <f t="shared" si="53"/>
        <v>1</v>
      </c>
      <c r="D312" s="715"/>
      <c r="E312" s="23">
        <f t="shared" si="54"/>
        <v>0.03</v>
      </c>
      <c r="F312" s="715"/>
      <c r="G312" s="23">
        <f t="shared" si="55"/>
        <v>0.1</v>
      </c>
      <c r="H312" s="715"/>
      <c r="I312" s="23">
        <f t="shared" si="56"/>
        <v>1</v>
      </c>
      <c r="J312" s="715"/>
      <c r="K312" s="23">
        <f t="shared" si="57"/>
        <v>1</v>
      </c>
      <c r="L312" s="715"/>
      <c r="M312" s="23">
        <f t="shared" si="58"/>
        <v>1</v>
      </c>
      <c r="N312" s="715"/>
      <c r="O312" s="23">
        <f t="shared" si="59"/>
        <v>1</v>
      </c>
      <c r="P312" s="715" t="s">
        <v>3117</v>
      </c>
      <c r="Q312" s="23">
        <f t="shared" si="60"/>
        <v>1.1499999999999999</v>
      </c>
      <c r="R312" s="712">
        <f t="shared" si="61"/>
        <v>0</v>
      </c>
      <c r="S312" s="360">
        <f t="shared" si="62"/>
        <v>0</v>
      </c>
    </row>
    <row r="313" spans="1:19">
      <c r="A313" s="3006"/>
      <c r="B313" s="714"/>
      <c r="C313" s="23">
        <f t="shared" si="53"/>
        <v>1</v>
      </c>
      <c r="D313" s="715"/>
      <c r="E313" s="23">
        <f t="shared" si="54"/>
        <v>0.03</v>
      </c>
      <c r="F313" s="715"/>
      <c r="G313" s="23">
        <f t="shared" si="55"/>
        <v>0.1</v>
      </c>
      <c r="H313" s="715"/>
      <c r="I313" s="23">
        <f t="shared" si="56"/>
        <v>1</v>
      </c>
      <c r="J313" s="715"/>
      <c r="K313" s="23">
        <f t="shared" si="57"/>
        <v>1</v>
      </c>
      <c r="L313" s="715"/>
      <c r="M313" s="23">
        <f t="shared" si="58"/>
        <v>1</v>
      </c>
      <c r="N313" s="715"/>
      <c r="O313" s="23">
        <f t="shared" si="59"/>
        <v>1</v>
      </c>
      <c r="P313" s="715" t="s">
        <v>3117</v>
      </c>
      <c r="Q313" s="23">
        <f t="shared" si="60"/>
        <v>1.1499999999999999</v>
      </c>
      <c r="R313" s="712">
        <f t="shared" si="61"/>
        <v>0</v>
      </c>
      <c r="S313" s="360">
        <f t="shared" si="62"/>
        <v>0</v>
      </c>
    </row>
    <row r="314" spans="1:19">
      <c r="A314" s="3006"/>
      <c r="B314" s="714"/>
      <c r="C314" s="23">
        <f t="shared" si="53"/>
        <v>1</v>
      </c>
      <c r="D314" s="715"/>
      <c r="E314" s="23">
        <f t="shared" si="54"/>
        <v>0.03</v>
      </c>
      <c r="F314" s="715"/>
      <c r="G314" s="23">
        <f t="shared" si="55"/>
        <v>0.1</v>
      </c>
      <c r="H314" s="715"/>
      <c r="I314" s="23">
        <f t="shared" si="56"/>
        <v>1</v>
      </c>
      <c r="J314" s="715"/>
      <c r="K314" s="23">
        <f t="shared" si="57"/>
        <v>1</v>
      </c>
      <c r="L314" s="715"/>
      <c r="M314" s="23">
        <f t="shared" si="58"/>
        <v>1</v>
      </c>
      <c r="N314" s="715"/>
      <c r="O314" s="23">
        <f t="shared" si="59"/>
        <v>1</v>
      </c>
      <c r="P314" s="715" t="s">
        <v>3117</v>
      </c>
      <c r="Q314" s="23">
        <f t="shared" si="60"/>
        <v>1.1499999999999999</v>
      </c>
      <c r="R314" s="712">
        <f t="shared" si="61"/>
        <v>0</v>
      </c>
      <c r="S314" s="360">
        <f t="shared" si="62"/>
        <v>0</v>
      </c>
    </row>
    <row r="315" spans="1:19">
      <c r="A315" s="3006"/>
      <c r="B315" s="714"/>
      <c r="C315" s="23">
        <f t="shared" si="53"/>
        <v>1</v>
      </c>
      <c r="D315" s="715"/>
      <c r="E315" s="23">
        <f t="shared" si="54"/>
        <v>0.03</v>
      </c>
      <c r="F315" s="715"/>
      <c r="G315" s="23">
        <f t="shared" si="55"/>
        <v>0.1</v>
      </c>
      <c r="H315" s="715"/>
      <c r="I315" s="23">
        <f t="shared" si="56"/>
        <v>1</v>
      </c>
      <c r="J315" s="715"/>
      <c r="K315" s="23">
        <f t="shared" si="57"/>
        <v>1</v>
      </c>
      <c r="L315" s="715"/>
      <c r="M315" s="23">
        <f t="shared" si="58"/>
        <v>1</v>
      </c>
      <c r="N315" s="715"/>
      <c r="O315" s="23">
        <f t="shared" si="59"/>
        <v>1</v>
      </c>
      <c r="P315" s="715" t="s">
        <v>3212</v>
      </c>
      <c r="Q315" s="23">
        <f t="shared" si="60"/>
        <v>1</v>
      </c>
      <c r="R315" s="712">
        <f t="shared" si="61"/>
        <v>0</v>
      </c>
      <c r="S315" s="360">
        <f t="shared" si="62"/>
        <v>0</v>
      </c>
    </row>
    <row r="316" spans="1:19">
      <c r="A316" s="3006"/>
      <c r="B316" s="714"/>
      <c r="C316" s="23">
        <f t="shared" si="53"/>
        <v>1</v>
      </c>
      <c r="D316" s="715"/>
      <c r="E316" s="23">
        <f t="shared" si="54"/>
        <v>0.03</v>
      </c>
      <c r="F316" s="715"/>
      <c r="G316" s="23">
        <f t="shared" si="55"/>
        <v>0.1</v>
      </c>
      <c r="H316" s="715"/>
      <c r="I316" s="23">
        <f t="shared" si="56"/>
        <v>1</v>
      </c>
      <c r="J316" s="715"/>
      <c r="K316" s="23">
        <f t="shared" si="57"/>
        <v>1</v>
      </c>
      <c r="L316" s="715"/>
      <c r="M316" s="23">
        <f t="shared" si="58"/>
        <v>1</v>
      </c>
      <c r="N316" s="715"/>
      <c r="O316" s="23">
        <f t="shared" si="59"/>
        <v>1</v>
      </c>
      <c r="P316" s="715" t="s">
        <v>3212</v>
      </c>
      <c r="Q316" s="23">
        <f t="shared" si="60"/>
        <v>1</v>
      </c>
      <c r="R316" s="712">
        <f t="shared" si="61"/>
        <v>0</v>
      </c>
      <c r="S316" s="360">
        <f t="shared" si="62"/>
        <v>0</v>
      </c>
    </row>
    <row r="317" spans="1:19">
      <c r="A317" s="3006"/>
      <c r="B317" s="714"/>
      <c r="C317" s="23">
        <f t="shared" si="53"/>
        <v>1</v>
      </c>
      <c r="D317" s="715"/>
      <c r="E317" s="23">
        <f t="shared" si="54"/>
        <v>0.03</v>
      </c>
      <c r="F317" s="715"/>
      <c r="G317" s="23">
        <f t="shared" si="55"/>
        <v>0.1</v>
      </c>
      <c r="H317" s="715"/>
      <c r="I317" s="23">
        <f t="shared" si="56"/>
        <v>1</v>
      </c>
      <c r="J317" s="715"/>
      <c r="K317" s="23">
        <f t="shared" si="57"/>
        <v>1</v>
      </c>
      <c r="L317" s="715"/>
      <c r="M317" s="23">
        <f t="shared" si="58"/>
        <v>1</v>
      </c>
      <c r="N317" s="715"/>
      <c r="O317" s="23">
        <f t="shared" si="59"/>
        <v>1</v>
      </c>
      <c r="P317" s="715" t="s">
        <v>3212</v>
      </c>
      <c r="Q317" s="23">
        <f t="shared" si="60"/>
        <v>1</v>
      </c>
      <c r="R317" s="712">
        <f t="shared" si="61"/>
        <v>0</v>
      </c>
      <c r="S317" s="360">
        <f t="shared" si="62"/>
        <v>0</v>
      </c>
    </row>
    <row r="318" spans="1:19">
      <c r="A318" s="3006"/>
      <c r="B318" s="714"/>
      <c r="C318" s="23">
        <f t="shared" si="53"/>
        <v>1</v>
      </c>
      <c r="D318" s="715"/>
      <c r="E318" s="23">
        <f t="shared" si="54"/>
        <v>0.03</v>
      </c>
      <c r="F318" s="715"/>
      <c r="G318" s="23">
        <f t="shared" si="55"/>
        <v>0.1</v>
      </c>
      <c r="H318" s="715"/>
      <c r="I318" s="23">
        <f t="shared" si="56"/>
        <v>1</v>
      </c>
      <c r="J318" s="715"/>
      <c r="K318" s="23">
        <f t="shared" si="57"/>
        <v>1</v>
      </c>
      <c r="L318" s="715"/>
      <c r="M318" s="23">
        <f t="shared" si="58"/>
        <v>1</v>
      </c>
      <c r="N318" s="715"/>
      <c r="O318" s="23">
        <f t="shared" si="59"/>
        <v>1</v>
      </c>
      <c r="P318" s="715" t="s">
        <v>3212</v>
      </c>
      <c r="Q318" s="23">
        <f t="shared" si="60"/>
        <v>1</v>
      </c>
      <c r="R318" s="712">
        <f t="shared" si="61"/>
        <v>0</v>
      </c>
      <c r="S318" s="360">
        <f t="shared" si="62"/>
        <v>0</v>
      </c>
    </row>
    <row r="319" spans="1:19">
      <c r="A319" s="3006"/>
      <c r="B319" s="714"/>
      <c r="C319" s="23">
        <f t="shared" si="53"/>
        <v>1</v>
      </c>
      <c r="D319" s="715"/>
      <c r="E319" s="23">
        <f t="shared" si="54"/>
        <v>0.03</v>
      </c>
      <c r="F319" s="715"/>
      <c r="G319" s="23">
        <f t="shared" si="55"/>
        <v>0.1</v>
      </c>
      <c r="H319" s="715"/>
      <c r="I319" s="23">
        <f t="shared" si="56"/>
        <v>1</v>
      </c>
      <c r="J319" s="715"/>
      <c r="K319" s="23">
        <f t="shared" si="57"/>
        <v>1</v>
      </c>
      <c r="L319" s="715"/>
      <c r="M319" s="23">
        <f t="shared" si="58"/>
        <v>1</v>
      </c>
      <c r="N319" s="715"/>
      <c r="O319" s="23">
        <f t="shared" si="59"/>
        <v>1</v>
      </c>
      <c r="P319" s="715" t="s">
        <v>3212</v>
      </c>
      <c r="Q319" s="23">
        <f t="shared" si="60"/>
        <v>1</v>
      </c>
      <c r="R319" s="712">
        <f t="shared" si="61"/>
        <v>0</v>
      </c>
      <c r="S319" s="360">
        <f t="shared" si="62"/>
        <v>0</v>
      </c>
    </row>
    <row r="320" spans="1:19">
      <c r="A320" s="3006"/>
      <c r="B320" s="714"/>
      <c r="C320" s="23">
        <f t="shared" si="53"/>
        <v>1</v>
      </c>
      <c r="D320" s="715"/>
      <c r="E320" s="23">
        <f t="shared" si="54"/>
        <v>0.03</v>
      </c>
      <c r="F320" s="715"/>
      <c r="G320" s="23">
        <f t="shared" si="55"/>
        <v>0.1</v>
      </c>
      <c r="H320" s="715"/>
      <c r="I320" s="23">
        <f t="shared" si="56"/>
        <v>1</v>
      </c>
      <c r="J320" s="715"/>
      <c r="K320" s="23">
        <f t="shared" si="57"/>
        <v>1</v>
      </c>
      <c r="L320" s="715"/>
      <c r="M320" s="23">
        <f t="shared" si="58"/>
        <v>1</v>
      </c>
      <c r="N320" s="715"/>
      <c r="O320" s="23">
        <f t="shared" si="59"/>
        <v>1</v>
      </c>
      <c r="P320" s="715" t="s">
        <v>3117</v>
      </c>
      <c r="Q320" s="23">
        <f t="shared" si="60"/>
        <v>1.1499999999999999</v>
      </c>
      <c r="R320" s="712">
        <f t="shared" si="61"/>
        <v>0</v>
      </c>
      <c r="S320" s="360">
        <f t="shared" si="62"/>
        <v>0</v>
      </c>
    </row>
    <row r="321" spans="1:19">
      <c r="A321" s="3006"/>
      <c r="B321" s="714"/>
      <c r="C321" s="23">
        <f t="shared" si="53"/>
        <v>1</v>
      </c>
      <c r="D321" s="715"/>
      <c r="E321" s="23">
        <f t="shared" si="54"/>
        <v>0.03</v>
      </c>
      <c r="F321" s="715"/>
      <c r="G321" s="23">
        <f t="shared" si="55"/>
        <v>0.1</v>
      </c>
      <c r="H321" s="715"/>
      <c r="I321" s="23">
        <f t="shared" si="56"/>
        <v>1</v>
      </c>
      <c r="J321" s="715"/>
      <c r="K321" s="23">
        <f t="shared" si="57"/>
        <v>1</v>
      </c>
      <c r="L321" s="715"/>
      <c r="M321" s="23">
        <f t="shared" si="58"/>
        <v>1</v>
      </c>
      <c r="N321" s="715"/>
      <c r="O321" s="23">
        <f t="shared" si="59"/>
        <v>1</v>
      </c>
      <c r="P321" s="715" t="s">
        <v>3117</v>
      </c>
      <c r="Q321" s="23">
        <f t="shared" si="60"/>
        <v>1.1499999999999999</v>
      </c>
      <c r="R321" s="712">
        <f t="shared" si="61"/>
        <v>0</v>
      </c>
      <c r="S321" s="360">
        <f t="shared" ref="S321:S384" si="63">ROUND(R321*B321/10000,0)</f>
        <v>0</v>
      </c>
    </row>
    <row r="322" spans="1:19">
      <c r="A322" s="3006"/>
      <c r="B322" s="714"/>
      <c r="C322" s="23">
        <f t="shared" si="53"/>
        <v>1</v>
      </c>
      <c r="D322" s="715"/>
      <c r="E322" s="23">
        <f t="shared" si="54"/>
        <v>0.03</v>
      </c>
      <c r="F322" s="715"/>
      <c r="G322" s="23">
        <f t="shared" si="55"/>
        <v>0.1</v>
      </c>
      <c r="H322" s="715"/>
      <c r="I322" s="23">
        <f t="shared" si="56"/>
        <v>1</v>
      </c>
      <c r="J322" s="715"/>
      <c r="K322" s="23">
        <f t="shared" si="57"/>
        <v>1</v>
      </c>
      <c r="L322" s="715"/>
      <c r="M322" s="23">
        <f t="shared" si="58"/>
        <v>1</v>
      </c>
      <c r="N322" s="715"/>
      <c r="O322" s="23">
        <f t="shared" si="59"/>
        <v>1</v>
      </c>
      <c r="P322" s="715" t="s">
        <v>3117</v>
      </c>
      <c r="Q322" s="23">
        <f t="shared" si="60"/>
        <v>1.1499999999999999</v>
      </c>
      <c r="R322" s="712">
        <f t="shared" si="61"/>
        <v>0</v>
      </c>
      <c r="S322" s="360">
        <f t="shared" si="63"/>
        <v>0</v>
      </c>
    </row>
    <row r="323" spans="1:19">
      <c r="A323" s="3006"/>
      <c r="B323" s="714"/>
      <c r="C323" s="23">
        <f t="shared" si="53"/>
        <v>1</v>
      </c>
      <c r="D323" s="715"/>
      <c r="E323" s="23">
        <f t="shared" si="54"/>
        <v>0.03</v>
      </c>
      <c r="F323" s="715"/>
      <c r="G323" s="23">
        <f t="shared" si="55"/>
        <v>0.1</v>
      </c>
      <c r="H323" s="715"/>
      <c r="I323" s="23">
        <f t="shared" si="56"/>
        <v>1</v>
      </c>
      <c r="J323" s="715"/>
      <c r="K323" s="23">
        <f t="shared" si="57"/>
        <v>1</v>
      </c>
      <c r="L323" s="715"/>
      <c r="M323" s="23">
        <f t="shared" si="58"/>
        <v>1</v>
      </c>
      <c r="N323" s="715"/>
      <c r="O323" s="23">
        <f t="shared" si="59"/>
        <v>1</v>
      </c>
      <c r="P323" s="715" t="s">
        <v>3117</v>
      </c>
      <c r="Q323" s="23">
        <f t="shared" si="60"/>
        <v>1.1499999999999999</v>
      </c>
      <c r="R323" s="712">
        <f t="shared" si="61"/>
        <v>0</v>
      </c>
      <c r="S323" s="360">
        <f t="shared" si="63"/>
        <v>0</v>
      </c>
    </row>
    <row r="324" spans="1:19">
      <c r="A324" s="3006"/>
      <c r="B324" s="714"/>
      <c r="C324" s="23">
        <f t="shared" si="53"/>
        <v>1</v>
      </c>
      <c r="D324" s="715"/>
      <c r="E324" s="23">
        <f t="shared" si="54"/>
        <v>0.03</v>
      </c>
      <c r="F324" s="715"/>
      <c r="G324" s="23">
        <f t="shared" si="55"/>
        <v>0.1</v>
      </c>
      <c r="H324" s="715"/>
      <c r="I324" s="23">
        <f t="shared" si="56"/>
        <v>1</v>
      </c>
      <c r="J324" s="715"/>
      <c r="K324" s="23">
        <f t="shared" si="57"/>
        <v>1</v>
      </c>
      <c r="L324" s="715"/>
      <c r="M324" s="23">
        <f t="shared" si="58"/>
        <v>1</v>
      </c>
      <c r="N324" s="715"/>
      <c r="O324" s="23">
        <f t="shared" si="59"/>
        <v>1</v>
      </c>
      <c r="P324" s="715" t="s">
        <v>3117</v>
      </c>
      <c r="Q324" s="23">
        <f t="shared" si="60"/>
        <v>1.1499999999999999</v>
      </c>
      <c r="R324" s="712">
        <f t="shared" si="61"/>
        <v>0</v>
      </c>
      <c r="S324" s="360">
        <f t="shared" si="63"/>
        <v>0</v>
      </c>
    </row>
    <row r="325" spans="1:19">
      <c r="A325" s="3006"/>
      <c r="B325" s="714"/>
      <c r="C325" s="23">
        <f t="shared" si="53"/>
        <v>1</v>
      </c>
      <c r="D325" s="715"/>
      <c r="E325" s="23">
        <f t="shared" si="54"/>
        <v>0.03</v>
      </c>
      <c r="F325" s="715"/>
      <c r="G325" s="23">
        <f t="shared" si="55"/>
        <v>0.1</v>
      </c>
      <c r="H325" s="715"/>
      <c r="I325" s="23">
        <f t="shared" si="56"/>
        <v>1</v>
      </c>
      <c r="J325" s="715"/>
      <c r="K325" s="23">
        <f t="shared" si="57"/>
        <v>1</v>
      </c>
      <c r="L325" s="715"/>
      <c r="M325" s="23">
        <f t="shared" si="58"/>
        <v>1</v>
      </c>
      <c r="N325" s="715"/>
      <c r="O325" s="23">
        <f t="shared" si="59"/>
        <v>1</v>
      </c>
      <c r="P325" s="715" t="s">
        <v>3117</v>
      </c>
      <c r="Q325" s="23">
        <f t="shared" si="60"/>
        <v>1.1499999999999999</v>
      </c>
      <c r="R325" s="712">
        <f t="shared" si="61"/>
        <v>0</v>
      </c>
      <c r="S325" s="360">
        <f t="shared" si="63"/>
        <v>0</v>
      </c>
    </row>
    <row r="326" spans="1:19">
      <c r="A326" s="3006"/>
      <c r="B326" s="714"/>
      <c r="C326" s="23">
        <f t="shared" si="53"/>
        <v>1</v>
      </c>
      <c r="D326" s="715"/>
      <c r="E326" s="23">
        <f t="shared" si="54"/>
        <v>0.03</v>
      </c>
      <c r="F326" s="715"/>
      <c r="G326" s="23">
        <f t="shared" si="55"/>
        <v>0.1</v>
      </c>
      <c r="H326" s="715"/>
      <c r="I326" s="23">
        <f t="shared" si="56"/>
        <v>1</v>
      </c>
      <c r="J326" s="715"/>
      <c r="K326" s="23">
        <f t="shared" si="57"/>
        <v>1</v>
      </c>
      <c r="L326" s="715"/>
      <c r="M326" s="23">
        <f t="shared" si="58"/>
        <v>1</v>
      </c>
      <c r="N326" s="715"/>
      <c r="O326" s="23">
        <f t="shared" si="59"/>
        <v>1</v>
      </c>
      <c r="P326" s="715" t="s">
        <v>3117</v>
      </c>
      <c r="Q326" s="23">
        <f t="shared" si="60"/>
        <v>1.1499999999999999</v>
      </c>
      <c r="R326" s="712">
        <f t="shared" si="61"/>
        <v>0</v>
      </c>
      <c r="S326" s="360">
        <f t="shared" si="63"/>
        <v>0</v>
      </c>
    </row>
    <row r="327" spans="1:19">
      <c r="A327" s="3006"/>
      <c r="B327" s="714"/>
      <c r="C327" s="23">
        <f t="shared" si="53"/>
        <v>1</v>
      </c>
      <c r="D327" s="715"/>
      <c r="E327" s="23">
        <f t="shared" si="54"/>
        <v>0.03</v>
      </c>
      <c r="F327" s="715"/>
      <c r="G327" s="23">
        <f t="shared" si="55"/>
        <v>0.1</v>
      </c>
      <c r="H327" s="715"/>
      <c r="I327" s="23">
        <f t="shared" si="56"/>
        <v>1</v>
      </c>
      <c r="J327" s="715"/>
      <c r="K327" s="23">
        <f t="shared" si="57"/>
        <v>1</v>
      </c>
      <c r="L327" s="715"/>
      <c r="M327" s="23">
        <f t="shared" si="58"/>
        <v>1</v>
      </c>
      <c r="N327" s="715"/>
      <c r="O327" s="23">
        <f t="shared" si="59"/>
        <v>1</v>
      </c>
      <c r="P327" s="715" t="s">
        <v>3117</v>
      </c>
      <c r="Q327" s="23">
        <f t="shared" si="60"/>
        <v>1.1499999999999999</v>
      </c>
      <c r="R327" s="712">
        <f t="shared" si="61"/>
        <v>0</v>
      </c>
      <c r="S327" s="360">
        <f t="shared" si="63"/>
        <v>0</v>
      </c>
    </row>
    <row r="328" spans="1:19">
      <c r="A328" s="3006"/>
      <c r="B328" s="714"/>
      <c r="C328" s="23">
        <f t="shared" si="53"/>
        <v>1</v>
      </c>
      <c r="D328" s="715"/>
      <c r="E328" s="23">
        <f t="shared" si="54"/>
        <v>0.03</v>
      </c>
      <c r="F328" s="715"/>
      <c r="G328" s="23">
        <f t="shared" si="55"/>
        <v>0.1</v>
      </c>
      <c r="H328" s="715"/>
      <c r="I328" s="23">
        <f t="shared" si="56"/>
        <v>1</v>
      </c>
      <c r="J328" s="715"/>
      <c r="K328" s="23">
        <f t="shared" si="57"/>
        <v>1</v>
      </c>
      <c r="L328" s="715"/>
      <c r="M328" s="23">
        <f t="shared" si="58"/>
        <v>1</v>
      </c>
      <c r="N328" s="715"/>
      <c r="O328" s="23">
        <f t="shared" si="59"/>
        <v>1</v>
      </c>
      <c r="P328" s="715" t="s">
        <v>3117</v>
      </c>
      <c r="Q328" s="23">
        <f t="shared" si="60"/>
        <v>1.1499999999999999</v>
      </c>
      <c r="R328" s="712">
        <f t="shared" si="61"/>
        <v>0</v>
      </c>
      <c r="S328" s="360">
        <f t="shared" si="63"/>
        <v>0</v>
      </c>
    </row>
    <row r="329" spans="1:19">
      <c r="A329" s="3006"/>
      <c r="B329" s="714"/>
      <c r="C329" s="23">
        <f t="shared" si="53"/>
        <v>1</v>
      </c>
      <c r="D329" s="715"/>
      <c r="E329" s="23">
        <f t="shared" si="54"/>
        <v>0.03</v>
      </c>
      <c r="F329" s="715"/>
      <c r="G329" s="23">
        <f t="shared" si="55"/>
        <v>0.1</v>
      </c>
      <c r="H329" s="715"/>
      <c r="I329" s="23">
        <f t="shared" si="56"/>
        <v>1</v>
      </c>
      <c r="J329" s="715"/>
      <c r="K329" s="23">
        <f t="shared" si="57"/>
        <v>1</v>
      </c>
      <c r="L329" s="715"/>
      <c r="M329" s="23">
        <f t="shared" si="58"/>
        <v>1</v>
      </c>
      <c r="N329" s="715"/>
      <c r="O329" s="23">
        <f t="shared" si="59"/>
        <v>1</v>
      </c>
      <c r="P329" s="715" t="s">
        <v>3117</v>
      </c>
      <c r="Q329" s="23">
        <f t="shared" si="60"/>
        <v>1.1499999999999999</v>
      </c>
      <c r="R329" s="712">
        <f t="shared" si="61"/>
        <v>0</v>
      </c>
      <c r="S329" s="360">
        <f t="shared" si="63"/>
        <v>0</v>
      </c>
    </row>
    <row r="330" spans="1:19">
      <c r="A330" s="3006"/>
      <c r="B330" s="714"/>
      <c r="C330" s="23">
        <f t="shared" si="53"/>
        <v>1</v>
      </c>
      <c r="D330" s="715"/>
      <c r="E330" s="23">
        <f t="shared" si="54"/>
        <v>0.03</v>
      </c>
      <c r="F330" s="715"/>
      <c r="G330" s="23">
        <f t="shared" si="55"/>
        <v>0.1</v>
      </c>
      <c r="H330" s="715"/>
      <c r="I330" s="23">
        <f t="shared" si="56"/>
        <v>1</v>
      </c>
      <c r="J330" s="715"/>
      <c r="K330" s="23">
        <f t="shared" si="57"/>
        <v>1</v>
      </c>
      <c r="L330" s="715"/>
      <c r="M330" s="23">
        <f t="shared" si="58"/>
        <v>1</v>
      </c>
      <c r="N330" s="715"/>
      <c r="O330" s="23">
        <f t="shared" si="59"/>
        <v>1</v>
      </c>
      <c r="P330" s="715" t="s">
        <v>3117</v>
      </c>
      <c r="Q330" s="23">
        <f t="shared" si="60"/>
        <v>1.1499999999999999</v>
      </c>
      <c r="R330" s="712">
        <f t="shared" si="61"/>
        <v>0</v>
      </c>
      <c r="S330" s="360">
        <f t="shared" si="63"/>
        <v>0</v>
      </c>
    </row>
    <row r="331" spans="1:19">
      <c r="A331" s="3006"/>
      <c r="B331" s="714"/>
      <c r="C331" s="23">
        <f t="shared" si="53"/>
        <v>1</v>
      </c>
      <c r="D331" s="715"/>
      <c r="E331" s="23">
        <f t="shared" si="54"/>
        <v>0.03</v>
      </c>
      <c r="F331" s="715"/>
      <c r="G331" s="23">
        <f t="shared" si="55"/>
        <v>0.1</v>
      </c>
      <c r="H331" s="715"/>
      <c r="I331" s="23">
        <f t="shared" si="56"/>
        <v>1</v>
      </c>
      <c r="J331" s="715"/>
      <c r="K331" s="23">
        <f t="shared" si="57"/>
        <v>1</v>
      </c>
      <c r="L331" s="715"/>
      <c r="M331" s="23">
        <f t="shared" si="58"/>
        <v>1</v>
      </c>
      <c r="N331" s="715"/>
      <c r="O331" s="23">
        <f t="shared" si="59"/>
        <v>1</v>
      </c>
      <c r="P331" s="715" t="s">
        <v>3117</v>
      </c>
      <c r="Q331" s="23">
        <f t="shared" si="60"/>
        <v>1.1499999999999999</v>
      </c>
      <c r="R331" s="712">
        <f t="shared" si="61"/>
        <v>0</v>
      </c>
      <c r="S331" s="360">
        <f t="shared" si="63"/>
        <v>0</v>
      </c>
    </row>
    <row r="332" spans="1:19" ht="13.5" customHeight="1">
      <c r="A332" s="3006"/>
      <c r="B332" s="714"/>
      <c r="C332" s="23">
        <f t="shared" si="53"/>
        <v>1</v>
      </c>
      <c r="D332" s="715"/>
      <c r="E332" s="23">
        <f t="shared" si="54"/>
        <v>0.03</v>
      </c>
      <c r="F332" s="715"/>
      <c r="G332" s="23">
        <f t="shared" si="55"/>
        <v>0.1</v>
      </c>
      <c r="H332" s="715"/>
      <c r="I332" s="23">
        <f t="shared" si="56"/>
        <v>1</v>
      </c>
      <c r="J332" s="715"/>
      <c r="K332" s="23">
        <f t="shared" si="57"/>
        <v>1</v>
      </c>
      <c r="L332" s="715"/>
      <c r="M332" s="23">
        <f t="shared" si="58"/>
        <v>1</v>
      </c>
      <c r="N332" s="715"/>
      <c r="O332" s="23">
        <f t="shared" si="59"/>
        <v>1</v>
      </c>
      <c r="P332" s="715" t="s">
        <v>3117</v>
      </c>
      <c r="Q332" s="23">
        <f t="shared" si="60"/>
        <v>1.1499999999999999</v>
      </c>
      <c r="R332" s="712">
        <f t="shared" si="61"/>
        <v>0</v>
      </c>
      <c r="S332" s="360">
        <f t="shared" si="63"/>
        <v>0</v>
      </c>
    </row>
    <row r="333" spans="1:19">
      <c r="A333" s="3006"/>
      <c r="B333" s="714"/>
      <c r="C333" s="23">
        <f t="shared" si="53"/>
        <v>1</v>
      </c>
      <c r="D333" s="715"/>
      <c r="E333" s="23">
        <f t="shared" si="54"/>
        <v>0.03</v>
      </c>
      <c r="F333" s="715"/>
      <c r="G333" s="23">
        <f t="shared" si="55"/>
        <v>0.1</v>
      </c>
      <c r="H333" s="715"/>
      <c r="I333" s="23">
        <f t="shared" si="56"/>
        <v>1</v>
      </c>
      <c r="J333" s="715"/>
      <c r="K333" s="23">
        <f t="shared" si="57"/>
        <v>1</v>
      </c>
      <c r="L333" s="715"/>
      <c r="M333" s="23">
        <f t="shared" si="58"/>
        <v>1</v>
      </c>
      <c r="N333" s="715"/>
      <c r="O333" s="23">
        <f t="shared" si="59"/>
        <v>1</v>
      </c>
      <c r="P333" s="715" t="s">
        <v>3212</v>
      </c>
      <c r="Q333" s="23">
        <f t="shared" si="60"/>
        <v>1</v>
      </c>
      <c r="R333" s="712">
        <f t="shared" si="61"/>
        <v>0</v>
      </c>
      <c r="S333" s="360">
        <f t="shared" si="63"/>
        <v>0</v>
      </c>
    </row>
    <row r="334" spans="1:19">
      <c r="A334" s="3006"/>
      <c r="B334" s="714"/>
      <c r="C334" s="23">
        <f t="shared" si="53"/>
        <v>1</v>
      </c>
      <c r="D334" s="715"/>
      <c r="E334" s="23">
        <f t="shared" si="54"/>
        <v>0.03</v>
      </c>
      <c r="F334" s="715"/>
      <c r="G334" s="23">
        <f t="shared" si="55"/>
        <v>0.1</v>
      </c>
      <c r="H334" s="715"/>
      <c r="I334" s="23">
        <f t="shared" si="56"/>
        <v>1</v>
      </c>
      <c r="J334" s="715"/>
      <c r="K334" s="23">
        <f t="shared" si="57"/>
        <v>1</v>
      </c>
      <c r="L334" s="715"/>
      <c r="M334" s="23">
        <f t="shared" si="58"/>
        <v>1</v>
      </c>
      <c r="N334" s="715"/>
      <c r="O334" s="23">
        <f t="shared" si="59"/>
        <v>1</v>
      </c>
      <c r="P334" s="715" t="s">
        <v>3117</v>
      </c>
      <c r="Q334" s="23">
        <f t="shared" si="60"/>
        <v>1.1499999999999999</v>
      </c>
      <c r="R334" s="712">
        <f t="shared" si="61"/>
        <v>0</v>
      </c>
      <c r="S334" s="360">
        <f t="shared" si="63"/>
        <v>0</v>
      </c>
    </row>
    <row r="335" spans="1:19">
      <c r="A335" s="3006"/>
      <c r="B335" s="714"/>
      <c r="C335" s="23">
        <f t="shared" si="53"/>
        <v>1</v>
      </c>
      <c r="D335" s="715"/>
      <c r="E335" s="23">
        <f t="shared" si="54"/>
        <v>0.03</v>
      </c>
      <c r="F335" s="715"/>
      <c r="G335" s="23">
        <f t="shared" si="55"/>
        <v>0.1</v>
      </c>
      <c r="H335" s="715"/>
      <c r="I335" s="23">
        <f t="shared" si="56"/>
        <v>1</v>
      </c>
      <c r="J335" s="715"/>
      <c r="K335" s="23">
        <f t="shared" si="57"/>
        <v>1</v>
      </c>
      <c r="L335" s="715"/>
      <c r="M335" s="23">
        <f t="shared" si="58"/>
        <v>1</v>
      </c>
      <c r="N335" s="715"/>
      <c r="O335" s="23">
        <f t="shared" si="59"/>
        <v>1</v>
      </c>
      <c r="P335" s="715" t="s">
        <v>3117</v>
      </c>
      <c r="Q335" s="23">
        <f t="shared" si="60"/>
        <v>1.1499999999999999</v>
      </c>
      <c r="R335" s="712">
        <f t="shared" si="61"/>
        <v>0</v>
      </c>
      <c r="S335" s="360">
        <f t="shared" si="63"/>
        <v>0</v>
      </c>
    </row>
    <row r="336" spans="1:19">
      <c r="A336" s="3006"/>
      <c r="B336" s="714"/>
      <c r="C336" s="23">
        <f t="shared" si="53"/>
        <v>1</v>
      </c>
      <c r="D336" s="715"/>
      <c r="E336" s="23">
        <f t="shared" si="54"/>
        <v>0.03</v>
      </c>
      <c r="F336" s="715"/>
      <c r="G336" s="23">
        <f t="shared" si="55"/>
        <v>0.1</v>
      </c>
      <c r="H336" s="715"/>
      <c r="I336" s="23">
        <f t="shared" si="56"/>
        <v>1</v>
      </c>
      <c r="J336" s="715"/>
      <c r="K336" s="23">
        <f t="shared" si="57"/>
        <v>1</v>
      </c>
      <c r="L336" s="715"/>
      <c r="M336" s="23">
        <f t="shared" si="58"/>
        <v>1</v>
      </c>
      <c r="N336" s="715"/>
      <c r="O336" s="23">
        <f t="shared" si="59"/>
        <v>1</v>
      </c>
      <c r="P336" s="715" t="s">
        <v>3117</v>
      </c>
      <c r="Q336" s="23">
        <f t="shared" si="60"/>
        <v>1.1499999999999999</v>
      </c>
      <c r="R336" s="712">
        <f t="shared" si="61"/>
        <v>0</v>
      </c>
      <c r="S336" s="360">
        <f t="shared" si="63"/>
        <v>0</v>
      </c>
    </row>
    <row r="337" spans="1:19">
      <c r="A337" s="3006"/>
      <c r="B337" s="714"/>
      <c r="C337" s="23">
        <f t="shared" si="53"/>
        <v>1</v>
      </c>
      <c r="D337" s="715"/>
      <c r="E337" s="23">
        <f t="shared" si="54"/>
        <v>0.03</v>
      </c>
      <c r="F337" s="715"/>
      <c r="G337" s="23">
        <f t="shared" si="55"/>
        <v>0.1</v>
      </c>
      <c r="H337" s="715"/>
      <c r="I337" s="23">
        <f t="shared" si="56"/>
        <v>1</v>
      </c>
      <c r="J337" s="715"/>
      <c r="K337" s="23">
        <f t="shared" si="57"/>
        <v>1</v>
      </c>
      <c r="L337" s="715"/>
      <c r="M337" s="23">
        <f t="shared" si="58"/>
        <v>1</v>
      </c>
      <c r="N337" s="715"/>
      <c r="O337" s="23">
        <f t="shared" si="59"/>
        <v>1</v>
      </c>
      <c r="P337" s="715" t="s">
        <v>3117</v>
      </c>
      <c r="Q337" s="23">
        <f t="shared" si="60"/>
        <v>1.1499999999999999</v>
      </c>
      <c r="R337" s="712">
        <f t="shared" si="61"/>
        <v>0</v>
      </c>
      <c r="S337" s="360">
        <f t="shared" si="63"/>
        <v>0</v>
      </c>
    </row>
    <row r="338" spans="1:19">
      <c r="A338" s="3006"/>
      <c r="B338" s="714"/>
      <c r="C338" s="23">
        <f t="shared" si="53"/>
        <v>1</v>
      </c>
      <c r="D338" s="715"/>
      <c r="E338" s="23">
        <f t="shared" si="54"/>
        <v>0.03</v>
      </c>
      <c r="F338" s="715"/>
      <c r="G338" s="23">
        <f t="shared" si="55"/>
        <v>0.1</v>
      </c>
      <c r="H338" s="715"/>
      <c r="I338" s="23">
        <f t="shared" si="56"/>
        <v>1</v>
      </c>
      <c r="J338" s="715"/>
      <c r="K338" s="23">
        <f t="shared" si="57"/>
        <v>1</v>
      </c>
      <c r="L338" s="715"/>
      <c r="M338" s="23">
        <f t="shared" si="58"/>
        <v>1</v>
      </c>
      <c r="N338" s="715"/>
      <c r="O338" s="23">
        <f t="shared" si="59"/>
        <v>1</v>
      </c>
      <c r="P338" s="715" t="s">
        <v>3117</v>
      </c>
      <c r="Q338" s="23">
        <f t="shared" si="60"/>
        <v>1.1499999999999999</v>
      </c>
      <c r="R338" s="712">
        <f t="shared" si="61"/>
        <v>0</v>
      </c>
      <c r="S338" s="360">
        <f t="shared" si="63"/>
        <v>0</v>
      </c>
    </row>
    <row r="339" spans="1:19">
      <c r="A339" s="3006"/>
      <c r="B339" s="714"/>
      <c r="C339" s="23">
        <f t="shared" si="53"/>
        <v>1</v>
      </c>
      <c r="D339" s="715"/>
      <c r="E339" s="23">
        <f t="shared" si="54"/>
        <v>0.03</v>
      </c>
      <c r="F339" s="715"/>
      <c r="G339" s="23">
        <f t="shared" si="55"/>
        <v>0.1</v>
      </c>
      <c r="H339" s="715"/>
      <c r="I339" s="23">
        <f t="shared" si="56"/>
        <v>1</v>
      </c>
      <c r="J339" s="715"/>
      <c r="K339" s="23">
        <f t="shared" si="57"/>
        <v>1</v>
      </c>
      <c r="L339" s="715"/>
      <c r="M339" s="23">
        <f t="shared" si="58"/>
        <v>1</v>
      </c>
      <c r="N339" s="715"/>
      <c r="O339" s="23">
        <f t="shared" si="59"/>
        <v>1</v>
      </c>
      <c r="P339" s="715" t="s">
        <v>3117</v>
      </c>
      <c r="Q339" s="23">
        <f t="shared" si="60"/>
        <v>1.1499999999999999</v>
      </c>
      <c r="R339" s="712">
        <f t="shared" si="61"/>
        <v>0</v>
      </c>
      <c r="S339" s="360">
        <f t="shared" si="63"/>
        <v>0</v>
      </c>
    </row>
    <row r="340" spans="1:19">
      <c r="A340" s="3006"/>
      <c r="B340" s="714"/>
      <c r="C340" s="23">
        <f t="shared" si="53"/>
        <v>1</v>
      </c>
      <c r="D340" s="715"/>
      <c r="E340" s="23">
        <f t="shared" si="54"/>
        <v>0.03</v>
      </c>
      <c r="F340" s="715"/>
      <c r="G340" s="23">
        <f t="shared" si="55"/>
        <v>0.1</v>
      </c>
      <c r="H340" s="715"/>
      <c r="I340" s="23">
        <f t="shared" si="56"/>
        <v>1</v>
      </c>
      <c r="J340" s="715"/>
      <c r="K340" s="23">
        <f t="shared" si="57"/>
        <v>1</v>
      </c>
      <c r="L340" s="715"/>
      <c r="M340" s="23">
        <f t="shared" si="58"/>
        <v>1</v>
      </c>
      <c r="N340" s="715"/>
      <c r="O340" s="23">
        <f t="shared" si="59"/>
        <v>1</v>
      </c>
      <c r="P340" s="715" t="s">
        <v>3117</v>
      </c>
      <c r="Q340" s="23">
        <f t="shared" si="60"/>
        <v>1.1499999999999999</v>
      </c>
      <c r="R340" s="712">
        <f t="shared" si="61"/>
        <v>0</v>
      </c>
      <c r="S340" s="360">
        <f t="shared" si="63"/>
        <v>0</v>
      </c>
    </row>
    <row r="341" spans="1:19">
      <c r="A341" s="3006"/>
      <c r="B341" s="714"/>
      <c r="C341" s="23">
        <f t="shared" si="53"/>
        <v>1</v>
      </c>
      <c r="D341" s="715"/>
      <c r="E341" s="23">
        <f t="shared" si="54"/>
        <v>0.03</v>
      </c>
      <c r="F341" s="715"/>
      <c r="G341" s="23">
        <f t="shared" si="55"/>
        <v>0.1</v>
      </c>
      <c r="H341" s="715"/>
      <c r="I341" s="23">
        <f t="shared" si="56"/>
        <v>1</v>
      </c>
      <c r="J341" s="715"/>
      <c r="K341" s="23">
        <f t="shared" si="57"/>
        <v>1</v>
      </c>
      <c r="L341" s="715"/>
      <c r="M341" s="23">
        <f t="shared" si="58"/>
        <v>1</v>
      </c>
      <c r="N341" s="715"/>
      <c r="O341" s="23">
        <f t="shared" si="59"/>
        <v>1</v>
      </c>
      <c r="P341" s="715" t="s">
        <v>3117</v>
      </c>
      <c r="Q341" s="23">
        <f t="shared" si="60"/>
        <v>1.1499999999999999</v>
      </c>
      <c r="R341" s="712">
        <f t="shared" si="61"/>
        <v>0</v>
      </c>
      <c r="S341" s="360">
        <f t="shared" si="63"/>
        <v>0</v>
      </c>
    </row>
    <row r="342" spans="1:19">
      <c r="A342" s="3006"/>
      <c r="B342" s="714"/>
      <c r="C342" s="23">
        <f t="shared" si="53"/>
        <v>1</v>
      </c>
      <c r="D342" s="715"/>
      <c r="E342" s="23">
        <f t="shared" si="54"/>
        <v>0.03</v>
      </c>
      <c r="F342" s="715"/>
      <c r="G342" s="23">
        <f t="shared" si="55"/>
        <v>0.1</v>
      </c>
      <c r="H342" s="715"/>
      <c r="I342" s="23">
        <f t="shared" si="56"/>
        <v>1</v>
      </c>
      <c r="J342" s="715"/>
      <c r="K342" s="23">
        <f t="shared" si="57"/>
        <v>1</v>
      </c>
      <c r="L342" s="715"/>
      <c r="M342" s="23">
        <f t="shared" si="58"/>
        <v>1</v>
      </c>
      <c r="N342" s="715"/>
      <c r="O342" s="23">
        <f t="shared" si="59"/>
        <v>1</v>
      </c>
      <c r="P342" s="715" t="s">
        <v>3117</v>
      </c>
      <c r="Q342" s="23">
        <f t="shared" si="60"/>
        <v>1.1499999999999999</v>
      </c>
      <c r="R342" s="712">
        <f t="shared" si="61"/>
        <v>0</v>
      </c>
      <c r="S342" s="360">
        <f t="shared" si="63"/>
        <v>0</v>
      </c>
    </row>
    <row r="343" spans="1:19">
      <c r="A343" s="3006"/>
      <c r="B343" s="714"/>
      <c r="C343" s="23">
        <f t="shared" si="53"/>
        <v>1</v>
      </c>
      <c r="D343" s="715"/>
      <c r="E343" s="23">
        <f t="shared" si="54"/>
        <v>0.03</v>
      </c>
      <c r="F343" s="715"/>
      <c r="G343" s="23">
        <f t="shared" si="55"/>
        <v>0.1</v>
      </c>
      <c r="H343" s="715"/>
      <c r="I343" s="23">
        <f t="shared" si="56"/>
        <v>1</v>
      </c>
      <c r="J343" s="715"/>
      <c r="K343" s="23">
        <f t="shared" si="57"/>
        <v>1</v>
      </c>
      <c r="L343" s="715"/>
      <c r="M343" s="23">
        <f t="shared" si="58"/>
        <v>1</v>
      </c>
      <c r="N343" s="715"/>
      <c r="O343" s="23">
        <f t="shared" si="59"/>
        <v>1</v>
      </c>
      <c r="P343" s="715" t="s">
        <v>3117</v>
      </c>
      <c r="Q343" s="23">
        <f t="shared" si="60"/>
        <v>1.1499999999999999</v>
      </c>
      <c r="R343" s="712">
        <f t="shared" si="61"/>
        <v>0</v>
      </c>
      <c r="S343" s="360">
        <f t="shared" si="63"/>
        <v>0</v>
      </c>
    </row>
    <row r="344" spans="1:19">
      <c r="A344" s="3006"/>
      <c r="B344" s="714"/>
      <c r="C344" s="23">
        <f t="shared" si="53"/>
        <v>1</v>
      </c>
      <c r="D344" s="715"/>
      <c r="E344" s="23">
        <f t="shared" si="54"/>
        <v>0.03</v>
      </c>
      <c r="F344" s="715"/>
      <c r="G344" s="23">
        <f t="shared" si="55"/>
        <v>0.1</v>
      </c>
      <c r="H344" s="715"/>
      <c r="I344" s="23">
        <f t="shared" si="56"/>
        <v>1</v>
      </c>
      <c r="J344" s="715"/>
      <c r="K344" s="23">
        <f t="shared" si="57"/>
        <v>1</v>
      </c>
      <c r="L344" s="715"/>
      <c r="M344" s="23">
        <f t="shared" si="58"/>
        <v>1</v>
      </c>
      <c r="N344" s="715"/>
      <c r="O344" s="23">
        <f t="shared" si="59"/>
        <v>1</v>
      </c>
      <c r="P344" s="715" t="s">
        <v>3117</v>
      </c>
      <c r="Q344" s="23">
        <f t="shared" si="60"/>
        <v>1.1499999999999999</v>
      </c>
      <c r="R344" s="712">
        <f t="shared" si="61"/>
        <v>0</v>
      </c>
      <c r="S344" s="360">
        <f t="shared" si="63"/>
        <v>0</v>
      </c>
    </row>
    <row r="345" spans="1:19">
      <c r="A345" s="3006"/>
      <c r="B345" s="714"/>
      <c r="C345" s="23">
        <f t="shared" si="53"/>
        <v>1</v>
      </c>
      <c r="D345" s="715"/>
      <c r="E345" s="23">
        <f t="shared" si="54"/>
        <v>0.03</v>
      </c>
      <c r="F345" s="715"/>
      <c r="G345" s="23">
        <f t="shared" si="55"/>
        <v>0.1</v>
      </c>
      <c r="H345" s="715"/>
      <c r="I345" s="23">
        <f t="shared" si="56"/>
        <v>1</v>
      </c>
      <c r="J345" s="715"/>
      <c r="K345" s="23">
        <f t="shared" si="57"/>
        <v>1</v>
      </c>
      <c r="L345" s="715"/>
      <c r="M345" s="23">
        <f t="shared" si="58"/>
        <v>1</v>
      </c>
      <c r="N345" s="715"/>
      <c r="O345" s="23">
        <f t="shared" si="59"/>
        <v>1</v>
      </c>
      <c r="P345" s="715" t="s">
        <v>3117</v>
      </c>
      <c r="Q345" s="23">
        <f t="shared" si="60"/>
        <v>1.1499999999999999</v>
      </c>
      <c r="R345" s="712">
        <f t="shared" si="61"/>
        <v>0</v>
      </c>
      <c r="S345" s="360">
        <f t="shared" si="63"/>
        <v>0</v>
      </c>
    </row>
    <row r="346" spans="1:19">
      <c r="A346" s="3006"/>
      <c r="B346" s="714"/>
      <c r="C346" s="23">
        <f t="shared" ref="C346:C409" si="64">IF(B346="",1,(LOOKUP(B346,$3:$3,$4:$4)-LOOKUP($B$24,$3:$3,$4:$4)+100)/100)</f>
        <v>1</v>
      </c>
      <c r="D346" s="715"/>
      <c r="E346" s="23">
        <f t="shared" ref="E346:E409" si="65">(SUMIF($5:$5,D346,$6:$6)-SUMIF($5:$5,$D$24,$6:$6)+100)/100</f>
        <v>0.03</v>
      </c>
      <c r="F346" s="715"/>
      <c r="G346" s="23">
        <f t="shared" ref="G346:G409" si="66">(SUMIF($7:$7,F346,$8:$8)-SUMIF($7:$7,$F$24,$8:$8)+100)/100</f>
        <v>0.1</v>
      </c>
      <c r="H346" s="715"/>
      <c r="I346" s="23">
        <f t="shared" ref="I346:I409" si="67">(SUMIF($9:$9,H346,$10:$10)-SUMIF($9:$9,$H$24,$10:$10)+100)/100</f>
        <v>1</v>
      </c>
      <c r="J346" s="715"/>
      <c r="K346" s="23">
        <f t="shared" ref="K346:K409" si="68">(SUMIF($11:$11,J346,$12:$12)-SUMIF($11:$11,$J$24,$12:$12)+100)/100</f>
        <v>1</v>
      </c>
      <c r="L346" s="715"/>
      <c r="M346" s="23">
        <f t="shared" ref="M346:M409" si="69">(SUMIF($13:$13,L346,$14:$14)-SUMIF($13:$13,$L$24,$14:$14)+100)/100</f>
        <v>1</v>
      </c>
      <c r="N346" s="715"/>
      <c r="O346" s="23">
        <f t="shared" ref="O346:O409" si="70">(SUMIF($15:$15,N346,$16:$16)-SUMIF($15:$15,$N$24,$16:$16)+100)/100</f>
        <v>1</v>
      </c>
      <c r="P346" s="715" t="s">
        <v>3117</v>
      </c>
      <c r="Q346" s="23">
        <f t="shared" ref="Q346:Q409" si="71">(SUMIF($17:$17,P346,$18:$18)-SUMIF($17:$17,$P$24,$18:$18)+100)/100</f>
        <v>1.1499999999999999</v>
      </c>
      <c r="R346" s="712">
        <f t="shared" ref="R346:R409" si="72">IF(B346="",0,ROUND($R$24*C346*E346*G346*I346*K346*M346*O346*Q346,0))</f>
        <v>0</v>
      </c>
      <c r="S346" s="360">
        <f t="shared" si="63"/>
        <v>0</v>
      </c>
    </row>
    <row r="347" spans="1:19">
      <c r="A347" s="3006"/>
      <c r="B347" s="714"/>
      <c r="C347" s="23">
        <f t="shared" si="64"/>
        <v>1</v>
      </c>
      <c r="D347" s="715"/>
      <c r="E347" s="23">
        <f t="shared" si="65"/>
        <v>0.03</v>
      </c>
      <c r="F347" s="715"/>
      <c r="G347" s="23">
        <f t="shared" si="66"/>
        <v>0.1</v>
      </c>
      <c r="H347" s="715"/>
      <c r="I347" s="23">
        <f t="shared" si="67"/>
        <v>1</v>
      </c>
      <c r="J347" s="715"/>
      <c r="K347" s="23">
        <f t="shared" si="68"/>
        <v>1</v>
      </c>
      <c r="L347" s="715"/>
      <c r="M347" s="23">
        <f t="shared" si="69"/>
        <v>1</v>
      </c>
      <c r="N347" s="715"/>
      <c r="O347" s="23">
        <f t="shared" si="70"/>
        <v>1</v>
      </c>
      <c r="P347" s="715" t="s">
        <v>3117</v>
      </c>
      <c r="Q347" s="23">
        <f t="shared" si="71"/>
        <v>1.1499999999999999</v>
      </c>
      <c r="R347" s="712">
        <f t="shared" si="72"/>
        <v>0</v>
      </c>
      <c r="S347" s="360">
        <f t="shared" si="63"/>
        <v>0</v>
      </c>
    </row>
    <row r="348" spans="1:19">
      <c r="A348" s="3006"/>
      <c r="B348" s="714"/>
      <c r="C348" s="23">
        <f t="shared" si="64"/>
        <v>1</v>
      </c>
      <c r="D348" s="715"/>
      <c r="E348" s="23">
        <f t="shared" si="65"/>
        <v>0.03</v>
      </c>
      <c r="F348" s="715"/>
      <c r="G348" s="23">
        <f t="shared" si="66"/>
        <v>0.1</v>
      </c>
      <c r="H348" s="715"/>
      <c r="I348" s="23">
        <f t="shared" si="67"/>
        <v>1</v>
      </c>
      <c r="J348" s="715"/>
      <c r="K348" s="23">
        <f t="shared" si="68"/>
        <v>1</v>
      </c>
      <c r="L348" s="715"/>
      <c r="M348" s="23">
        <f t="shared" si="69"/>
        <v>1</v>
      </c>
      <c r="N348" s="715"/>
      <c r="O348" s="23">
        <f t="shared" si="70"/>
        <v>1</v>
      </c>
      <c r="P348" s="715" t="s">
        <v>3117</v>
      </c>
      <c r="Q348" s="23">
        <f t="shared" si="71"/>
        <v>1.1499999999999999</v>
      </c>
      <c r="R348" s="712">
        <f t="shared" si="72"/>
        <v>0</v>
      </c>
      <c r="S348" s="360">
        <f t="shared" si="63"/>
        <v>0</v>
      </c>
    </row>
    <row r="349" spans="1:19">
      <c r="A349" s="3006"/>
      <c r="B349" s="714"/>
      <c r="C349" s="23">
        <f t="shared" si="64"/>
        <v>1</v>
      </c>
      <c r="D349" s="715"/>
      <c r="E349" s="23">
        <f t="shared" si="65"/>
        <v>0.03</v>
      </c>
      <c r="F349" s="715"/>
      <c r="G349" s="23">
        <f t="shared" si="66"/>
        <v>0.1</v>
      </c>
      <c r="H349" s="715"/>
      <c r="I349" s="23">
        <f t="shared" si="67"/>
        <v>1</v>
      </c>
      <c r="J349" s="715"/>
      <c r="K349" s="23">
        <f t="shared" si="68"/>
        <v>1</v>
      </c>
      <c r="L349" s="715"/>
      <c r="M349" s="23">
        <f t="shared" si="69"/>
        <v>1</v>
      </c>
      <c r="N349" s="715"/>
      <c r="O349" s="23">
        <f t="shared" si="70"/>
        <v>1</v>
      </c>
      <c r="P349" s="715" t="s">
        <v>3117</v>
      </c>
      <c r="Q349" s="23">
        <f t="shared" si="71"/>
        <v>1.1499999999999999</v>
      </c>
      <c r="R349" s="712">
        <f t="shared" si="72"/>
        <v>0</v>
      </c>
      <c r="S349" s="360">
        <f t="shared" si="63"/>
        <v>0</v>
      </c>
    </row>
    <row r="350" spans="1:19">
      <c r="A350" s="3006"/>
      <c r="B350" s="714"/>
      <c r="C350" s="23">
        <f t="shared" si="64"/>
        <v>1</v>
      </c>
      <c r="D350" s="715"/>
      <c r="E350" s="23">
        <f t="shared" si="65"/>
        <v>0.03</v>
      </c>
      <c r="F350" s="715"/>
      <c r="G350" s="23">
        <f t="shared" si="66"/>
        <v>0.1</v>
      </c>
      <c r="H350" s="715"/>
      <c r="I350" s="23">
        <f t="shared" si="67"/>
        <v>1</v>
      </c>
      <c r="J350" s="715"/>
      <c r="K350" s="23">
        <f t="shared" si="68"/>
        <v>1</v>
      </c>
      <c r="L350" s="715"/>
      <c r="M350" s="23">
        <f t="shared" si="69"/>
        <v>1</v>
      </c>
      <c r="N350" s="715"/>
      <c r="O350" s="23">
        <f t="shared" si="70"/>
        <v>1</v>
      </c>
      <c r="P350" s="715" t="s">
        <v>3117</v>
      </c>
      <c r="Q350" s="23">
        <f t="shared" si="71"/>
        <v>1.1499999999999999</v>
      </c>
      <c r="R350" s="712">
        <f t="shared" si="72"/>
        <v>0</v>
      </c>
      <c r="S350" s="360">
        <f t="shared" si="63"/>
        <v>0</v>
      </c>
    </row>
    <row r="351" spans="1:19">
      <c r="A351" s="3006"/>
      <c r="B351" s="714"/>
      <c r="C351" s="23">
        <f t="shared" si="64"/>
        <v>1</v>
      </c>
      <c r="D351" s="715"/>
      <c r="E351" s="23">
        <f t="shared" si="65"/>
        <v>0.03</v>
      </c>
      <c r="F351" s="715"/>
      <c r="G351" s="23">
        <f t="shared" si="66"/>
        <v>0.1</v>
      </c>
      <c r="H351" s="715"/>
      <c r="I351" s="23">
        <f t="shared" si="67"/>
        <v>1</v>
      </c>
      <c r="J351" s="715"/>
      <c r="K351" s="23">
        <f t="shared" si="68"/>
        <v>1</v>
      </c>
      <c r="L351" s="715"/>
      <c r="M351" s="23">
        <f t="shared" si="69"/>
        <v>1</v>
      </c>
      <c r="N351" s="715"/>
      <c r="O351" s="23">
        <f t="shared" si="70"/>
        <v>1</v>
      </c>
      <c r="P351" s="715" t="s">
        <v>3117</v>
      </c>
      <c r="Q351" s="23">
        <f t="shared" si="71"/>
        <v>1.1499999999999999</v>
      </c>
      <c r="R351" s="712">
        <f t="shared" si="72"/>
        <v>0</v>
      </c>
      <c r="S351" s="360">
        <f t="shared" si="63"/>
        <v>0</v>
      </c>
    </row>
    <row r="352" spans="1:19">
      <c r="A352" s="3006"/>
      <c r="B352" s="714"/>
      <c r="C352" s="23">
        <f t="shared" si="64"/>
        <v>1</v>
      </c>
      <c r="D352" s="715"/>
      <c r="E352" s="23">
        <f t="shared" si="65"/>
        <v>0.03</v>
      </c>
      <c r="F352" s="715"/>
      <c r="G352" s="23">
        <f t="shared" si="66"/>
        <v>0.1</v>
      </c>
      <c r="H352" s="715"/>
      <c r="I352" s="23">
        <f t="shared" si="67"/>
        <v>1</v>
      </c>
      <c r="J352" s="715"/>
      <c r="K352" s="23">
        <f t="shared" si="68"/>
        <v>1</v>
      </c>
      <c r="L352" s="715"/>
      <c r="M352" s="23">
        <f t="shared" si="69"/>
        <v>1</v>
      </c>
      <c r="N352" s="715"/>
      <c r="O352" s="23">
        <f t="shared" si="70"/>
        <v>1</v>
      </c>
      <c r="P352" s="715" t="s">
        <v>3212</v>
      </c>
      <c r="Q352" s="23">
        <f t="shared" si="71"/>
        <v>1</v>
      </c>
      <c r="R352" s="712">
        <f t="shared" si="72"/>
        <v>0</v>
      </c>
      <c r="S352" s="360">
        <f t="shared" si="63"/>
        <v>0</v>
      </c>
    </row>
    <row r="353" spans="1:19">
      <c r="A353" s="3005"/>
      <c r="B353" s="714"/>
      <c r="C353" s="23">
        <f t="shared" si="64"/>
        <v>1</v>
      </c>
      <c r="D353" s="715"/>
      <c r="E353" s="23">
        <f t="shared" si="65"/>
        <v>0.03</v>
      </c>
      <c r="F353" s="715"/>
      <c r="G353" s="23">
        <f t="shared" si="66"/>
        <v>0.1</v>
      </c>
      <c r="H353" s="715"/>
      <c r="I353" s="23">
        <f t="shared" si="67"/>
        <v>1</v>
      </c>
      <c r="J353" s="715"/>
      <c r="K353" s="23">
        <f t="shared" si="68"/>
        <v>1</v>
      </c>
      <c r="L353" s="715"/>
      <c r="M353" s="23">
        <f t="shared" si="69"/>
        <v>1</v>
      </c>
      <c r="N353" s="715"/>
      <c r="O353" s="23">
        <f t="shared" si="70"/>
        <v>1</v>
      </c>
      <c r="P353" s="715" t="s">
        <v>3212</v>
      </c>
      <c r="Q353" s="23">
        <f t="shared" si="71"/>
        <v>1</v>
      </c>
      <c r="R353" s="712">
        <f t="shared" si="72"/>
        <v>0</v>
      </c>
      <c r="S353" s="360">
        <f t="shared" si="63"/>
        <v>0</v>
      </c>
    </row>
    <row r="354" spans="1:19">
      <c r="A354" s="3005"/>
      <c r="B354" s="714"/>
      <c r="C354" s="23">
        <f t="shared" si="64"/>
        <v>1</v>
      </c>
      <c r="D354" s="715"/>
      <c r="E354" s="23">
        <f t="shared" si="65"/>
        <v>0.03</v>
      </c>
      <c r="F354" s="715"/>
      <c r="G354" s="23">
        <f t="shared" si="66"/>
        <v>0.1</v>
      </c>
      <c r="H354" s="715"/>
      <c r="I354" s="23">
        <f t="shared" si="67"/>
        <v>1</v>
      </c>
      <c r="J354" s="715"/>
      <c r="K354" s="23">
        <f t="shared" si="68"/>
        <v>1</v>
      </c>
      <c r="L354" s="715"/>
      <c r="M354" s="23">
        <f t="shared" si="69"/>
        <v>1</v>
      </c>
      <c r="N354" s="715"/>
      <c r="O354" s="23">
        <f t="shared" si="70"/>
        <v>1</v>
      </c>
      <c r="P354" s="715" t="s">
        <v>3212</v>
      </c>
      <c r="Q354" s="23">
        <f t="shared" si="71"/>
        <v>1</v>
      </c>
      <c r="R354" s="712">
        <f t="shared" si="72"/>
        <v>0</v>
      </c>
      <c r="S354" s="360">
        <f t="shared" si="63"/>
        <v>0</v>
      </c>
    </row>
    <row r="355" spans="1:19">
      <c r="A355" s="3005"/>
      <c r="B355" s="714"/>
      <c r="C355" s="23">
        <f t="shared" si="64"/>
        <v>1</v>
      </c>
      <c r="D355" s="715"/>
      <c r="E355" s="23">
        <f t="shared" si="65"/>
        <v>0.03</v>
      </c>
      <c r="F355" s="715"/>
      <c r="G355" s="23">
        <f t="shared" si="66"/>
        <v>0.1</v>
      </c>
      <c r="H355" s="715"/>
      <c r="I355" s="23">
        <f t="shared" si="67"/>
        <v>1</v>
      </c>
      <c r="J355" s="715"/>
      <c r="K355" s="23">
        <f t="shared" si="68"/>
        <v>1</v>
      </c>
      <c r="L355" s="715"/>
      <c r="M355" s="23">
        <f t="shared" si="69"/>
        <v>1</v>
      </c>
      <c r="N355" s="715"/>
      <c r="O355" s="23">
        <f t="shared" si="70"/>
        <v>1</v>
      </c>
      <c r="P355" s="715" t="s">
        <v>3212</v>
      </c>
      <c r="Q355" s="23">
        <f t="shared" si="71"/>
        <v>1</v>
      </c>
      <c r="R355" s="712">
        <f t="shared" si="72"/>
        <v>0</v>
      </c>
      <c r="S355" s="360">
        <f t="shared" si="63"/>
        <v>0</v>
      </c>
    </row>
    <row r="356" spans="1:19">
      <c r="A356" s="3005"/>
      <c r="B356" s="714"/>
      <c r="C356" s="23">
        <f t="shared" si="64"/>
        <v>1</v>
      </c>
      <c r="D356" s="715"/>
      <c r="E356" s="23">
        <f t="shared" si="65"/>
        <v>0.03</v>
      </c>
      <c r="F356" s="715"/>
      <c r="G356" s="23">
        <f t="shared" si="66"/>
        <v>0.1</v>
      </c>
      <c r="H356" s="715"/>
      <c r="I356" s="23">
        <f t="shared" si="67"/>
        <v>1</v>
      </c>
      <c r="J356" s="715"/>
      <c r="K356" s="23">
        <f t="shared" si="68"/>
        <v>1</v>
      </c>
      <c r="L356" s="715"/>
      <c r="M356" s="23">
        <f t="shared" si="69"/>
        <v>1</v>
      </c>
      <c r="N356" s="715"/>
      <c r="O356" s="23">
        <f t="shared" si="70"/>
        <v>1</v>
      </c>
      <c r="P356" s="715" t="s">
        <v>3117</v>
      </c>
      <c r="Q356" s="23">
        <f t="shared" si="71"/>
        <v>1.1499999999999999</v>
      </c>
      <c r="R356" s="712">
        <f t="shared" si="72"/>
        <v>0</v>
      </c>
      <c r="S356" s="360">
        <f t="shared" si="63"/>
        <v>0</v>
      </c>
    </row>
    <row r="357" spans="1:19">
      <c r="A357" s="3005"/>
      <c r="B357" s="714"/>
      <c r="C357" s="23">
        <f t="shared" si="64"/>
        <v>1</v>
      </c>
      <c r="D357" s="715"/>
      <c r="E357" s="23">
        <f t="shared" si="65"/>
        <v>0.03</v>
      </c>
      <c r="F357" s="715"/>
      <c r="G357" s="23">
        <f t="shared" si="66"/>
        <v>0.1</v>
      </c>
      <c r="H357" s="715"/>
      <c r="I357" s="23">
        <f t="shared" si="67"/>
        <v>1</v>
      </c>
      <c r="J357" s="715"/>
      <c r="K357" s="23">
        <f t="shared" si="68"/>
        <v>1</v>
      </c>
      <c r="L357" s="715"/>
      <c r="M357" s="23">
        <f t="shared" si="69"/>
        <v>1</v>
      </c>
      <c r="N357" s="715"/>
      <c r="O357" s="23">
        <f t="shared" si="70"/>
        <v>1</v>
      </c>
      <c r="P357" s="715" t="s">
        <v>3117</v>
      </c>
      <c r="Q357" s="23">
        <f t="shared" si="71"/>
        <v>1.1499999999999999</v>
      </c>
      <c r="R357" s="712">
        <f t="shared" si="72"/>
        <v>0</v>
      </c>
      <c r="S357" s="360">
        <f t="shared" si="63"/>
        <v>0</v>
      </c>
    </row>
    <row r="358" spans="1:19">
      <c r="A358" s="3005"/>
      <c r="B358" s="714"/>
      <c r="C358" s="23">
        <f t="shared" si="64"/>
        <v>1</v>
      </c>
      <c r="D358" s="715"/>
      <c r="E358" s="23">
        <f t="shared" si="65"/>
        <v>0.03</v>
      </c>
      <c r="F358" s="715"/>
      <c r="G358" s="23">
        <f t="shared" si="66"/>
        <v>0.1</v>
      </c>
      <c r="H358" s="715"/>
      <c r="I358" s="23">
        <f t="shared" si="67"/>
        <v>1</v>
      </c>
      <c r="J358" s="715"/>
      <c r="K358" s="23">
        <f t="shared" si="68"/>
        <v>1</v>
      </c>
      <c r="L358" s="715"/>
      <c r="M358" s="23">
        <f t="shared" si="69"/>
        <v>1</v>
      </c>
      <c r="N358" s="715"/>
      <c r="O358" s="23">
        <f t="shared" si="70"/>
        <v>1</v>
      </c>
      <c r="P358" s="715" t="s">
        <v>3117</v>
      </c>
      <c r="Q358" s="23">
        <f t="shared" si="71"/>
        <v>1.1499999999999999</v>
      </c>
      <c r="R358" s="712">
        <f t="shared" si="72"/>
        <v>0</v>
      </c>
      <c r="S358" s="360">
        <f t="shared" si="63"/>
        <v>0</v>
      </c>
    </row>
    <row r="359" spans="1:19">
      <c r="A359" s="3005"/>
      <c r="B359" s="714"/>
      <c r="C359" s="23">
        <f t="shared" si="64"/>
        <v>1</v>
      </c>
      <c r="D359" s="715"/>
      <c r="E359" s="23">
        <f t="shared" si="65"/>
        <v>0.03</v>
      </c>
      <c r="F359" s="715"/>
      <c r="G359" s="23">
        <f t="shared" si="66"/>
        <v>0.1</v>
      </c>
      <c r="H359" s="715"/>
      <c r="I359" s="23">
        <f t="shared" si="67"/>
        <v>1</v>
      </c>
      <c r="J359" s="715"/>
      <c r="K359" s="23">
        <f t="shared" si="68"/>
        <v>1</v>
      </c>
      <c r="L359" s="715"/>
      <c r="M359" s="23">
        <f t="shared" si="69"/>
        <v>1</v>
      </c>
      <c r="N359" s="715"/>
      <c r="O359" s="23">
        <f t="shared" si="70"/>
        <v>1</v>
      </c>
      <c r="P359" s="715" t="s">
        <v>3117</v>
      </c>
      <c r="Q359" s="23">
        <f t="shared" si="71"/>
        <v>1.1499999999999999</v>
      </c>
      <c r="R359" s="712">
        <f t="shared" si="72"/>
        <v>0</v>
      </c>
      <c r="S359" s="360">
        <f t="shared" si="63"/>
        <v>0</v>
      </c>
    </row>
    <row r="360" spans="1:19">
      <c r="A360" s="3005"/>
      <c r="B360" s="714"/>
      <c r="C360" s="23">
        <f t="shared" si="64"/>
        <v>1</v>
      </c>
      <c r="D360" s="715"/>
      <c r="E360" s="23">
        <f t="shared" si="65"/>
        <v>0.03</v>
      </c>
      <c r="F360" s="715"/>
      <c r="G360" s="23">
        <f t="shared" si="66"/>
        <v>0.1</v>
      </c>
      <c r="H360" s="715"/>
      <c r="I360" s="23">
        <f t="shared" si="67"/>
        <v>1</v>
      </c>
      <c r="J360" s="715"/>
      <c r="K360" s="23">
        <f t="shared" si="68"/>
        <v>1</v>
      </c>
      <c r="L360" s="715"/>
      <c r="M360" s="23">
        <f t="shared" si="69"/>
        <v>1</v>
      </c>
      <c r="N360" s="715"/>
      <c r="O360" s="23">
        <f t="shared" si="70"/>
        <v>1</v>
      </c>
      <c r="P360" s="715" t="s">
        <v>3117</v>
      </c>
      <c r="Q360" s="23">
        <f t="shared" si="71"/>
        <v>1.1499999999999999</v>
      </c>
      <c r="R360" s="712">
        <f t="shared" si="72"/>
        <v>0</v>
      </c>
      <c r="S360" s="360">
        <f t="shared" si="63"/>
        <v>0</v>
      </c>
    </row>
    <row r="361" spans="1:19">
      <c r="A361" s="3005"/>
      <c r="B361" s="714"/>
      <c r="C361" s="23">
        <f t="shared" si="64"/>
        <v>1</v>
      </c>
      <c r="D361" s="715"/>
      <c r="E361" s="23">
        <f t="shared" si="65"/>
        <v>0.03</v>
      </c>
      <c r="F361" s="715"/>
      <c r="G361" s="23">
        <f t="shared" si="66"/>
        <v>0.1</v>
      </c>
      <c r="H361" s="715"/>
      <c r="I361" s="23">
        <f t="shared" si="67"/>
        <v>1</v>
      </c>
      <c r="J361" s="715"/>
      <c r="K361" s="23">
        <f t="shared" si="68"/>
        <v>1</v>
      </c>
      <c r="L361" s="715"/>
      <c r="M361" s="23">
        <f t="shared" si="69"/>
        <v>1</v>
      </c>
      <c r="N361" s="715"/>
      <c r="O361" s="23">
        <f t="shared" si="70"/>
        <v>1</v>
      </c>
      <c r="P361" s="715" t="s">
        <v>3117</v>
      </c>
      <c r="Q361" s="23">
        <f t="shared" si="71"/>
        <v>1.1499999999999999</v>
      </c>
      <c r="R361" s="712">
        <f t="shared" si="72"/>
        <v>0</v>
      </c>
      <c r="S361" s="360">
        <f t="shared" si="63"/>
        <v>0</v>
      </c>
    </row>
    <row r="362" spans="1:19">
      <c r="A362" s="3005"/>
      <c r="B362" s="714"/>
      <c r="C362" s="23">
        <f t="shared" si="64"/>
        <v>1</v>
      </c>
      <c r="D362" s="715"/>
      <c r="E362" s="23">
        <f t="shared" si="65"/>
        <v>0.03</v>
      </c>
      <c r="F362" s="715"/>
      <c r="G362" s="23">
        <f t="shared" si="66"/>
        <v>0.1</v>
      </c>
      <c r="H362" s="715"/>
      <c r="I362" s="23">
        <f t="shared" si="67"/>
        <v>1</v>
      </c>
      <c r="J362" s="715"/>
      <c r="K362" s="23">
        <f t="shared" si="68"/>
        <v>1</v>
      </c>
      <c r="L362" s="715"/>
      <c r="M362" s="23">
        <f t="shared" si="69"/>
        <v>1</v>
      </c>
      <c r="N362" s="715"/>
      <c r="O362" s="23">
        <f t="shared" si="70"/>
        <v>1</v>
      </c>
      <c r="P362" s="715" t="s">
        <v>3117</v>
      </c>
      <c r="Q362" s="23">
        <f t="shared" si="71"/>
        <v>1.1499999999999999</v>
      </c>
      <c r="R362" s="712">
        <f t="shared" si="72"/>
        <v>0</v>
      </c>
      <c r="S362" s="360">
        <f t="shared" si="63"/>
        <v>0</v>
      </c>
    </row>
    <row r="363" spans="1:19">
      <c r="A363" s="3005"/>
      <c r="B363" s="714"/>
      <c r="C363" s="23">
        <f t="shared" si="64"/>
        <v>1</v>
      </c>
      <c r="D363" s="715"/>
      <c r="E363" s="23">
        <f t="shared" si="65"/>
        <v>0.03</v>
      </c>
      <c r="F363" s="715"/>
      <c r="G363" s="23">
        <f t="shared" si="66"/>
        <v>0.1</v>
      </c>
      <c r="H363" s="715"/>
      <c r="I363" s="23">
        <f t="shared" si="67"/>
        <v>1</v>
      </c>
      <c r="J363" s="715"/>
      <c r="K363" s="23">
        <f t="shared" si="68"/>
        <v>1</v>
      </c>
      <c r="L363" s="715"/>
      <c r="M363" s="23">
        <f t="shared" si="69"/>
        <v>1</v>
      </c>
      <c r="N363" s="715"/>
      <c r="O363" s="23">
        <f t="shared" si="70"/>
        <v>1</v>
      </c>
      <c r="P363" s="715" t="s">
        <v>3117</v>
      </c>
      <c r="Q363" s="23">
        <f t="shared" si="71"/>
        <v>1.1499999999999999</v>
      </c>
      <c r="R363" s="712">
        <f t="shared" si="72"/>
        <v>0</v>
      </c>
      <c r="S363" s="360">
        <f t="shared" si="63"/>
        <v>0</v>
      </c>
    </row>
    <row r="364" spans="1:19">
      <c r="A364" s="3005"/>
      <c r="B364" s="714"/>
      <c r="C364" s="23">
        <f t="shared" si="64"/>
        <v>1</v>
      </c>
      <c r="D364" s="715"/>
      <c r="E364" s="23">
        <f t="shared" si="65"/>
        <v>0.03</v>
      </c>
      <c r="F364" s="715"/>
      <c r="G364" s="23">
        <f t="shared" si="66"/>
        <v>0.1</v>
      </c>
      <c r="H364" s="715"/>
      <c r="I364" s="23">
        <f t="shared" si="67"/>
        <v>1</v>
      </c>
      <c r="J364" s="715"/>
      <c r="K364" s="23">
        <f t="shared" si="68"/>
        <v>1</v>
      </c>
      <c r="L364" s="715"/>
      <c r="M364" s="23">
        <f t="shared" si="69"/>
        <v>1</v>
      </c>
      <c r="N364" s="715"/>
      <c r="O364" s="23">
        <f t="shared" si="70"/>
        <v>1</v>
      </c>
      <c r="P364" s="715" t="s">
        <v>3117</v>
      </c>
      <c r="Q364" s="23">
        <f t="shared" si="71"/>
        <v>1.1499999999999999</v>
      </c>
      <c r="R364" s="712">
        <f t="shared" si="72"/>
        <v>0</v>
      </c>
      <c r="S364" s="360">
        <f t="shared" si="63"/>
        <v>0</v>
      </c>
    </row>
    <row r="365" spans="1:19">
      <c r="A365" s="3005"/>
      <c r="B365" s="714"/>
      <c r="C365" s="23">
        <f t="shared" si="64"/>
        <v>1</v>
      </c>
      <c r="D365" s="715"/>
      <c r="E365" s="23">
        <f t="shared" si="65"/>
        <v>0.03</v>
      </c>
      <c r="F365" s="715"/>
      <c r="G365" s="23">
        <f t="shared" si="66"/>
        <v>0.1</v>
      </c>
      <c r="H365" s="715"/>
      <c r="I365" s="23">
        <f t="shared" si="67"/>
        <v>1</v>
      </c>
      <c r="J365" s="715"/>
      <c r="K365" s="23">
        <f t="shared" si="68"/>
        <v>1</v>
      </c>
      <c r="L365" s="715"/>
      <c r="M365" s="23">
        <f t="shared" si="69"/>
        <v>1</v>
      </c>
      <c r="N365" s="715"/>
      <c r="O365" s="23">
        <f t="shared" si="70"/>
        <v>1</v>
      </c>
      <c r="P365" s="715" t="s">
        <v>3117</v>
      </c>
      <c r="Q365" s="23">
        <f t="shared" si="71"/>
        <v>1.1499999999999999</v>
      </c>
      <c r="R365" s="712">
        <f t="shared" si="72"/>
        <v>0</v>
      </c>
      <c r="S365" s="360">
        <f t="shared" si="63"/>
        <v>0</v>
      </c>
    </row>
    <row r="366" spans="1:19">
      <c r="A366" s="3005"/>
      <c r="B366" s="714"/>
      <c r="C366" s="23">
        <f t="shared" si="64"/>
        <v>1</v>
      </c>
      <c r="D366" s="715"/>
      <c r="E366" s="23">
        <f t="shared" si="65"/>
        <v>0.03</v>
      </c>
      <c r="F366" s="715"/>
      <c r="G366" s="23">
        <f t="shared" si="66"/>
        <v>0.1</v>
      </c>
      <c r="H366" s="715"/>
      <c r="I366" s="23">
        <f t="shared" si="67"/>
        <v>1</v>
      </c>
      <c r="J366" s="715"/>
      <c r="K366" s="23">
        <f t="shared" si="68"/>
        <v>1</v>
      </c>
      <c r="L366" s="715"/>
      <c r="M366" s="23">
        <f t="shared" si="69"/>
        <v>1</v>
      </c>
      <c r="N366" s="715"/>
      <c r="O366" s="23">
        <f t="shared" si="70"/>
        <v>1</v>
      </c>
      <c r="P366" s="715" t="s">
        <v>3212</v>
      </c>
      <c r="Q366" s="23">
        <f t="shared" si="71"/>
        <v>1</v>
      </c>
      <c r="R366" s="712">
        <f t="shared" si="72"/>
        <v>0</v>
      </c>
      <c r="S366" s="360">
        <f t="shared" si="63"/>
        <v>0</v>
      </c>
    </row>
    <row r="367" spans="1:19">
      <c r="A367" s="3005"/>
      <c r="B367" s="714"/>
      <c r="C367" s="23">
        <f t="shared" si="64"/>
        <v>1</v>
      </c>
      <c r="D367" s="715"/>
      <c r="E367" s="23">
        <f t="shared" si="65"/>
        <v>0.03</v>
      </c>
      <c r="F367" s="715"/>
      <c r="G367" s="23">
        <f t="shared" si="66"/>
        <v>0.1</v>
      </c>
      <c r="H367" s="715"/>
      <c r="I367" s="23">
        <f t="shared" si="67"/>
        <v>1</v>
      </c>
      <c r="J367" s="715"/>
      <c r="K367" s="23">
        <f t="shared" si="68"/>
        <v>1</v>
      </c>
      <c r="L367" s="715"/>
      <c r="M367" s="23">
        <f t="shared" si="69"/>
        <v>1</v>
      </c>
      <c r="N367" s="715"/>
      <c r="O367" s="23">
        <f t="shared" si="70"/>
        <v>1</v>
      </c>
      <c r="P367" s="715" t="s">
        <v>3212</v>
      </c>
      <c r="Q367" s="23">
        <f t="shared" si="71"/>
        <v>1</v>
      </c>
      <c r="R367" s="712">
        <f t="shared" si="72"/>
        <v>0</v>
      </c>
      <c r="S367" s="360">
        <f t="shared" si="63"/>
        <v>0</v>
      </c>
    </row>
    <row r="368" spans="1:19">
      <c r="A368" s="3005"/>
      <c r="B368" s="714"/>
      <c r="C368" s="23">
        <f t="shared" si="64"/>
        <v>1</v>
      </c>
      <c r="D368" s="715"/>
      <c r="E368" s="23">
        <f t="shared" si="65"/>
        <v>0.03</v>
      </c>
      <c r="F368" s="715"/>
      <c r="G368" s="23">
        <f t="shared" si="66"/>
        <v>0.1</v>
      </c>
      <c r="H368" s="715"/>
      <c r="I368" s="23">
        <f t="shared" si="67"/>
        <v>1</v>
      </c>
      <c r="J368" s="715"/>
      <c r="K368" s="23">
        <f t="shared" si="68"/>
        <v>1</v>
      </c>
      <c r="L368" s="715"/>
      <c r="M368" s="23">
        <f t="shared" si="69"/>
        <v>1</v>
      </c>
      <c r="N368" s="715"/>
      <c r="O368" s="23">
        <f t="shared" si="70"/>
        <v>1</v>
      </c>
      <c r="P368" s="715" t="s">
        <v>3212</v>
      </c>
      <c r="Q368" s="23">
        <f t="shared" si="71"/>
        <v>1</v>
      </c>
      <c r="R368" s="712">
        <f t="shared" si="72"/>
        <v>0</v>
      </c>
      <c r="S368" s="360">
        <f t="shared" si="63"/>
        <v>0</v>
      </c>
    </row>
    <row r="369" spans="1:19">
      <c r="A369" s="3005"/>
      <c r="B369" s="714"/>
      <c r="C369" s="23">
        <f t="shared" si="64"/>
        <v>1</v>
      </c>
      <c r="D369" s="715"/>
      <c r="E369" s="23">
        <f t="shared" si="65"/>
        <v>0.03</v>
      </c>
      <c r="F369" s="715"/>
      <c r="G369" s="23">
        <f t="shared" si="66"/>
        <v>0.1</v>
      </c>
      <c r="H369" s="715"/>
      <c r="I369" s="23">
        <f t="shared" si="67"/>
        <v>1</v>
      </c>
      <c r="J369" s="715"/>
      <c r="K369" s="23">
        <f t="shared" si="68"/>
        <v>1</v>
      </c>
      <c r="L369" s="715"/>
      <c r="M369" s="23">
        <f t="shared" si="69"/>
        <v>1</v>
      </c>
      <c r="N369" s="715"/>
      <c r="O369" s="23">
        <f t="shared" si="70"/>
        <v>1</v>
      </c>
      <c r="P369" s="715" t="s">
        <v>3212</v>
      </c>
      <c r="Q369" s="23">
        <f t="shared" si="71"/>
        <v>1</v>
      </c>
      <c r="R369" s="712">
        <f t="shared" si="72"/>
        <v>0</v>
      </c>
      <c r="S369" s="360">
        <f t="shared" si="63"/>
        <v>0</v>
      </c>
    </row>
    <row r="370" spans="1:19">
      <c r="A370" s="3005"/>
      <c r="B370" s="714"/>
      <c r="C370" s="23">
        <f t="shared" si="64"/>
        <v>1</v>
      </c>
      <c r="D370" s="715"/>
      <c r="E370" s="23">
        <f t="shared" si="65"/>
        <v>0.03</v>
      </c>
      <c r="F370" s="715"/>
      <c r="G370" s="23">
        <f t="shared" si="66"/>
        <v>0.1</v>
      </c>
      <c r="H370" s="715"/>
      <c r="I370" s="23">
        <f t="shared" si="67"/>
        <v>1</v>
      </c>
      <c r="J370" s="715"/>
      <c r="K370" s="23">
        <f t="shared" si="68"/>
        <v>1</v>
      </c>
      <c r="L370" s="715"/>
      <c r="M370" s="23">
        <f t="shared" si="69"/>
        <v>1</v>
      </c>
      <c r="N370" s="715"/>
      <c r="O370" s="23">
        <f t="shared" si="70"/>
        <v>1</v>
      </c>
      <c r="P370" s="715" t="s">
        <v>3117</v>
      </c>
      <c r="Q370" s="23">
        <f t="shared" si="71"/>
        <v>1.1499999999999999</v>
      </c>
      <c r="R370" s="712">
        <f t="shared" si="72"/>
        <v>0</v>
      </c>
      <c r="S370" s="360">
        <f t="shared" si="63"/>
        <v>0</v>
      </c>
    </row>
    <row r="371" spans="1:19">
      <c r="A371" s="3005"/>
      <c r="B371" s="714"/>
      <c r="C371" s="23">
        <f t="shared" si="64"/>
        <v>1</v>
      </c>
      <c r="D371" s="715"/>
      <c r="E371" s="23">
        <f t="shared" si="65"/>
        <v>0.03</v>
      </c>
      <c r="F371" s="715"/>
      <c r="G371" s="23">
        <f t="shared" si="66"/>
        <v>0.1</v>
      </c>
      <c r="H371" s="715"/>
      <c r="I371" s="23">
        <f t="shared" si="67"/>
        <v>1</v>
      </c>
      <c r="J371" s="715"/>
      <c r="K371" s="23">
        <f t="shared" si="68"/>
        <v>1</v>
      </c>
      <c r="L371" s="715"/>
      <c r="M371" s="23">
        <f t="shared" si="69"/>
        <v>1</v>
      </c>
      <c r="N371" s="715"/>
      <c r="O371" s="23">
        <f t="shared" si="70"/>
        <v>1</v>
      </c>
      <c r="P371" s="715" t="s">
        <v>3117</v>
      </c>
      <c r="Q371" s="23">
        <f t="shared" si="71"/>
        <v>1.1499999999999999</v>
      </c>
      <c r="R371" s="712">
        <f t="shared" si="72"/>
        <v>0</v>
      </c>
      <c r="S371" s="360">
        <f t="shared" si="63"/>
        <v>0</v>
      </c>
    </row>
    <row r="372" spans="1:19">
      <c r="A372" s="3005"/>
      <c r="B372" s="714"/>
      <c r="C372" s="23">
        <f t="shared" si="64"/>
        <v>1</v>
      </c>
      <c r="D372" s="715"/>
      <c r="E372" s="23">
        <f t="shared" si="65"/>
        <v>0.03</v>
      </c>
      <c r="F372" s="715"/>
      <c r="G372" s="23">
        <f t="shared" si="66"/>
        <v>0.1</v>
      </c>
      <c r="H372" s="715"/>
      <c r="I372" s="23">
        <f t="shared" si="67"/>
        <v>1</v>
      </c>
      <c r="J372" s="715"/>
      <c r="K372" s="23">
        <f t="shared" si="68"/>
        <v>1</v>
      </c>
      <c r="L372" s="715"/>
      <c r="M372" s="23">
        <f t="shared" si="69"/>
        <v>1</v>
      </c>
      <c r="N372" s="715"/>
      <c r="O372" s="23">
        <f t="shared" si="70"/>
        <v>1</v>
      </c>
      <c r="P372" s="715" t="s">
        <v>3117</v>
      </c>
      <c r="Q372" s="23">
        <f t="shared" si="71"/>
        <v>1.1499999999999999</v>
      </c>
      <c r="R372" s="712">
        <f t="shared" si="72"/>
        <v>0</v>
      </c>
      <c r="S372" s="360">
        <f t="shared" si="63"/>
        <v>0</v>
      </c>
    </row>
    <row r="373" spans="1:19">
      <c r="A373" s="3005"/>
      <c r="B373" s="714"/>
      <c r="C373" s="23">
        <f t="shared" si="64"/>
        <v>1</v>
      </c>
      <c r="D373" s="715"/>
      <c r="E373" s="23">
        <f t="shared" si="65"/>
        <v>0.03</v>
      </c>
      <c r="F373" s="715"/>
      <c r="G373" s="23">
        <f t="shared" si="66"/>
        <v>0.1</v>
      </c>
      <c r="H373" s="715"/>
      <c r="I373" s="23">
        <f t="shared" si="67"/>
        <v>1</v>
      </c>
      <c r="J373" s="715"/>
      <c r="K373" s="23">
        <f t="shared" si="68"/>
        <v>1</v>
      </c>
      <c r="L373" s="715"/>
      <c r="M373" s="23">
        <f t="shared" si="69"/>
        <v>1</v>
      </c>
      <c r="N373" s="715"/>
      <c r="O373" s="23">
        <f t="shared" si="70"/>
        <v>1</v>
      </c>
      <c r="P373" s="715" t="s">
        <v>3117</v>
      </c>
      <c r="Q373" s="23">
        <f t="shared" si="71"/>
        <v>1.1499999999999999</v>
      </c>
      <c r="R373" s="712">
        <f t="shared" si="72"/>
        <v>0</v>
      </c>
      <c r="S373" s="360">
        <f t="shared" si="63"/>
        <v>0</v>
      </c>
    </row>
    <row r="374" spans="1:19">
      <c r="A374" s="3005"/>
      <c r="B374" s="714"/>
      <c r="C374" s="23">
        <f t="shared" si="64"/>
        <v>1</v>
      </c>
      <c r="D374" s="715"/>
      <c r="E374" s="23">
        <f t="shared" si="65"/>
        <v>0.03</v>
      </c>
      <c r="F374" s="715"/>
      <c r="G374" s="23">
        <f t="shared" si="66"/>
        <v>0.1</v>
      </c>
      <c r="H374" s="715"/>
      <c r="I374" s="23">
        <f t="shared" si="67"/>
        <v>1</v>
      </c>
      <c r="J374" s="715"/>
      <c r="K374" s="23">
        <f t="shared" si="68"/>
        <v>1</v>
      </c>
      <c r="L374" s="715"/>
      <c r="M374" s="23">
        <f t="shared" si="69"/>
        <v>1</v>
      </c>
      <c r="N374" s="715"/>
      <c r="O374" s="23">
        <f t="shared" si="70"/>
        <v>1</v>
      </c>
      <c r="P374" s="715" t="s">
        <v>3117</v>
      </c>
      <c r="Q374" s="23">
        <f t="shared" si="71"/>
        <v>1.1499999999999999</v>
      </c>
      <c r="R374" s="712">
        <f t="shared" si="72"/>
        <v>0</v>
      </c>
      <c r="S374" s="360">
        <f t="shared" si="63"/>
        <v>0</v>
      </c>
    </row>
    <row r="375" spans="1:19">
      <c r="A375" s="3005"/>
      <c r="B375" s="714"/>
      <c r="C375" s="23">
        <f t="shared" si="64"/>
        <v>1</v>
      </c>
      <c r="D375" s="715"/>
      <c r="E375" s="23">
        <f t="shared" si="65"/>
        <v>0.03</v>
      </c>
      <c r="F375" s="715"/>
      <c r="G375" s="23">
        <f t="shared" si="66"/>
        <v>0.1</v>
      </c>
      <c r="H375" s="715"/>
      <c r="I375" s="23">
        <f t="shared" si="67"/>
        <v>1</v>
      </c>
      <c r="J375" s="715"/>
      <c r="K375" s="23">
        <f t="shared" si="68"/>
        <v>1</v>
      </c>
      <c r="L375" s="715"/>
      <c r="M375" s="23">
        <f t="shared" si="69"/>
        <v>1</v>
      </c>
      <c r="N375" s="715"/>
      <c r="O375" s="23">
        <f t="shared" si="70"/>
        <v>1</v>
      </c>
      <c r="P375" s="715" t="s">
        <v>3117</v>
      </c>
      <c r="Q375" s="23">
        <f t="shared" si="71"/>
        <v>1.1499999999999999</v>
      </c>
      <c r="R375" s="712">
        <f t="shared" si="72"/>
        <v>0</v>
      </c>
      <c r="S375" s="360">
        <f t="shared" si="63"/>
        <v>0</v>
      </c>
    </row>
    <row r="376" spans="1:19">
      <c r="A376" s="3005"/>
      <c r="B376" s="714"/>
      <c r="C376" s="23">
        <f t="shared" si="64"/>
        <v>1</v>
      </c>
      <c r="D376" s="715"/>
      <c r="E376" s="23">
        <f t="shared" si="65"/>
        <v>0.03</v>
      </c>
      <c r="F376" s="715"/>
      <c r="G376" s="23">
        <f t="shared" si="66"/>
        <v>0.1</v>
      </c>
      <c r="H376" s="715"/>
      <c r="I376" s="23">
        <f t="shared" si="67"/>
        <v>1</v>
      </c>
      <c r="J376" s="715"/>
      <c r="K376" s="23">
        <f t="shared" si="68"/>
        <v>1</v>
      </c>
      <c r="L376" s="715"/>
      <c r="M376" s="23">
        <f t="shared" si="69"/>
        <v>1</v>
      </c>
      <c r="N376" s="715"/>
      <c r="O376" s="23">
        <f t="shared" si="70"/>
        <v>1</v>
      </c>
      <c r="P376" s="715" t="s">
        <v>3117</v>
      </c>
      <c r="Q376" s="23">
        <f t="shared" si="71"/>
        <v>1.1499999999999999</v>
      </c>
      <c r="R376" s="712">
        <f t="shared" si="72"/>
        <v>0</v>
      </c>
      <c r="S376" s="360">
        <f t="shared" si="63"/>
        <v>0</v>
      </c>
    </row>
    <row r="377" spans="1:19">
      <c r="A377" s="3005"/>
      <c r="B377" s="714"/>
      <c r="C377" s="23">
        <f t="shared" si="64"/>
        <v>1</v>
      </c>
      <c r="D377" s="715"/>
      <c r="E377" s="23">
        <f t="shared" si="65"/>
        <v>0.03</v>
      </c>
      <c r="F377" s="715"/>
      <c r="G377" s="23">
        <f t="shared" si="66"/>
        <v>0.1</v>
      </c>
      <c r="H377" s="715"/>
      <c r="I377" s="23">
        <f t="shared" si="67"/>
        <v>1</v>
      </c>
      <c r="J377" s="715"/>
      <c r="K377" s="23">
        <f t="shared" si="68"/>
        <v>1</v>
      </c>
      <c r="L377" s="715"/>
      <c r="M377" s="23">
        <f t="shared" si="69"/>
        <v>1</v>
      </c>
      <c r="N377" s="715"/>
      <c r="O377" s="23">
        <f t="shared" si="70"/>
        <v>1</v>
      </c>
      <c r="P377" s="715" t="s">
        <v>3117</v>
      </c>
      <c r="Q377" s="23">
        <f t="shared" si="71"/>
        <v>1.1499999999999999</v>
      </c>
      <c r="R377" s="712">
        <f t="shared" si="72"/>
        <v>0</v>
      </c>
      <c r="S377" s="360">
        <f t="shared" si="63"/>
        <v>0</v>
      </c>
    </row>
    <row r="378" spans="1:19">
      <c r="A378" s="3005"/>
      <c r="B378" s="714"/>
      <c r="C378" s="23">
        <f t="shared" si="64"/>
        <v>1</v>
      </c>
      <c r="D378" s="715"/>
      <c r="E378" s="23">
        <f t="shared" si="65"/>
        <v>0.03</v>
      </c>
      <c r="F378" s="715"/>
      <c r="G378" s="23">
        <f t="shared" si="66"/>
        <v>0.1</v>
      </c>
      <c r="H378" s="715"/>
      <c r="I378" s="23">
        <f t="shared" si="67"/>
        <v>1</v>
      </c>
      <c r="J378" s="715"/>
      <c r="K378" s="23">
        <f t="shared" si="68"/>
        <v>1</v>
      </c>
      <c r="L378" s="715"/>
      <c r="M378" s="23">
        <f t="shared" si="69"/>
        <v>1</v>
      </c>
      <c r="N378" s="715"/>
      <c r="O378" s="23">
        <f t="shared" si="70"/>
        <v>1</v>
      </c>
      <c r="P378" s="715" t="s">
        <v>3212</v>
      </c>
      <c r="Q378" s="23">
        <f t="shared" si="71"/>
        <v>1</v>
      </c>
      <c r="R378" s="712">
        <f t="shared" si="72"/>
        <v>0</v>
      </c>
      <c r="S378" s="360">
        <f t="shared" si="63"/>
        <v>0</v>
      </c>
    </row>
    <row r="379" spans="1:19">
      <c r="A379" s="3005"/>
      <c r="B379" s="714"/>
      <c r="C379" s="23">
        <f t="shared" si="64"/>
        <v>1</v>
      </c>
      <c r="D379" s="715"/>
      <c r="E379" s="23">
        <f t="shared" si="65"/>
        <v>0.03</v>
      </c>
      <c r="F379" s="715"/>
      <c r="G379" s="23">
        <f t="shared" si="66"/>
        <v>0.1</v>
      </c>
      <c r="H379" s="715"/>
      <c r="I379" s="23">
        <f t="shared" si="67"/>
        <v>1</v>
      </c>
      <c r="J379" s="715"/>
      <c r="K379" s="23">
        <f t="shared" si="68"/>
        <v>1</v>
      </c>
      <c r="L379" s="715"/>
      <c r="M379" s="23">
        <f t="shared" si="69"/>
        <v>1</v>
      </c>
      <c r="N379" s="715"/>
      <c r="O379" s="23">
        <f t="shared" si="70"/>
        <v>1</v>
      </c>
      <c r="P379" s="715" t="s">
        <v>3212</v>
      </c>
      <c r="Q379" s="23">
        <f t="shared" si="71"/>
        <v>1</v>
      </c>
      <c r="R379" s="712">
        <f t="shared" si="72"/>
        <v>0</v>
      </c>
      <c r="S379" s="360">
        <f t="shared" si="63"/>
        <v>0</v>
      </c>
    </row>
    <row r="380" spans="1:19">
      <c r="A380" s="3005"/>
      <c r="B380" s="714"/>
      <c r="C380" s="23">
        <f t="shared" si="64"/>
        <v>1</v>
      </c>
      <c r="D380" s="715"/>
      <c r="E380" s="23">
        <f t="shared" si="65"/>
        <v>0.03</v>
      </c>
      <c r="F380" s="715"/>
      <c r="G380" s="23">
        <f t="shared" si="66"/>
        <v>0.1</v>
      </c>
      <c r="H380" s="715"/>
      <c r="I380" s="23">
        <f t="shared" si="67"/>
        <v>1</v>
      </c>
      <c r="J380" s="715"/>
      <c r="K380" s="23">
        <f t="shared" si="68"/>
        <v>1</v>
      </c>
      <c r="L380" s="715"/>
      <c r="M380" s="23">
        <f t="shared" si="69"/>
        <v>1</v>
      </c>
      <c r="N380" s="715"/>
      <c r="O380" s="23">
        <f t="shared" si="70"/>
        <v>1</v>
      </c>
      <c r="P380" s="715" t="s">
        <v>3212</v>
      </c>
      <c r="Q380" s="23">
        <f t="shared" si="71"/>
        <v>1</v>
      </c>
      <c r="R380" s="712">
        <f t="shared" si="72"/>
        <v>0</v>
      </c>
      <c r="S380" s="360">
        <f t="shared" si="63"/>
        <v>0</v>
      </c>
    </row>
    <row r="381" spans="1:19">
      <c r="A381" s="3005"/>
      <c r="B381" s="714"/>
      <c r="C381" s="23">
        <f t="shared" si="64"/>
        <v>1</v>
      </c>
      <c r="D381" s="715"/>
      <c r="E381" s="23">
        <f t="shared" si="65"/>
        <v>0.03</v>
      </c>
      <c r="F381" s="715"/>
      <c r="G381" s="23">
        <f t="shared" si="66"/>
        <v>0.1</v>
      </c>
      <c r="H381" s="715"/>
      <c r="I381" s="23">
        <f t="shared" si="67"/>
        <v>1</v>
      </c>
      <c r="J381" s="715"/>
      <c r="K381" s="23">
        <f t="shared" si="68"/>
        <v>1</v>
      </c>
      <c r="L381" s="715"/>
      <c r="M381" s="23">
        <f t="shared" si="69"/>
        <v>1</v>
      </c>
      <c r="N381" s="715"/>
      <c r="O381" s="23">
        <f t="shared" si="70"/>
        <v>1</v>
      </c>
      <c r="P381" s="715" t="s">
        <v>3212</v>
      </c>
      <c r="Q381" s="23">
        <f t="shared" si="71"/>
        <v>1</v>
      </c>
      <c r="R381" s="712">
        <f t="shared" si="72"/>
        <v>0</v>
      </c>
      <c r="S381" s="360">
        <f t="shared" si="63"/>
        <v>0</v>
      </c>
    </row>
    <row r="382" spans="1:19">
      <c r="A382" s="3005"/>
      <c r="B382" s="714"/>
      <c r="C382" s="23">
        <f t="shared" si="64"/>
        <v>1</v>
      </c>
      <c r="D382" s="715"/>
      <c r="E382" s="23">
        <f t="shared" si="65"/>
        <v>0.03</v>
      </c>
      <c r="F382" s="715"/>
      <c r="G382" s="23">
        <f t="shared" si="66"/>
        <v>0.1</v>
      </c>
      <c r="H382" s="715"/>
      <c r="I382" s="23">
        <f t="shared" si="67"/>
        <v>1</v>
      </c>
      <c r="J382" s="715"/>
      <c r="K382" s="23">
        <f t="shared" si="68"/>
        <v>1</v>
      </c>
      <c r="L382" s="715"/>
      <c r="M382" s="23">
        <f t="shared" si="69"/>
        <v>1</v>
      </c>
      <c r="N382" s="715"/>
      <c r="O382" s="23">
        <f t="shared" si="70"/>
        <v>1</v>
      </c>
      <c r="P382" s="715" t="s">
        <v>3212</v>
      </c>
      <c r="Q382" s="23">
        <f t="shared" si="71"/>
        <v>1</v>
      </c>
      <c r="R382" s="712">
        <f t="shared" si="72"/>
        <v>0</v>
      </c>
      <c r="S382" s="360">
        <f t="shared" si="63"/>
        <v>0</v>
      </c>
    </row>
    <row r="383" spans="1:19">
      <c r="A383" s="3005"/>
      <c r="B383" s="714"/>
      <c r="C383" s="23">
        <f t="shared" si="64"/>
        <v>1</v>
      </c>
      <c r="D383" s="715"/>
      <c r="E383" s="23">
        <f t="shared" si="65"/>
        <v>0.03</v>
      </c>
      <c r="F383" s="715"/>
      <c r="G383" s="23">
        <f t="shared" si="66"/>
        <v>0.1</v>
      </c>
      <c r="H383" s="715"/>
      <c r="I383" s="23">
        <f t="shared" si="67"/>
        <v>1</v>
      </c>
      <c r="J383" s="715"/>
      <c r="K383" s="23">
        <f t="shared" si="68"/>
        <v>1</v>
      </c>
      <c r="L383" s="715"/>
      <c r="M383" s="23">
        <f t="shared" si="69"/>
        <v>1</v>
      </c>
      <c r="N383" s="715"/>
      <c r="O383" s="23">
        <f t="shared" si="70"/>
        <v>1</v>
      </c>
      <c r="P383" s="715" t="s">
        <v>3212</v>
      </c>
      <c r="Q383" s="23">
        <f t="shared" si="71"/>
        <v>1</v>
      </c>
      <c r="R383" s="712">
        <f t="shared" si="72"/>
        <v>0</v>
      </c>
      <c r="S383" s="360">
        <f t="shared" si="63"/>
        <v>0</v>
      </c>
    </row>
    <row r="384" spans="1:19">
      <c r="A384" s="3005"/>
      <c r="B384" s="714"/>
      <c r="C384" s="23">
        <f t="shared" si="64"/>
        <v>1</v>
      </c>
      <c r="D384" s="715"/>
      <c r="E384" s="23">
        <f t="shared" si="65"/>
        <v>0.03</v>
      </c>
      <c r="F384" s="715"/>
      <c r="G384" s="23">
        <f t="shared" si="66"/>
        <v>0.1</v>
      </c>
      <c r="H384" s="715"/>
      <c r="I384" s="23">
        <f t="shared" si="67"/>
        <v>1</v>
      </c>
      <c r="J384" s="715"/>
      <c r="K384" s="23">
        <f t="shared" si="68"/>
        <v>1</v>
      </c>
      <c r="L384" s="715"/>
      <c r="M384" s="23">
        <f t="shared" si="69"/>
        <v>1</v>
      </c>
      <c r="N384" s="715"/>
      <c r="O384" s="23">
        <f t="shared" si="70"/>
        <v>1</v>
      </c>
      <c r="P384" s="715"/>
      <c r="Q384" s="23">
        <f t="shared" si="71"/>
        <v>0.15</v>
      </c>
      <c r="R384" s="712">
        <f t="shared" si="72"/>
        <v>0</v>
      </c>
      <c r="S384" s="360">
        <f t="shared" si="63"/>
        <v>0</v>
      </c>
    </row>
    <row r="385" spans="1:19">
      <c r="A385" s="3005"/>
      <c r="B385" s="714"/>
      <c r="C385" s="23">
        <f t="shared" si="64"/>
        <v>1</v>
      </c>
      <c r="D385" s="715"/>
      <c r="E385" s="23">
        <f t="shared" si="65"/>
        <v>0.03</v>
      </c>
      <c r="F385" s="715"/>
      <c r="G385" s="23">
        <f t="shared" si="66"/>
        <v>0.1</v>
      </c>
      <c r="H385" s="715"/>
      <c r="I385" s="23">
        <f t="shared" si="67"/>
        <v>1</v>
      </c>
      <c r="J385" s="715"/>
      <c r="K385" s="23">
        <f t="shared" si="68"/>
        <v>1</v>
      </c>
      <c r="L385" s="715"/>
      <c r="M385" s="23">
        <f t="shared" si="69"/>
        <v>1</v>
      </c>
      <c r="N385" s="715"/>
      <c r="O385" s="23">
        <f t="shared" si="70"/>
        <v>1</v>
      </c>
      <c r="P385" s="715"/>
      <c r="Q385" s="23">
        <f t="shared" si="71"/>
        <v>0.15</v>
      </c>
      <c r="R385" s="712">
        <f t="shared" si="72"/>
        <v>0</v>
      </c>
      <c r="S385" s="360">
        <f t="shared" ref="S385:S422" si="73">ROUND(R385*B385/10000,0)</f>
        <v>0</v>
      </c>
    </row>
    <row r="386" spans="1:19">
      <c r="A386" s="3005"/>
      <c r="B386" s="714"/>
      <c r="C386" s="23">
        <f t="shared" si="64"/>
        <v>1</v>
      </c>
      <c r="D386" s="715"/>
      <c r="E386" s="23">
        <f t="shared" si="65"/>
        <v>0.03</v>
      </c>
      <c r="F386" s="715"/>
      <c r="G386" s="23">
        <f t="shared" si="66"/>
        <v>0.1</v>
      </c>
      <c r="H386" s="715"/>
      <c r="I386" s="23">
        <f t="shared" si="67"/>
        <v>1</v>
      </c>
      <c r="J386" s="715"/>
      <c r="K386" s="23">
        <f t="shared" si="68"/>
        <v>1</v>
      </c>
      <c r="L386" s="715"/>
      <c r="M386" s="23">
        <f t="shared" si="69"/>
        <v>1</v>
      </c>
      <c r="N386" s="715"/>
      <c r="O386" s="23">
        <f t="shared" si="70"/>
        <v>1</v>
      </c>
      <c r="P386" s="715"/>
      <c r="Q386" s="23">
        <f t="shared" si="71"/>
        <v>0.15</v>
      </c>
      <c r="R386" s="712">
        <f t="shared" si="72"/>
        <v>0</v>
      </c>
      <c r="S386" s="360">
        <f t="shared" si="73"/>
        <v>0</v>
      </c>
    </row>
    <row r="387" spans="1:19">
      <c r="A387" s="3005"/>
      <c r="B387" s="714"/>
      <c r="C387" s="23">
        <f t="shared" si="64"/>
        <v>1</v>
      </c>
      <c r="D387" s="715"/>
      <c r="E387" s="23">
        <f t="shared" si="65"/>
        <v>0.03</v>
      </c>
      <c r="F387" s="715"/>
      <c r="G387" s="23">
        <f t="shared" si="66"/>
        <v>0.1</v>
      </c>
      <c r="H387" s="715"/>
      <c r="I387" s="23">
        <f t="shared" si="67"/>
        <v>1</v>
      </c>
      <c r="J387" s="715"/>
      <c r="K387" s="23">
        <f t="shared" si="68"/>
        <v>1</v>
      </c>
      <c r="L387" s="715"/>
      <c r="M387" s="23">
        <f t="shared" si="69"/>
        <v>1</v>
      </c>
      <c r="N387" s="715"/>
      <c r="O387" s="23">
        <f t="shared" si="70"/>
        <v>1</v>
      </c>
      <c r="P387" s="715"/>
      <c r="Q387" s="23">
        <f t="shared" si="71"/>
        <v>0.15</v>
      </c>
      <c r="R387" s="712">
        <f t="shared" si="72"/>
        <v>0</v>
      </c>
      <c r="S387" s="360">
        <f t="shared" si="73"/>
        <v>0</v>
      </c>
    </row>
    <row r="388" spans="1:19">
      <c r="A388" s="3005"/>
      <c r="B388" s="714"/>
      <c r="C388" s="23">
        <f t="shared" si="64"/>
        <v>1</v>
      </c>
      <c r="D388" s="715"/>
      <c r="E388" s="23">
        <f t="shared" si="65"/>
        <v>0.03</v>
      </c>
      <c r="F388" s="715"/>
      <c r="G388" s="23">
        <f t="shared" si="66"/>
        <v>0.1</v>
      </c>
      <c r="H388" s="715"/>
      <c r="I388" s="23">
        <f t="shared" si="67"/>
        <v>1</v>
      </c>
      <c r="J388" s="715"/>
      <c r="K388" s="23">
        <f t="shared" si="68"/>
        <v>1</v>
      </c>
      <c r="L388" s="715"/>
      <c r="M388" s="23">
        <f t="shared" si="69"/>
        <v>1</v>
      </c>
      <c r="N388" s="715"/>
      <c r="O388" s="23">
        <f t="shared" si="70"/>
        <v>1</v>
      </c>
      <c r="P388" s="715"/>
      <c r="Q388" s="23">
        <f t="shared" si="71"/>
        <v>0.15</v>
      </c>
      <c r="R388" s="712">
        <f t="shared" si="72"/>
        <v>0</v>
      </c>
      <c r="S388" s="360">
        <f t="shared" si="73"/>
        <v>0</v>
      </c>
    </row>
    <row r="389" spans="1:19">
      <c r="A389" s="3005"/>
      <c r="B389" s="714"/>
      <c r="C389" s="23">
        <f t="shared" si="64"/>
        <v>1</v>
      </c>
      <c r="D389" s="715"/>
      <c r="E389" s="23">
        <f t="shared" si="65"/>
        <v>0.03</v>
      </c>
      <c r="F389" s="715"/>
      <c r="G389" s="23">
        <f t="shared" si="66"/>
        <v>0.1</v>
      </c>
      <c r="H389" s="715"/>
      <c r="I389" s="23">
        <f t="shared" si="67"/>
        <v>1</v>
      </c>
      <c r="J389" s="715"/>
      <c r="K389" s="23">
        <f t="shared" si="68"/>
        <v>1</v>
      </c>
      <c r="L389" s="715"/>
      <c r="M389" s="23">
        <f t="shared" si="69"/>
        <v>1</v>
      </c>
      <c r="N389" s="715"/>
      <c r="O389" s="23">
        <f t="shared" si="70"/>
        <v>1</v>
      </c>
      <c r="P389" s="715"/>
      <c r="Q389" s="23">
        <f t="shared" si="71"/>
        <v>0.15</v>
      </c>
      <c r="R389" s="712">
        <f t="shared" si="72"/>
        <v>0</v>
      </c>
      <c r="S389" s="360">
        <f t="shared" si="73"/>
        <v>0</v>
      </c>
    </row>
    <row r="390" spans="1:19">
      <c r="A390" s="3005"/>
      <c r="B390" s="714"/>
      <c r="C390" s="23">
        <f t="shared" si="64"/>
        <v>1</v>
      </c>
      <c r="D390" s="715"/>
      <c r="E390" s="23">
        <f t="shared" si="65"/>
        <v>0.03</v>
      </c>
      <c r="F390" s="715"/>
      <c r="G390" s="23">
        <f t="shared" si="66"/>
        <v>0.1</v>
      </c>
      <c r="H390" s="715"/>
      <c r="I390" s="23">
        <f t="shared" si="67"/>
        <v>1</v>
      </c>
      <c r="J390" s="715"/>
      <c r="K390" s="23">
        <f t="shared" si="68"/>
        <v>1</v>
      </c>
      <c r="L390" s="715"/>
      <c r="M390" s="23">
        <f t="shared" si="69"/>
        <v>1</v>
      </c>
      <c r="N390" s="715"/>
      <c r="O390" s="23">
        <f t="shared" si="70"/>
        <v>1</v>
      </c>
      <c r="P390" s="715"/>
      <c r="Q390" s="23">
        <f t="shared" si="71"/>
        <v>0.15</v>
      </c>
      <c r="R390" s="712">
        <f t="shared" si="72"/>
        <v>0</v>
      </c>
      <c r="S390" s="360">
        <f t="shared" si="73"/>
        <v>0</v>
      </c>
    </row>
    <row r="391" spans="1:19">
      <c r="A391" s="3005"/>
      <c r="B391" s="714"/>
      <c r="C391" s="23">
        <f t="shared" si="64"/>
        <v>1</v>
      </c>
      <c r="D391" s="715"/>
      <c r="E391" s="23">
        <f t="shared" si="65"/>
        <v>0.03</v>
      </c>
      <c r="F391" s="715"/>
      <c r="G391" s="23">
        <f t="shared" si="66"/>
        <v>0.1</v>
      </c>
      <c r="H391" s="715"/>
      <c r="I391" s="23">
        <f t="shared" si="67"/>
        <v>1</v>
      </c>
      <c r="J391" s="715"/>
      <c r="K391" s="23">
        <f t="shared" si="68"/>
        <v>1</v>
      </c>
      <c r="L391" s="715"/>
      <c r="M391" s="23">
        <f t="shared" si="69"/>
        <v>1</v>
      </c>
      <c r="N391" s="715"/>
      <c r="O391" s="23">
        <f t="shared" si="70"/>
        <v>1</v>
      </c>
      <c r="P391" s="715"/>
      <c r="Q391" s="23">
        <f t="shared" si="71"/>
        <v>0.15</v>
      </c>
      <c r="R391" s="712">
        <f t="shared" si="72"/>
        <v>0</v>
      </c>
      <c r="S391" s="360">
        <f t="shared" si="73"/>
        <v>0</v>
      </c>
    </row>
    <row r="392" spans="1:19">
      <c r="A392" s="3005"/>
      <c r="B392" s="714"/>
      <c r="C392" s="23">
        <f t="shared" si="64"/>
        <v>1</v>
      </c>
      <c r="D392" s="715"/>
      <c r="E392" s="23">
        <f t="shared" si="65"/>
        <v>0.03</v>
      </c>
      <c r="F392" s="715"/>
      <c r="G392" s="23">
        <f t="shared" si="66"/>
        <v>0.1</v>
      </c>
      <c r="H392" s="715"/>
      <c r="I392" s="23">
        <f t="shared" si="67"/>
        <v>1</v>
      </c>
      <c r="J392" s="715"/>
      <c r="K392" s="23">
        <f t="shared" si="68"/>
        <v>1</v>
      </c>
      <c r="L392" s="715"/>
      <c r="M392" s="23">
        <f t="shared" si="69"/>
        <v>1</v>
      </c>
      <c r="N392" s="715"/>
      <c r="O392" s="23">
        <f t="shared" si="70"/>
        <v>1</v>
      </c>
      <c r="P392" s="715"/>
      <c r="Q392" s="23">
        <f t="shared" si="71"/>
        <v>0.15</v>
      </c>
      <c r="R392" s="712">
        <f t="shared" si="72"/>
        <v>0</v>
      </c>
      <c r="S392" s="360">
        <f t="shared" si="73"/>
        <v>0</v>
      </c>
    </row>
    <row r="393" spans="1:19">
      <c r="A393" s="3005"/>
      <c r="B393" s="714"/>
      <c r="C393" s="23">
        <f t="shared" si="64"/>
        <v>1</v>
      </c>
      <c r="D393" s="715"/>
      <c r="E393" s="23">
        <f t="shared" si="65"/>
        <v>0.03</v>
      </c>
      <c r="F393" s="715"/>
      <c r="G393" s="23">
        <f t="shared" si="66"/>
        <v>0.1</v>
      </c>
      <c r="H393" s="715"/>
      <c r="I393" s="23">
        <f t="shared" si="67"/>
        <v>1</v>
      </c>
      <c r="J393" s="715"/>
      <c r="K393" s="23">
        <f t="shared" si="68"/>
        <v>1</v>
      </c>
      <c r="L393" s="715"/>
      <c r="M393" s="23">
        <f t="shared" si="69"/>
        <v>1</v>
      </c>
      <c r="N393" s="715"/>
      <c r="O393" s="23">
        <f t="shared" si="70"/>
        <v>1</v>
      </c>
      <c r="P393" s="715"/>
      <c r="Q393" s="23">
        <f t="shared" si="71"/>
        <v>0.15</v>
      </c>
      <c r="R393" s="712">
        <f t="shared" si="72"/>
        <v>0</v>
      </c>
      <c r="S393" s="360">
        <f t="shared" si="73"/>
        <v>0</v>
      </c>
    </row>
    <row r="394" spans="1:19">
      <c r="A394" s="3005"/>
      <c r="B394" s="714"/>
      <c r="C394" s="23">
        <f t="shared" si="64"/>
        <v>1</v>
      </c>
      <c r="D394" s="715"/>
      <c r="E394" s="23">
        <f t="shared" si="65"/>
        <v>0.03</v>
      </c>
      <c r="F394" s="715"/>
      <c r="G394" s="23">
        <f t="shared" si="66"/>
        <v>0.1</v>
      </c>
      <c r="H394" s="715"/>
      <c r="I394" s="23">
        <f t="shared" si="67"/>
        <v>1</v>
      </c>
      <c r="J394" s="715"/>
      <c r="K394" s="23">
        <f t="shared" si="68"/>
        <v>1</v>
      </c>
      <c r="L394" s="715"/>
      <c r="M394" s="23">
        <f t="shared" si="69"/>
        <v>1</v>
      </c>
      <c r="N394" s="715"/>
      <c r="O394" s="23">
        <f t="shared" si="70"/>
        <v>1</v>
      </c>
      <c r="P394" s="715"/>
      <c r="Q394" s="23">
        <f t="shared" si="71"/>
        <v>0.15</v>
      </c>
      <c r="R394" s="712">
        <f t="shared" si="72"/>
        <v>0</v>
      </c>
      <c r="S394" s="360">
        <f t="shared" si="73"/>
        <v>0</v>
      </c>
    </row>
    <row r="395" spans="1:19">
      <c r="A395" s="3005"/>
      <c r="B395" s="714"/>
      <c r="C395" s="23">
        <f t="shared" si="64"/>
        <v>1</v>
      </c>
      <c r="D395" s="715"/>
      <c r="E395" s="23">
        <f t="shared" si="65"/>
        <v>0.03</v>
      </c>
      <c r="F395" s="715"/>
      <c r="G395" s="23">
        <f t="shared" si="66"/>
        <v>0.1</v>
      </c>
      <c r="H395" s="715"/>
      <c r="I395" s="23">
        <f t="shared" si="67"/>
        <v>1</v>
      </c>
      <c r="J395" s="715"/>
      <c r="K395" s="23">
        <f t="shared" si="68"/>
        <v>1</v>
      </c>
      <c r="L395" s="715"/>
      <c r="M395" s="23">
        <f t="shared" si="69"/>
        <v>1</v>
      </c>
      <c r="N395" s="715"/>
      <c r="O395" s="23">
        <f t="shared" si="70"/>
        <v>1</v>
      </c>
      <c r="P395" s="715"/>
      <c r="Q395" s="23">
        <f t="shared" si="71"/>
        <v>0.15</v>
      </c>
      <c r="R395" s="712">
        <f t="shared" si="72"/>
        <v>0</v>
      </c>
      <c r="S395" s="360">
        <f t="shared" si="73"/>
        <v>0</v>
      </c>
    </row>
    <row r="396" spans="1:19">
      <c r="A396" s="3005"/>
      <c r="B396" s="714"/>
      <c r="C396" s="23">
        <f t="shared" si="64"/>
        <v>1</v>
      </c>
      <c r="D396" s="715"/>
      <c r="E396" s="23">
        <f t="shared" si="65"/>
        <v>0.03</v>
      </c>
      <c r="F396" s="715"/>
      <c r="G396" s="23">
        <f t="shared" si="66"/>
        <v>0.1</v>
      </c>
      <c r="H396" s="715"/>
      <c r="I396" s="23">
        <f t="shared" si="67"/>
        <v>1</v>
      </c>
      <c r="J396" s="715"/>
      <c r="K396" s="23">
        <f t="shared" si="68"/>
        <v>1</v>
      </c>
      <c r="L396" s="715"/>
      <c r="M396" s="23">
        <f t="shared" si="69"/>
        <v>1</v>
      </c>
      <c r="N396" s="715"/>
      <c r="O396" s="23">
        <f t="shared" si="70"/>
        <v>1</v>
      </c>
      <c r="P396" s="715"/>
      <c r="Q396" s="23">
        <f t="shared" si="71"/>
        <v>0.15</v>
      </c>
      <c r="R396" s="712">
        <f t="shared" si="72"/>
        <v>0</v>
      </c>
      <c r="S396" s="360">
        <f t="shared" si="73"/>
        <v>0</v>
      </c>
    </row>
    <row r="397" spans="1:19">
      <c r="A397" s="3005"/>
      <c r="B397" s="714"/>
      <c r="C397" s="23">
        <f t="shared" si="64"/>
        <v>1</v>
      </c>
      <c r="D397" s="715"/>
      <c r="E397" s="23">
        <f t="shared" si="65"/>
        <v>0.03</v>
      </c>
      <c r="F397" s="715"/>
      <c r="G397" s="23">
        <f t="shared" si="66"/>
        <v>0.1</v>
      </c>
      <c r="H397" s="715"/>
      <c r="I397" s="23">
        <f t="shared" si="67"/>
        <v>1</v>
      </c>
      <c r="J397" s="715"/>
      <c r="K397" s="23">
        <f t="shared" si="68"/>
        <v>1</v>
      </c>
      <c r="L397" s="715"/>
      <c r="M397" s="23">
        <f t="shared" si="69"/>
        <v>1</v>
      </c>
      <c r="N397" s="715"/>
      <c r="O397" s="23">
        <f t="shared" si="70"/>
        <v>1</v>
      </c>
      <c r="P397" s="715"/>
      <c r="Q397" s="23">
        <f t="shared" si="71"/>
        <v>0.15</v>
      </c>
      <c r="R397" s="712">
        <f t="shared" si="72"/>
        <v>0</v>
      </c>
      <c r="S397" s="360">
        <f t="shared" si="73"/>
        <v>0</v>
      </c>
    </row>
    <row r="398" spans="1:19">
      <c r="A398" s="3005"/>
      <c r="B398" s="714"/>
      <c r="C398" s="23">
        <f t="shared" si="64"/>
        <v>1</v>
      </c>
      <c r="D398" s="715"/>
      <c r="E398" s="23">
        <f t="shared" si="65"/>
        <v>0.03</v>
      </c>
      <c r="F398" s="715"/>
      <c r="G398" s="23">
        <f t="shared" si="66"/>
        <v>0.1</v>
      </c>
      <c r="H398" s="715"/>
      <c r="I398" s="23">
        <f t="shared" si="67"/>
        <v>1</v>
      </c>
      <c r="J398" s="715"/>
      <c r="K398" s="23">
        <f t="shared" si="68"/>
        <v>1</v>
      </c>
      <c r="L398" s="715"/>
      <c r="M398" s="23">
        <f t="shared" si="69"/>
        <v>1</v>
      </c>
      <c r="N398" s="715"/>
      <c r="O398" s="23">
        <f t="shared" si="70"/>
        <v>1</v>
      </c>
      <c r="P398" s="715"/>
      <c r="Q398" s="23">
        <f t="shared" si="71"/>
        <v>0.15</v>
      </c>
      <c r="R398" s="712">
        <f t="shared" si="72"/>
        <v>0</v>
      </c>
      <c r="S398" s="360">
        <f t="shared" si="73"/>
        <v>0</v>
      </c>
    </row>
    <row r="399" spans="1:19">
      <c r="A399" s="3005"/>
      <c r="B399" s="714"/>
      <c r="C399" s="23">
        <f t="shared" si="64"/>
        <v>1</v>
      </c>
      <c r="D399" s="715"/>
      <c r="E399" s="23">
        <f t="shared" si="65"/>
        <v>0.03</v>
      </c>
      <c r="F399" s="715"/>
      <c r="G399" s="23">
        <f t="shared" si="66"/>
        <v>0.1</v>
      </c>
      <c r="H399" s="715"/>
      <c r="I399" s="23">
        <f t="shared" si="67"/>
        <v>1</v>
      </c>
      <c r="J399" s="715"/>
      <c r="K399" s="23">
        <f t="shared" si="68"/>
        <v>1</v>
      </c>
      <c r="L399" s="715"/>
      <c r="M399" s="23">
        <f t="shared" si="69"/>
        <v>1</v>
      </c>
      <c r="N399" s="715"/>
      <c r="O399" s="23">
        <f t="shared" si="70"/>
        <v>1</v>
      </c>
      <c r="P399" s="715"/>
      <c r="Q399" s="23">
        <f t="shared" si="71"/>
        <v>0.15</v>
      </c>
      <c r="R399" s="712">
        <f t="shared" si="72"/>
        <v>0</v>
      </c>
      <c r="S399" s="360">
        <f t="shared" si="73"/>
        <v>0</v>
      </c>
    </row>
    <row r="400" spans="1:19">
      <c r="A400" s="3005"/>
      <c r="B400" s="714"/>
      <c r="C400" s="23">
        <f t="shared" si="64"/>
        <v>1</v>
      </c>
      <c r="D400" s="715"/>
      <c r="E400" s="23">
        <f t="shared" si="65"/>
        <v>0.03</v>
      </c>
      <c r="F400" s="715"/>
      <c r="G400" s="23">
        <f t="shared" si="66"/>
        <v>0.1</v>
      </c>
      <c r="H400" s="715"/>
      <c r="I400" s="23">
        <f t="shared" si="67"/>
        <v>1</v>
      </c>
      <c r="J400" s="715"/>
      <c r="K400" s="23">
        <f t="shared" si="68"/>
        <v>1</v>
      </c>
      <c r="L400" s="715"/>
      <c r="M400" s="23">
        <f t="shared" si="69"/>
        <v>1</v>
      </c>
      <c r="N400" s="715"/>
      <c r="O400" s="23">
        <f t="shared" si="70"/>
        <v>1</v>
      </c>
      <c r="P400" s="715"/>
      <c r="Q400" s="23">
        <f t="shared" si="71"/>
        <v>0.15</v>
      </c>
      <c r="R400" s="712">
        <f t="shared" si="72"/>
        <v>0</v>
      </c>
      <c r="S400" s="360">
        <f t="shared" si="73"/>
        <v>0</v>
      </c>
    </row>
    <row r="401" spans="1:19">
      <c r="A401" s="3005"/>
      <c r="B401" s="714"/>
      <c r="C401" s="23">
        <f t="shared" si="64"/>
        <v>1</v>
      </c>
      <c r="D401" s="715"/>
      <c r="E401" s="23">
        <f t="shared" si="65"/>
        <v>0.03</v>
      </c>
      <c r="F401" s="715"/>
      <c r="G401" s="23">
        <f t="shared" si="66"/>
        <v>0.1</v>
      </c>
      <c r="H401" s="715"/>
      <c r="I401" s="23">
        <f t="shared" si="67"/>
        <v>1</v>
      </c>
      <c r="J401" s="715"/>
      <c r="K401" s="23">
        <f t="shared" si="68"/>
        <v>1</v>
      </c>
      <c r="L401" s="715"/>
      <c r="M401" s="23">
        <f t="shared" si="69"/>
        <v>1</v>
      </c>
      <c r="N401" s="715"/>
      <c r="O401" s="23">
        <f t="shared" si="70"/>
        <v>1</v>
      </c>
      <c r="P401" s="715"/>
      <c r="Q401" s="23">
        <f t="shared" si="71"/>
        <v>0.15</v>
      </c>
      <c r="R401" s="712">
        <f t="shared" si="72"/>
        <v>0</v>
      </c>
      <c r="S401" s="360">
        <f t="shared" si="73"/>
        <v>0</v>
      </c>
    </row>
    <row r="402" spans="1:19">
      <c r="A402" s="3005"/>
      <c r="B402" s="714"/>
      <c r="C402" s="23">
        <f t="shared" si="64"/>
        <v>1</v>
      </c>
      <c r="D402" s="715"/>
      <c r="E402" s="23">
        <f t="shared" si="65"/>
        <v>0.03</v>
      </c>
      <c r="F402" s="715"/>
      <c r="G402" s="23">
        <f t="shared" si="66"/>
        <v>0.1</v>
      </c>
      <c r="H402" s="715"/>
      <c r="I402" s="23">
        <f t="shared" si="67"/>
        <v>1</v>
      </c>
      <c r="J402" s="715"/>
      <c r="K402" s="23">
        <f t="shared" si="68"/>
        <v>1</v>
      </c>
      <c r="L402" s="715"/>
      <c r="M402" s="23">
        <f t="shared" si="69"/>
        <v>1</v>
      </c>
      <c r="N402" s="715"/>
      <c r="O402" s="23">
        <f t="shared" si="70"/>
        <v>1</v>
      </c>
      <c r="P402" s="715"/>
      <c r="Q402" s="23">
        <f t="shared" si="71"/>
        <v>0.15</v>
      </c>
      <c r="R402" s="712">
        <f t="shared" si="72"/>
        <v>0</v>
      </c>
      <c r="S402" s="360">
        <f t="shared" si="73"/>
        <v>0</v>
      </c>
    </row>
    <row r="403" spans="1:19">
      <c r="A403" s="3005"/>
      <c r="B403" s="714"/>
      <c r="C403" s="23">
        <f t="shared" si="64"/>
        <v>1</v>
      </c>
      <c r="D403" s="715"/>
      <c r="E403" s="23">
        <f t="shared" si="65"/>
        <v>0.03</v>
      </c>
      <c r="F403" s="715"/>
      <c r="G403" s="23">
        <f t="shared" si="66"/>
        <v>0.1</v>
      </c>
      <c r="H403" s="715"/>
      <c r="I403" s="23">
        <f t="shared" si="67"/>
        <v>1</v>
      </c>
      <c r="J403" s="715"/>
      <c r="K403" s="23">
        <f t="shared" si="68"/>
        <v>1</v>
      </c>
      <c r="L403" s="715"/>
      <c r="M403" s="23">
        <f t="shared" si="69"/>
        <v>1</v>
      </c>
      <c r="N403" s="715"/>
      <c r="O403" s="23">
        <f t="shared" si="70"/>
        <v>1</v>
      </c>
      <c r="P403" s="715"/>
      <c r="Q403" s="23">
        <f t="shared" si="71"/>
        <v>0.15</v>
      </c>
      <c r="R403" s="712">
        <f t="shared" si="72"/>
        <v>0</v>
      </c>
      <c r="S403" s="360">
        <f t="shared" si="73"/>
        <v>0</v>
      </c>
    </row>
    <row r="404" spans="1:19">
      <c r="A404" s="3005"/>
      <c r="B404" s="714"/>
      <c r="C404" s="23">
        <f t="shared" si="64"/>
        <v>1</v>
      </c>
      <c r="D404" s="715"/>
      <c r="E404" s="23">
        <f t="shared" si="65"/>
        <v>0.03</v>
      </c>
      <c r="F404" s="715"/>
      <c r="G404" s="23">
        <f t="shared" si="66"/>
        <v>0.1</v>
      </c>
      <c r="H404" s="715"/>
      <c r="I404" s="23">
        <f t="shared" si="67"/>
        <v>1</v>
      </c>
      <c r="J404" s="715"/>
      <c r="K404" s="23">
        <f t="shared" si="68"/>
        <v>1</v>
      </c>
      <c r="L404" s="715"/>
      <c r="M404" s="23">
        <f t="shared" si="69"/>
        <v>1</v>
      </c>
      <c r="N404" s="715"/>
      <c r="O404" s="23">
        <f t="shared" si="70"/>
        <v>1</v>
      </c>
      <c r="P404" s="715"/>
      <c r="Q404" s="23">
        <f t="shared" si="71"/>
        <v>0.15</v>
      </c>
      <c r="R404" s="712">
        <f t="shared" si="72"/>
        <v>0</v>
      </c>
      <c r="S404" s="360">
        <f t="shared" si="73"/>
        <v>0</v>
      </c>
    </row>
    <row r="405" spans="1:19">
      <c r="A405" s="3005"/>
      <c r="B405" s="714"/>
      <c r="C405" s="23">
        <f t="shared" si="64"/>
        <v>1</v>
      </c>
      <c r="D405" s="715"/>
      <c r="E405" s="23">
        <f t="shared" si="65"/>
        <v>0.03</v>
      </c>
      <c r="F405" s="715"/>
      <c r="G405" s="23">
        <f t="shared" si="66"/>
        <v>0.1</v>
      </c>
      <c r="H405" s="715"/>
      <c r="I405" s="23">
        <f t="shared" si="67"/>
        <v>1</v>
      </c>
      <c r="J405" s="715"/>
      <c r="K405" s="23">
        <f t="shared" si="68"/>
        <v>1</v>
      </c>
      <c r="L405" s="715"/>
      <c r="M405" s="23">
        <f t="shared" si="69"/>
        <v>1</v>
      </c>
      <c r="N405" s="715"/>
      <c r="O405" s="23">
        <f t="shared" si="70"/>
        <v>1</v>
      </c>
      <c r="P405" s="715"/>
      <c r="Q405" s="23">
        <f t="shared" si="71"/>
        <v>0.15</v>
      </c>
      <c r="R405" s="712">
        <f t="shared" si="72"/>
        <v>0</v>
      </c>
      <c r="S405" s="360">
        <f t="shared" si="73"/>
        <v>0</v>
      </c>
    </row>
    <row r="406" spans="1:19">
      <c r="A406" s="3005"/>
      <c r="B406" s="714"/>
      <c r="C406" s="23">
        <f t="shared" si="64"/>
        <v>1</v>
      </c>
      <c r="D406" s="715"/>
      <c r="E406" s="23">
        <f t="shared" si="65"/>
        <v>0.03</v>
      </c>
      <c r="F406" s="715"/>
      <c r="G406" s="23">
        <f t="shared" si="66"/>
        <v>0.1</v>
      </c>
      <c r="H406" s="715"/>
      <c r="I406" s="23">
        <f t="shared" si="67"/>
        <v>1</v>
      </c>
      <c r="J406" s="715"/>
      <c r="K406" s="23">
        <f t="shared" si="68"/>
        <v>1</v>
      </c>
      <c r="L406" s="715"/>
      <c r="M406" s="23">
        <f t="shared" si="69"/>
        <v>1</v>
      </c>
      <c r="N406" s="715"/>
      <c r="O406" s="23">
        <f t="shared" si="70"/>
        <v>1</v>
      </c>
      <c r="P406" s="715"/>
      <c r="Q406" s="23">
        <f t="shared" si="71"/>
        <v>0.15</v>
      </c>
      <c r="R406" s="712">
        <f t="shared" si="72"/>
        <v>0</v>
      </c>
      <c r="S406" s="360">
        <f t="shared" si="73"/>
        <v>0</v>
      </c>
    </row>
    <row r="407" spans="1:19">
      <c r="A407" s="3005"/>
      <c r="B407" s="714"/>
      <c r="C407" s="23">
        <f t="shared" si="64"/>
        <v>1</v>
      </c>
      <c r="D407" s="715"/>
      <c r="E407" s="23">
        <f t="shared" si="65"/>
        <v>0.03</v>
      </c>
      <c r="F407" s="715"/>
      <c r="G407" s="23">
        <f t="shared" si="66"/>
        <v>0.1</v>
      </c>
      <c r="H407" s="715"/>
      <c r="I407" s="23">
        <f t="shared" si="67"/>
        <v>1</v>
      </c>
      <c r="J407" s="715"/>
      <c r="K407" s="23">
        <f t="shared" si="68"/>
        <v>1</v>
      </c>
      <c r="L407" s="715"/>
      <c r="M407" s="23">
        <f t="shared" si="69"/>
        <v>1</v>
      </c>
      <c r="N407" s="715"/>
      <c r="O407" s="23">
        <f t="shared" si="70"/>
        <v>1</v>
      </c>
      <c r="P407" s="715"/>
      <c r="Q407" s="23">
        <f t="shared" si="71"/>
        <v>0.15</v>
      </c>
      <c r="R407" s="712">
        <f t="shared" si="72"/>
        <v>0</v>
      </c>
      <c r="S407" s="360">
        <f t="shared" si="73"/>
        <v>0</v>
      </c>
    </row>
    <row r="408" spans="1:19">
      <c r="A408" s="3005"/>
      <c r="B408" s="714"/>
      <c r="C408" s="23">
        <f t="shared" si="64"/>
        <v>1</v>
      </c>
      <c r="D408" s="715"/>
      <c r="E408" s="23">
        <f t="shared" si="65"/>
        <v>0.03</v>
      </c>
      <c r="F408" s="715"/>
      <c r="G408" s="23">
        <f t="shared" si="66"/>
        <v>0.1</v>
      </c>
      <c r="H408" s="715"/>
      <c r="I408" s="23">
        <f t="shared" si="67"/>
        <v>1</v>
      </c>
      <c r="J408" s="715"/>
      <c r="K408" s="23">
        <f t="shared" si="68"/>
        <v>1</v>
      </c>
      <c r="L408" s="715"/>
      <c r="M408" s="23">
        <f t="shared" si="69"/>
        <v>1</v>
      </c>
      <c r="N408" s="715"/>
      <c r="O408" s="23">
        <f t="shared" si="70"/>
        <v>1</v>
      </c>
      <c r="P408" s="715"/>
      <c r="Q408" s="23">
        <f t="shared" si="71"/>
        <v>0.15</v>
      </c>
      <c r="R408" s="712">
        <f t="shared" si="72"/>
        <v>0</v>
      </c>
      <c r="S408" s="360">
        <f t="shared" si="73"/>
        <v>0</v>
      </c>
    </row>
    <row r="409" spans="1:19">
      <c r="A409" s="3005"/>
      <c r="B409" s="714"/>
      <c r="C409" s="23">
        <f t="shared" si="64"/>
        <v>1</v>
      </c>
      <c r="D409" s="715"/>
      <c r="E409" s="23">
        <f t="shared" si="65"/>
        <v>0.03</v>
      </c>
      <c r="F409" s="715"/>
      <c r="G409" s="23">
        <f t="shared" si="66"/>
        <v>0.1</v>
      </c>
      <c r="H409" s="715"/>
      <c r="I409" s="23">
        <f t="shared" si="67"/>
        <v>1</v>
      </c>
      <c r="J409" s="715"/>
      <c r="K409" s="23">
        <f t="shared" si="68"/>
        <v>1</v>
      </c>
      <c r="L409" s="715"/>
      <c r="M409" s="23">
        <f t="shared" si="69"/>
        <v>1</v>
      </c>
      <c r="N409" s="715"/>
      <c r="O409" s="23">
        <f t="shared" si="70"/>
        <v>1</v>
      </c>
      <c r="P409" s="715"/>
      <c r="Q409" s="23">
        <f t="shared" si="71"/>
        <v>0.15</v>
      </c>
      <c r="R409" s="712">
        <f t="shared" si="72"/>
        <v>0</v>
      </c>
      <c r="S409" s="360">
        <f t="shared" si="73"/>
        <v>0</v>
      </c>
    </row>
    <row r="410" spans="1:19">
      <c r="A410" s="3005"/>
      <c r="B410" s="714"/>
      <c r="C410" s="23">
        <f t="shared" ref="C410:C473" si="74">IF(B410="",1,(LOOKUP(B410,$3:$3,$4:$4)-LOOKUP($B$24,$3:$3,$4:$4)+100)/100)</f>
        <v>1</v>
      </c>
      <c r="D410" s="715"/>
      <c r="E410" s="23">
        <f t="shared" ref="E410:E473" si="75">(SUMIF($5:$5,D410,$6:$6)-SUMIF($5:$5,$D$24,$6:$6)+100)/100</f>
        <v>0.03</v>
      </c>
      <c r="F410" s="715"/>
      <c r="G410" s="23">
        <f t="shared" ref="G410:G473" si="76">(SUMIF($7:$7,F410,$8:$8)-SUMIF($7:$7,$F$24,$8:$8)+100)/100</f>
        <v>0.1</v>
      </c>
      <c r="H410" s="715"/>
      <c r="I410" s="23">
        <f t="shared" ref="I410:I473" si="77">(SUMIF($9:$9,H410,$10:$10)-SUMIF($9:$9,$H$24,$10:$10)+100)/100</f>
        <v>1</v>
      </c>
      <c r="J410" s="715"/>
      <c r="K410" s="23">
        <f t="shared" ref="K410:K473" si="78">(SUMIF($11:$11,J410,$12:$12)-SUMIF($11:$11,$J$24,$12:$12)+100)/100</f>
        <v>1</v>
      </c>
      <c r="L410" s="715"/>
      <c r="M410" s="23">
        <f t="shared" ref="M410:M473" si="79">(SUMIF($13:$13,L410,$14:$14)-SUMIF($13:$13,$L$24,$14:$14)+100)/100</f>
        <v>1</v>
      </c>
      <c r="N410" s="715"/>
      <c r="O410" s="23">
        <f t="shared" ref="O410:O473" si="80">(SUMIF($15:$15,N410,$16:$16)-SUMIF($15:$15,$N$24,$16:$16)+100)/100</f>
        <v>1</v>
      </c>
      <c r="P410" s="715"/>
      <c r="Q410" s="23">
        <f t="shared" ref="Q410:Q473" si="81">(SUMIF($17:$17,P410,$18:$18)-SUMIF($17:$17,$P$24,$18:$18)+100)/100</f>
        <v>0.15</v>
      </c>
      <c r="R410" s="712">
        <f t="shared" ref="R410:R473" si="82">IF(B410="",0,ROUND($R$24*C410*E410*G410*I410*K410*M410*O410*Q410,0))</f>
        <v>0</v>
      </c>
      <c r="S410" s="360">
        <f t="shared" si="73"/>
        <v>0</v>
      </c>
    </row>
    <row r="411" spans="1:19">
      <c r="A411" s="3005"/>
      <c r="B411" s="714"/>
      <c r="C411" s="23">
        <f t="shared" si="74"/>
        <v>1</v>
      </c>
      <c r="D411" s="715"/>
      <c r="E411" s="23">
        <f t="shared" si="75"/>
        <v>0.03</v>
      </c>
      <c r="F411" s="715"/>
      <c r="G411" s="23">
        <f t="shared" si="76"/>
        <v>0.1</v>
      </c>
      <c r="H411" s="715"/>
      <c r="I411" s="23">
        <f t="shared" si="77"/>
        <v>1</v>
      </c>
      <c r="J411" s="715"/>
      <c r="K411" s="23">
        <f t="shared" si="78"/>
        <v>1</v>
      </c>
      <c r="L411" s="715"/>
      <c r="M411" s="23">
        <f t="shared" si="79"/>
        <v>1</v>
      </c>
      <c r="N411" s="715"/>
      <c r="O411" s="23">
        <f t="shared" si="80"/>
        <v>1</v>
      </c>
      <c r="P411" s="715"/>
      <c r="Q411" s="23">
        <f t="shared" si="81"/>
        <v>0.15</v>
      </c>
      <c r="R411" s="712">
        <f t="shared" si="82"/>
        <v>0</v>
      </c>
      <c r="S411" s="360">
        <f t="shared" si="73"/>
        <v>0</v>
      </c>
    </row>
    <row r="412" spans="1:19">
      <c r="A412" s="3005"/>
      <c r="B412" s="714"/>
      <c r="C412" s="23">
        <f t="shared" si="74"/>
        <v>1</v>
      </c>
      <c r="D412" s="715"/>
      <c r="E412" s="23">
        <f t="shared" si="75"/>
        <v>0.03</v>
      </c>
      <c r="F412" s="715"/>
      <c r="G412" s="23">
        <f t="shared" si="76"/>
        <v>0.1</v>
      </c>
      <c r="H412" s="715"/>
      <c r="I412" s="23">
        <f t="shared" si="77"/>
        <v>1</v>
      </c>
      <c r="J412" s="715"/>
      <c r="K412" s="23">
        <f t="shared" si="78"/>
        <v>1</v>
      </c>
      <c r="L412" s="715"/>
      <c r="M412" s="23">
        <f t="shared" si="79"/>
        <v>1</v>
      </c>
      <c r="N412" s="715"/>
      <c r="O412" s="23">
        <f t="shared" si="80"/>
        <v>1</v>
      </c>
      <c r="P412" s="715"/>
      <c r="Q412" s="23">
        <f t="shared" si="81"/>
        <v>0.15</v>
      </c>
      <c r="R412" s="712">
        <f t="shared" si="82"/>
        <v>0</v>
      </c>
      <c r="S412" s="360">
        <f t="shared" si="73"/>
        <v>0</v>
      </c>
    </row>
    <row r="413" spans="1:19">
      <c r="A413" s="3005"/>
      <c r="B413" s="714"/>
      <c r="C413" s="23">
        <f t="shared" si="74"/>
        <v>1</v>
      </c>
      <c r="D413" s="715"/>
      <c r="E413" s="23">
        <f t="shared" si="75"/>
        <v>0.03</v>
      </c>
      <c r="F413" s="715"/>
      <c r="G413" s="23">
        <f t="shared" si="76"/>
        <v>0.1</v>
      </c>
      <c r="H413" s="715"/>
      <c r="I413" s="23">
        <f t="shared" si="77"/>
        <v>1</v>
      </c>
      <c r="J413" s="715"/>
      <c r="K413" s="23">
        <f t="shared" si="78"/>
        <v>1</v>
      </c>
      <c r="L413" s="715"/>
      <c r="M413" s="23">
        <f t="shared" si="79"/>
        <v>1</v>
      </c>
      <c r="N413" s="715"/>
      <c r="O413" s="23">
        <f t="shared" si="80"/>
        <v>1</v>
      </c>
      <c r="P413" s="715"/>
      <c r="Q413" s="23">
        <f t="shared" si="81"/>
        <v>0.15</v>
      </c>
      <c r="R413" s="712">
        <f t="shared" si="82"/>
        <v>0</v>
      </c>
      <c r="S413" s="360">
        <f t="shared" si="73"/>
        <v>0</v>
      </c>
    </row>
    <row r="414" spans="1:19">
      <c r="A414" s="3005"/>
      <c r="B414" s="714"/>
      <c r="C414" s="23">
        <f t="shared" si="74"/>
        <v>1</v>
      </c>
      <c r="D414" s="715"/>
      <c r="E414" s="23">
        <f t="shared" si="75"/>
        <v>0.03</v>
      </c>
      <c r="F414" s="715"/>
      <c r="G414" s="23">
        <f t="shared" si="76"/>
        <v>0.1</v>
      </c>
      <c r="H414" s="715"/>
      <c r="I414" s="23">
        <f t="shared" si="77"/>
        <v>1</v>
      </c>
      <c r="J414" s="715"/>
      <c r="K414" s="23">
        <f t="shared" si="78"/>
        <v>1</v>
      </c>
      <c r="L414" s="715"/>
      <c r="M414" s="23">
        <f t="shared" si="79"/>
        <v>1</v>
      </c>
      <c r="N414" s="715"/>
      <c r="O414" s="23">
        <f t="shared" si="80"/>
        <v>1</v>
      </c>
      <c r="P414" s="715"/>
      <c r="Q414" s="23">
        <f t="shared" si="81"/>
        <v>0.15</v>
      </c>
      <c r="R414" s="712">
        <f t="shared" si="82"/>
        <v>0</v>
      </c>
      <c r="S414" s="360">
        <f t="shared" si="73"/>
        <v>0</v>
      </c>
    </row>
    <row r="415" spans="1:19">
      <c r="A415" s="3005"/>
      <c r="B415" s="714"/>
      <c r="C415" s="23">
        <f t="shared" si="74"/>
        <v>1</v>
      </c>
      <c r="D415" s="715"/>
      <c r="E415" s="23">
        <f t="shared" si="75"/>
        <v>0.03</v>
      </c>
      <c r="F415" s="715"/>
      <c r="G415" s="23">
        <f t="shared" si="76"/>
        <v>0.1</v>
      </c>
      <c r="H415" s="715"/>
      <c r="I415" s="23">
        <f t="shared" si="77"/>
        <v>1</v>
      </c>
      <c r="J415" s="715"/>
      <c r="K415" s="23">
        <f t="shared" si="78"/>
        <v>1</v>
      </c>
      <c r="L415" s="715"/>
      <c r="M415" s="23">
        <f t="shared" si="79"/>
        <v>1</v>
      </c>
      <c r="N415" s="715"/>
      <c r="O415" s="23">
        <f t="shared" si="80"/>
        <v>1</v>
      </c>
      <c r="P415" s="715"/>
      <c r="Q415" s="23">
        <f t="shared" si="81"/>
        <v>0.15</v>
      </c>
      <c r="R415" s="712">
        <f t="shared" si="82"/>
        <v>0</v>
      </c>
      <c r="S415" s="360">
        <f t="shared" si="73"/>
        <v>0</v>
      </c>
    </row>
    <row r="416" spans="1:19">
      <c r="A416" s="3005"/>
      <c r="B416" s="714"/>
      <c r="C416" s="23">
        <f t="shared" si="74"/>
        <v>1</v>
      </c>
      <c r="D416" s="715"/>
      <c r="E416" s="23">
        <f t="shared" si="75"/>
        <v>0.03</v>
      </c>
      <c r="F416" s="715"/>
      <c r="G416" s="23">
        <f t="shared" si="76"/>
        <v>0.1</v>
      </c>
      <c r="H416" s="715"/>
      <c r="I416" s="23">
        <f t="shared" si="77"/>
        <v>1</v>
      </c>
      <c r="J416" s="715"/>
      <c r="K416" s="23">
        <f t="shared" si="78"/>
        <v>1</v>
      </c>
      <c r="L416" s="715"/>
      <c r="M416" s="23">
        <f t="shared" si="79"/>
        <v>1</v>
      </c>
      <c r="N416" s="715"/>
      <c r="O416" s="23">
        <f t="shared" si="80"/>
        <v>1</v>
      </c>
      <c r="P416" s="715"/>
      <c r="Q416" s="23">
        <f t="shared" si="81"/>
        <v>0.15</v>
      </c>
      <c r="R416" s="712">
        <f t="shared" si="82"/>
        <v>0</v>
      </c>
      <c r="S416" s="360">
        <f t="shared" si="73"/>
        <v>0</v>
      </c>
    </row>
    <row r="417" spans="1:19">
      <c r="A417" s="3005"/>
      <c r="B417" s="714"/>
      <c r="C417" s="23">
        <f t="shared" si="74"/>
        <v>1</v>
      </c>
      <c r="D417" s="715"/>
      <c r="E417" s="23">
        <f t="shared" si="75"/>
        <v>0.03</v>
      </c>
      <c r="F417" s="715"/>
      <c r="G417" s="23">
        <f t="shared" si="76"/>
        <v>0.1</v>
      </c>
      <c r="H417" s="715"/>
      <c r="I417" s="23">
        <f t="shared" si="77"/>
        <v>1</v>
      </c>
      <c r="J417" s="715"/>
      <c r="K417" s="23">
        <f t="shared" si="78"/>
        <v>1</v>
      </c>
      <c r="L417" s="715"/>
      <c r="M417" s="23">
        <f t="shared" si="79"/>
        <v>1</v>
      </c>
      <c r="N417" s="715"/>
      <c r="O417" s="23">
        <f t="shared" si="80"/>
        <v>1</v>
      </c>
      <c r="P417" s="715"/>
      <c r="Q417" s="23">
        <f t="shared" si="81"/>
        <v>0.15</v>
      </c>
      <c r="R417" s="712">
        <f t="shared" si="82"/>
        <v>0</v>
      </c>
      <c r="S417" s="360">
        <f t="shared" si="73"/>
        <v>0</v>
      </c>
    </row>
    <row r="418" spans="1:19">
      <c r="A418" s="3005"/>
      <c r="B418" s="714"/>
      <c r="C418" s="23">
        <f t="shared" si="74"/>
        <v>1</v>
      </c>
      <c r="D418" s="715"/>
      <c r="E418" s="23">
        <f t="shared" si="75"/>
        <v>0.03</v>
      </c>
      <c r="F418" s="715"/>
      <c r="G418" s="23">
        <f t="shared" si="76"/>
        <v>0.1</v>
      </c>
      <c r="H418" s="715"/>
      <c r="I418" s="23">
        <f t="shared" si="77"/>
        <v>1</v>
      </c>
      <c r="J418" s="715"/>
      <c r="K418" s="23">
        <f t="shared" si="78"/>
        <v>1</v>
      </c>
      <c r="L418" s="715"/>
      <c r="M418" s="23">
        <f t="shared" si="79"/>
        <v>1</v>
      </c>
      <c r="N418" s="715"/>
      <c r="O418" s="23">
        <f t="shared" si="80"/>
        <v>1</v>
      </c>
      <c r="P418" s="715"/>
      <c r="Q418" s="23">
        <f t="shared" si="81"/>
        <v>0.15</v>
      </c>
      <c r="R418" s="712">
        <f t="shared" si="82"/>
        <v>0</v>
      </c>
      <c r="S418" s="360">
        <f t="shared" si="73"/>
        <v>0</v>
      </c>
    </row>
    <row r="419" spans="1:19">
      <c r="A419" s="3005"/>
      <c r="B419" s="714"/>
      <c r="C419" s="23">
        <f t="shared" si="74"/>
        <v>1</v>
      </c>
      <c r="D419" s="715"/>
      <c r="E419" s="23">
        <f t="shared" si="75"/>
        <v>0.03</v>
      </c>
      <c r="F419" s="715"/>
      <c r="G419" s="23">
        <f t="shared" si="76"/>
        <v>0.1</v>
      </c>
      <c r="H419" s="715"/>
      <c r="I419" s="23">
        <f t="shared" si="77"/>
        <v>1</v>
      </c>
      <c r="J419" s="715"/>
      <c r="K419" s="23">
        <f t="shared" si="78"/>
        <v>1</v>
      </c>
      <c r="L419" s="715"/>
      <c r="M419" s="23">
        <f t="shared" si="79"/>
        <v>1</v>
      </c>
      <c r="N419" s="715"/>
      <c r="O419" s="23">
        <f t="shared" si="80"/>
        <v>1</v>
      </c>
      <c r="P419" s="715"/>
      <c r="Q419" s="23">
        <f t="shared" si="81"/>
        <v>0.15</v>
      </c>
      <c r="R419" s="712">
        <f t="shared" si="82"/>
        <v>0</v>
      </c>
      <c r="S419" s="360">
        <f t="shared" si="73"/>
        <v>0</v>
      </c>
    </row>
    <row r="420" spans="1:19">
      <c r="A420" s="3005"/>
      <c r="B420" s="714"/>
      <c r="C420" s="23">
        <f t="shared" si="74"/>
        <v>1</v>
      </c>
      <c r="D420" s="715"/>
      <c r="E420" s="23">
        <f t="shared" si="75"/>
        <v>0.03</v>
      </c>
      <c r="F420" s="715"/>
      <c r="G420" s="23">
        <f t="shared" si="76"/>
        <v>0.1</v>
      </c>
      <c r="H420" s="715"/>
      <c r="I420" s="23">
        <f t="shared" si="77"/>
        <v>1</v>
      </c>
      <c r="J420" s="715"/>
      <c r="K420" s="23">
        <f t="shared" si="78"/>
        <v>1</v>
      </c>
      <c r="L420" s="715"/>
      <c r="M420" s="23">
        <f t="shared" si="79"/>
        <v>1</v>
      </c>
      <c r="N420" s="715"/>
      <c r="O420" s="23">
        <f t="shared" si="80"/>
        <v>1</v>
      </c>
      <c r="P420" s="715"/>
      <c r="Q420" s="23">
        <f t="shared" si="81"/>
        <v>0.15</v>
      </c>
      <c r="R420" s="712">
        <f t="shared" si="82"/>
        <v>0</v>
      </c>
      <c r="S420" s="360">
        <f t="shared" si="73"/>
        <v>0</v>
      </c>
    </row>
    <row r="421" spans="1:19">
      <c r="A421" s="3005"/>
      <c r="B421" s="714"/>
      <c r="C421" s="23">
        <f t="shared" si="74"/>
        <v>1</v>
      </c>
      <c r="D421" s="715"/>
      <c r="E421" s="23">
        <f t="shared" si="75"/>
        <v>0.03</v>
      </c>
      <c r="F421" s="715"/>
      <c r="G421" s="23">
        <f t="shared" si="76"/>
        <v>0.1</v>
      </c>
      <c r="H421" s="715"/>
      <c r="I421" s="23">
        <f t="shared" si="77"/>
        <v>1</v>
      </c>
      <c r="J421" s="715"/>
      <c r="K421" s="23">
        <f t="shared" si="78"/>
        <v>1</v>
      </c>
      <c r="L421" s="715"/>
      <c r="M421" s="23">
        <f t="shared" si="79"/>
        <v>1</v>
      </c>
      <c r="N421" s="715"/>
      <c r="O421" s="23">
        <f t="shared" si="80"/>
        <v>1</v>
      </c>
      <c r="P421" s="715"/>
      <c r="Q421" s="23">
        <f t="shared" si="81"/>
        <v>0.15</v>
      </c>
      <c r="R421" s="712">
        <f t="shared" si="82"/>
        <v>0</v>
      </c>
      <c r="S421" s="360">
        <f t="shared" si="73"/>
        <v>0</v>
      </c>
    </row>
    <row r="422" spans="1:19">
      <c r="A422" s="3005"/>
      <c r="B422" s="714"/>
      <c r="C422" s="23">
        <f t="shared" si="74"/>
        <v>1</v>
      </c>
      <c r="D422" s="715"/>
      <c r="E422" s="23">
        <f t="shared" si="75"/>
        <v>0.03</v>
      </c>
      <c r="F422" s="715"/>
      <c r="G422" s="23">
        <f t="shared" si="76"/>
        <v>0.1</v>
      </c>
      <c r="H422" s="715"/>
      <c r="I422" s="23">
        <f t="shared" si="77"/>
        <v>1</v>
      </c>
      <c r="J422" s="715"/>
      <c r="K422" s="23">
        <f t="shared" si="78"/>
        <v>1</v>
      </c>
      <c r="L422" s="715"/>
      <c r="M422" s="23">
        <f t="shared" si="79"/>
        <v>1</v>
      </c>
      <c r="N422" s="715"/>
      <c r="O422" s="23">
        <f t="shared" si="80"/>
        <v>1</v>
      </c>
      <c r="P422" s="715"/>
      <c r="Q422" s="23">
        <f t="shared" si="81"/>
        <v>0.15</v>
      </c>
      <c r="R422" s="712">
        <f t="shared" si="82"/>
        <v>0</v>
      </c>
      <c r="S422" s="360">
        <f t="shared" si="73"/>
        <v>0</v>
      </c>
    </row>
    <row r="423" spans="1:19">
      <c r="A423" s="3005"/>
      <c r="B423" s="714"/>
      <c r="C423" s="23">
        <f t="shared" si="74"/>
        <v>1</v>
      </c>
      <c r="D423" s="715"/>
      <c r="E423" s="23">
        <f t="shared" si="75"/>
        <v>0.03</v>
      </c>
      <c r="F423" s="715"/>
      <c r="G423" s="23">
        <f t="shared" si="76"/>
        <v>0.1</v>
      </c>
      <c r="H423" s="715"/>
      <c r="I423" s="23">
        <f t="shared" si="77"/>
        <v>1</v>
      </c>
      <c r="J423" s="715"/>
      <c r="K423" s="23">
        <f t="shared" si="78"/>
        <v>1</v>
      </c>
      <c r="L423" s="715"/>
      <c r="M423" s="23">
        <f t="shared" si="79"/>
        <v>1</v>
      </c>
      <c r="N423" s="715"/>
      <c r="O423" s="23">
        <f t="shared" si="80"/>
        <v>1</v>
      </c>
      <c r="P423" s="715"/>
      <c r="Q423" s="23">
        <f t="shared" si="81"/>
        <v>0.15</v>
      </c>
      <c r="R423" s="712">
        <f t="shared" si="82"/>
        <v>0</v>
      </c>
      <c r="S423" s="360">
        <f t="shared" ref="S423:S467" si="83">ROUND(R423*B423/10000,0)</f>
        <v>0</v>
      </c>
    </row>
    <row r="424" spans="1:19">
      <c r="A424" s="3005"/>
      <c r="B424" s="714"/>
      <c r="C424" s="23">
        <f t="shared" si="74"/>
        <v>1</v>
      </c>
      <c r="D424" s="715"/>
      <c r="E424" s="23">
        <f t="shared" si="75"/>
        <v>0.03</v>
      </c>
      <c r="F424" s="715"/>
      <c r="G424" s="23">
        <f t="shared" si="76"/>
        <v>0.1</v>
      </c>
      <c r="H424" s="715"/>
      <c r="I424" s="23">
        <f t="shared" si="77"/>
        <v>1</v>
      </c>
      <c r="J424" s="715"/>
      <c r="K424" s="23">
        <f t="shared" si="78"/>
        <v>1</v>
      </c>
      <c r="L424" s="715"/>
      <c r="M424" s="23">
        <f t="shared" si="79"/>
        <v>1</v>
      </c>
      <c r="N424" s="715"/>
      <c r="O424" s="23">
        <f t="shared" si="80"/>
        <v>1</v>
      </c>
      <c r="P424" s="715"/>
      <c r="Q424" s="23">
        <f t="shared" si="81"/>
        <v>0.15</v>
      </c>
      <c r="R424" s="712">
        <f t="shared" si="82"/>
        <v>0</v>
      </c>
      <c r="S424" s="360">
        <f t="shared" si="83"/>
        <v>0</v>
      </c>
    </row>
    <row r="425" spans="1:19">
      <c r="A425" s="3005"/>
      <c r="B425" s="714"/>
      <c r="C425" s="23">
        <f t="shared" si="74"/>
        <v>1</v>
      </c>
      <c r="D425" s="715"/>
      <c r="E425" s="23">
        <f t="shared" si="75"/>
        <v>0.03</v>
      </c>
      <c r="F425" s="715"/>
      <c r="G425" s="23">
        <f t="shared" si="76"/>
        <v>0.1</v>
      </c>
      <c r="H425" s="715"/>
      <c r="I425" s="23">
        <f t="shared" si="77"/>
        <v>1</v>
      </c>
      <c r="J425" s="715"/>
      <c r="K425" s="23">
        <f t="shared" si="78"/>
        <v>1</v>
      </c>
      <c r="L425" s="715"/>
      <c r="M425" s="23">
        <f t="shared" si="79"/>
        <v>1</v>
      </c>
      <c r="N425" s="715"/>
      <c r="O425" s="23">
        <f t="shared" si="80"/>
        <v>1</v>
      </c>
      <c r="P425" s="715"/>
      <c r="Q425" s="23">
        <f t="shared" si="81"/>
        <v>0.15</v>
      </c>
      <c r="R425" s="712">
        <f t="shared" si="82"/>
        <v>0</v>
      </c>
      <c r="S425" s="360">
        <f t="shared" si="83"/>
        <v>0</v>
      </c>
    </row>
    <row r="426" spans="1:19">
      <c r="A426" s="3005"/>
      <c r="B426" s="714"/>
      <c r="C426" s="23">
        <f t="shared" si="74"/>
        <v>1</v>
      </c>
      <c r="D426" s="715"/>
      <c r="E426" s="23">
        <f t="shared" si="75"/>
        <v>0.03</v>
      </c>
      <c r="F426" s="715"/>
      <c r="G426" s="23">
        <f t="shared" si="76"/>
        <v>0.1</v>
      </c>
      <c r="H426" s="715"/>
      <c r="I426" s="23">
        <f t="shared" si="77"/>
        <v>1</v>
      </c>
      <c r="J426" s="715"/>
      <c r="K426" s="23">
        <f t="shared" si="78"/>
        <v>1</v>
      </c>
      <c r="L426" s="715"/>
      <c r="M426" s="23">
        <f t="shared" si="79"/>
        <v>1</v>
      </c>
      <c r="N426" s="715"/>
      <c r="O426" s="23">
        <f t="shared" si="80"/>
        <v>1</v>
      </c>
      <c r="P426" s="715"/>
      <c r="Q426" s="23">
        <f t="shared" si="81"/>
        <v>0.15</v>
      </c>
      <c r="R426" s="712">
        <f t="shared" si="82"/>
        <v>0</v>
      </c>
      <c r="S426" s="360">
        <f t="shared" si="83"/>
        <v>0</v>
      </c>
    </row>
    <row r="427" spans="1:19">
      <c r="A427" s="3005"/>
      <c r="B427" s="714"/>
      <c r="C427" s="23">
        <f t="shared" si="74"/>
        <v>1</v>
      </c>
      <c r="D427" s="715"/>
      <c r="E427" s="23">
        <f t="shared" si="75"/>
        <v>0.03</v>
      </c>
      <c r="F427" s="715"/>
      <c r="G427" s="23">
        <f t="shared" si="76"/>
        <v>0.1</v>
      </c>
      <c r="H427" s="715"/>
      <c r="I427" s="23">
        <f t="shared" si="77"/>
        <v>1</v>
      </c>
      <c r="J427" s="715"/>
      <c r="K427" s="23">
        <f t="shared" si="78"/>
        <v>1</v>
      </c>
      <c r="L427" s="715"/>
      <c r="M427" s="23">
        <f t="shared" si="79"/>
        <v>1</v>
      </c>
      <c r="N427" s="715"/>
      <c r="O427" s="23">
        <f t="shared" si="80"/>
        <v>1</v>
      </c>
      <c r="P427" s="715"/>
      <c r="Q427" s="23">
        <f t="shared" si="81"/>
        <v>0.15</v>
      </c>
      <c r="R427" s="712">
        <f t="shared" si="82"/>
        <v>0</v>
      </c>
      <c r="S427" s="360">
        <f t="shared" si="83"/>
        <v>0</v>
      </c>
    </row>
    <row r="428" spans="1:19">
      <c r="A428" s="3005"/>
      <c r="B428" s="714"/>
      <c r="C428" s="23">
        <f t="shared" si="74"/>
        <v>1</v>
      </c>
      <c r="D428" s="715"/>
      <c r="E428" s="23">
        <f t="shared" si="75"/>
        <v>0.03</v>
      </c>
      <c r="F428" s="715"/>
      <c r="G428" s="23">
        <f t="shared" si="76"/>
        <v>0.1</v>
      </c>
      <c r="H428" s="715"/>
      <c r="I428" s="23">
        <f t="shared" si="77"/>
        <v>1</v>
      </c>
      <c r="J428" s="715"/>
      <c r="K428" s="23">
        <f t="shared" si="78"/>
        <v>1</v>
      </c>
      <c r="L428" s="715"/>
      <c r="M428" s="23">
        <f t="shared" si="79"/>
        <v>1</v>
      </c>
      <c r="N428" s="715"/>
      <c r="O428" s="23">
        <f t="shared" si="80"/>
        <v>1</v>
      </c>
      <c r="P428" s="715"/>
      <c r="Q428" s="23">
        <f t="shared" si="81"/>
        <v>0.15</v>
      </c>
      <c r="R428" s="712">
        <f t="shared" si="82"/>
        <v>0</v>
      </c>
      <c r="S428" s="360">
        <f t="shared" si="83"/>
        <v>0</v>
      </c>
    </row>
    <row r="429" spans="1:19">
      <c r="A429" s="3005"/>
      <c r="B429" s="714"/>
      <c r="C429" s="23">
        <f t="shared" si="74"/>
        <v>1</v>
      </c>
      <c r="D429" s="715"/>
      <c r="E429" s="23">
        <f t="shared" si="75"/>
        <v>0.03</v>
      </c>
      <c r="F429" s="715"/>
      <c r="G429" s="23">
        <f t="shared" si="76"/>
        <v>0.1</v>
      </c>
      <c r="H429" s="715"/>
      <c r="I429" s="23">
        <f t="shared" si="77"/>
        <v>1</v>
      </c>
      <c r="J429" s="715"/>
      <c r="K429" s="23">
        <f t="shared" si="78"/>
        <v>1</v>
      </c>
      <c r="L429" s="715"/>
      <c r="M429" s="23">
        <f t="shared" si="79"/>
        <v>1</v>
      </c>
      <c r="N429" s="715"/>
      <c r="O429" s="23">
        <f t="shared" si="80"/>
        <v>1</v>
      </c>
      <c r="P429" s="715"/>
      <c r="Q429" s="23">
        <f t="shared" si="81"/>
        <v>0.15</v>
      </c>
      <c r="R429" s="712">
        <f t="shared" si="82"/>
        <v>0</v>
      </c>
      <c r="S429" s="360">
        <f t="shared" si="83"/>
        <v>0</v>
      </c>
    </row>
    <row r="430" spans="1:19">
      <c r="A430" s="3005"/>
      <c r="B430" s="714"/>
      <c r="C430" s="23">
        <f t="shared" si="74"/>
        <v>1</v>
      </c>
      <c r="D430" s="715"/>
      <c r="E430" s="23">
        <f t="shared" si="75"/>
        <v>0.03</v>
      </c>
      <c r="F430" s="715"/>
      <c r="G430" s="23">
        <f t="shared" si="76"/>
        <v>0.1</v>
      </c>
      <c r="H430" s="715"/>
      <c r="I430" s="23">
        <f t="shared" si="77"/>
        <v>1</v>
      </c>
      <c r="J430" s="715"/>
      <c r="K430" s="23">
        <f t="shared" si="78"/>
        <v>1</v>
      </c>
      <c r="L430" s="715"/>
      <c r="M430" s="23">
        <f t="shared" si="79"/>
        <v>1</v>
      </c>
      <c r="N430" s="715"/>
      <c r="O430" s="23">
        <f t="shared" si="80"/>
        <v>1</v>
      </c>
      <c r="P430" s="715"/>
      <c r="Q430" s="23">
        <f t="shared" si="81"/>
        <v>0.15</v>
      </c>
      <c r="R430" s="712">
        <f t="shared" si="82"/>
        <v>0</v>
      </c>
      <c r="S430" s="360">
        <f t="shared" si="83"/>
        <v>0</v>
      </c>
    </row>
    <row r="431" spans="1:19">
      <c r="A431" s="3005"/>
      <c r="B431" s="714"/>
      <c r="C431" s="23">
        <f t="shared" si="74"/>
        <v>1</v>
      </c>
      <c r="D431" s="715"/>
      <c r="E431" s="23">
        <f t="shared" si="75"/>
        <v>0.03</v>
      </c>
      <c r="F431" s="715"/>
      <c r="G431" s="23">
        <f t="shared" si="76"/>
        <v>0.1</v>
      </c>
      <c r="H431" s="715"/>
      <c r="I431" s="23">
        <f t="shared" si="77"/>
        <v>1</v>
      </c>
      <c r="J431" s="715"/>
      <c r="K431" s="23">
        <f t="shared" si="78"/>
        <v>1</v>
      </c>
      <c r="L431" s="715"/>
      <c r="M431" s="23">
        <f t="shared" si="79"/>
        <v>1</v>
      </c>
      <c r="N431" s="715"/>
      <c r="O431" s="23">
        <f t="shared" si="80"/>
        <v>1</v>
      </c>
      <c r="P431" s="715"/>
      <c r="Q431" s="23">
        <f t="shared" si="81"/>
        <v>0.15</v>
      </c>
      <c r="R431" s="712">
        <f t="shared" si="82"/>
        <v>0</v>
      </c>
      <c r="S431" s="360">
        <f t="shared" si="83"/>
        <v>0</v>
      </c>
    </row>
    <row r="432" spans="1:19">
      <c r="A432" s="3005"/>
      <c r="B432" s="714"/>
      <c r="C432" s="23">
        <f t="shared" si="74"/>
        <v>1</v>
      </c>
      <c r="D432" s="715"/>
      <c r="E432" s="23">
        <f t="shared" si="75"/>
        <v>0.03</v>
      </c>
      <c r="F432" s="715"/>
      <c r="G432" s="23">
        <f t="shared" si="76"/>
        <v>0.1</v>
      </c>
      <c r="H432" s="715"/>
      <c r="I432" s="23">
        <f t="shared" si="77"/>
        <v>1</v>
      </c>
      <c r="J432" s="715"/>
      <c r="K432" s="23">
        <f t="shared" si="78"/>
        <v>1</v>
      </c>
      <c r="L432" s="715"/>
      <c r="M432" s="23">
        <f t="shared" si="79"/>
        <v>1</v>
      </c>
      <c r="N432" s="715"/>
      <c r="O432" s="23">
        <f t="shared" si="80"/>
        <v>1</v>
      </c>
      <c r="P432" s="715"/>
      <c r="Q432" s="23">
        <f t="shared" si="81"/>
        <v>0.15</v>
      </c>
      <c r="R432" s="712">
        <f t="shared" si="82"/>
        <v>0</v>
      </c>
      <c r="S432" s="360">
        <f t="shared" si="83"/>
        <v>0</v>
      </c>
    </row>
    <row r="433" spans="1:19">
      <c r="A433" s="3005"/>
      <c r="B433" s="714"/>
      <c r="C433" s="23">
        <f t="shared" si="74"/>
        <v>1</v>
      </c>
      <c r="D433" s="715"/>
      <c r="E433" s="23">
        <f t="shared" si="75"/>
        <v>0.03</v>
      </c>
      <c r="F433" s="715"/>
      <c r="G433" s="23">
        <f t="shared" si="76"/>
        <v>0.1</v>
      </c>
      <c r="H433" s="715"/>
      <c r="I433" s="23">
        <f t="shared" si="77"/>
        <v>1</v>
      </c>
      <c r="J433" s="715"/>
      <c r="K433" s="23">
        <f t="shared" si="78"/>
        <v>1</v>
      </c>
      <c r="L433" s="715"/>
      <c r="M433" s="23">
        <f t="shared" si="79"/>
        <v>1</v>
      </c>
      <c r="N433" s="715"/>
      <c r="O433" s="23">
        <f t="shared" si="80"/>
        <v>1</v>
      </c>
      <c r="P433" s="715"/>
      <c r="Q433" s="23">
        <f t="shared" si="81"/>
        <v>0.15</v>
      </c>
      <c r="R433" s="712">
        <f t="shared" si="82"/>
        <v>0</v>
      </c>
      <c r="S433" s="360">
        <f t="shared" si="83"/>
        <v>0</v>
      </c>
    </row>
    <row r="434" spans="1:19">
      <c r="A434" s="3005"/>
      <c r="B434" s="714"/>
      <c r="C434" s="23">
        <f t="shared" si="74"/>
        <v>1</v>
      </c>
      <c r="D434" s="715"/>
      <c r="E434" s="23">
        <f t="shared" si="75"/>
        <v>0.03</v>
      </c>
      <c r="F434" s="715"/>
      <c r="G434" s="23">
        <f t="shared" si="76"/>
        <v>0.1</v>
      </c>
      <c r="H434" s="715"/>
      <c r="I434" s="23">
        <f t="shared" si="77"/>
        <v>1</v>
      </c>
      <c r="J434" s="715"/>
      <c r="K434" s="23">
        <f t="shared" si="78"/>
        <v>1</v>
      </c>
      <c r="L434" s="715"/>
      <c r="M434" s="23">
        <f t="shared" si="79"/>
        <v>1</v>
      </c>
      <c r="N434" s="715"/>
      <c r="O434" s="23">
        <f t="shared" si="80"/>
        <v>1</v>
      </c>
      <c r="P434" s="715"/>
      <c r="Q434" s="23">
        <f t="shared" si="81"/>
        <v>0.15</v>
      </c>
      <c r="R434" s="712">
        <f t="shared" si="82"/>
        <v>0</v>
      </c>
      <c r="S434" s="360">
        <f t="shared" si="83"/>
        <v>0</v>
      </c>
    </row>
    <row r="435" spans="1:19">
      <c r="A435" s="3005"/>
      <c r="B435" s="714"/>
      <c r="C435" s="23">
        <f t="shared" si="74"/>
        <v>1</v>
      </c>
      <c r="D435" s="715"/>
      <c r="E435" s="23">
        <f t="shared" si="75"/>
        <v>0.03</v>
      </c>
      <c r="F435" s="715"/>
      <c r="G435" s="23">
        <f t="shared" si="76"/>
        <v>0.1</v>
      </c>
      <c r="H435" s="715"/>
      <c r="I435" s="23">
        <f t="shared" si="77"/>
        <v>1</v>
      </c>
      <c r="J435" s="715"/>
      <c r="K435" s="23">
        <f t="shared" si="78"/>
        <v>1</v>
      </c>
      <c r="L435" s="715"/>
      <c r="M435" s="23">
        <f t="shared" si="79"/>
        <v>1</v>
      </c>
      <c r="N435" s="715"/>
      <c r="O435" s="23">
        <f t="shared" si="80"/>
        <v>1</v>
      </c>
      <c r="P435" s="715"/>
      <c r="Q435" s="23">
        <f t="shared" si="81"/>
        <v>0.15</v>
      </c>
      <c r="R435" s="712">
        <f t="shared" si="82"/>
        <v>0</v>
      </c>
      <c r="S435" s="360">
        <f t="shared" si="83"/>
        <v>0</v>
      </c>
    </row>
    <row r="436" spans="1:19">
      <c r="A436" s="3005"/>
      <c r="B436" s="714"/>
      <c r="C436" s="23">
        <f t="shared" si="74"/>
        <v>1</v>
      </c>
      <c r="D436" s="715"/>
      <c r="E436" s="23">
        <f t="shared" si="75"/>
        <v>0.03</v>
      </c>
      <c r="F436" s="715"/>
      <c r="G436" s="23">
        <f t="shared" si="76"/>
        <v>0.1</v>
      </c>
      <c r="H436" s="715"/>
      <c r="I436" s="23">
        <f t="shared" si="77"/>
        <v>1</v>
      </c>
      <c r="J436" s="715"/>
      <c r="K436" s="23">
        <f t="shared" si="78"/>
        <v>1</v>
      </c>
      <c r="L436" s="715"/>
      <c r="M436" s="23">
        <f t="shared" si="79"/>
        <v>1</v>
      </c>
      <c r="N436" s="715"/>
      <c r="O436" s="23">
        <f t="shared" si="80"/>
        <v>1</v>
      </c>
      <c r="P436" s="715"/>
      <c r="Q436" s="23">
        <f t="shared" si="81"/>
        <v>0.15</v>
      </c>
      <c r="R436" s="712">
        <f t="shared" si="82"/>
        <v>0</v>
      </c>
      <c r="S436" s="360">
        <f t="shared" si="83"/>
        <v>0</v>
      </c>
    </row>
    <row r="437" spans="1:19">
      <c r="A437" s="3005"/>
      <c r="B437" s="714"/>
      <c r="C437" s="23">
        <f t="shared" si="74"/>
        <v>1</v>
      </c>
      <c r="D437" s="715"/>
      <c r="E437" s="23">
        <f t="shared" si="75"/>
        <v>0.03</v>
      </c>
      <c r="F437" s="715"/>
      <c r="G437" s="23">
        <f t="shared" si="76"/>
        <v>0.1</v>
      </c>
      <c r="H437" s="715"/>
      <c r="I437" s="23">
        <f t="shared" si="77"/>
        <v>1</v>
      </c>
      <c r="J437" s="715"/>
      <c r="K437" s="23">
        <f t="shared" si="78"/>
        <v>1</v>
      </c>
      <c r="L437" s="715"/>
      <c r="M437" s="23">
        <f t="shared" si="79"/>
        <v>1</v>
      </c>
      <c r="N437" s="715"/>
      <c r="O437" s="23">
        <f t="shared" si="80"/>
        <v>1</v>
      </c>
      <c r="P437" s="715"/>
      <c r="Q437" s="23">
        <f t="shared" si="81"/>
        <v>0.15</v>
      </c>
      <c r="R437" s="712">
        <f t="shared" si="82"/>
        <v>0</v>
      </c>
      <c r="S437" s="360">
        <f t="shared" si="83"/>
        <v>0</v>
      </c>
    </row>
    <row r="438" spans="1:19">
      <c r="A438" s="3005"/>
      <c r="B438" s="714"/>
      <c r="C438" s="23">
        <f t="shared" si="74"/>
        <v>1</v>
      </c>
      <c r="D438" s="715"/>
      <c r="E438" s="23">
        <f t="shared" si="75"/>
        <v>0.03</v>
      </c>
      <c r="F438" s="715"/>
      <c r="G438" s="23">
        <f t="shared" si="76"/>
        <v>0.1</v>
      </c>
      <c r="H438" s="715"/>
      <c r="I438" s="23">
        <f t="shared" si="77"/>
        <v>1</v>
      </c>
      <c r="J438" s="715"/>
      <c r="K438" s="23">
        <f t="shared" si="78"/>
        <v>1</v>
      </c>
      <c r="L438" s="715"/>
      <c r="M438" s="23">
        <f t="shared" si="79"/>
        <v>1</v>
      </c>
      <c r="N438" s="715"/>
      <c r="O438" s="23">
        <f t="shared" si="80"/>
        <v>1</v>
      </c>
      <c r="P438" s="715"/>
      <c r="Q438" s="23">
        <f t="shared" si="81"/>
        <v>0.15</v>
      </c>
      <c r="R438" s="712">
        <f t="shared" si="82"/>
        <v>0</v>
      </c>
      <c r="S438" s="360">
        <f t="shared" si="83"/>
        <v>0</v>
      </c>
    </row>
    <row r="439" spans="1:19">
      <c r="A439" s="3005"/>
      <c r="B439" s="714"/>
      <c r="C439" s="23">
        <f t="shared" si="74"/>
        <v>1</v>
      </c>
      <c r="D439" s="715"/>
      <c r="E439" s="23">
        <f t="shared" si="75"/>
        <v>0.03</v>
      </c>
      <c r="F439" s="715"/>
      <c r="G439" s="23">
        <f t="shared" si="76"/>
        <v>0.1</v>
      </c>
      <c r="H439" s="715"/>
      <c r="I439" s="23">
        <f t="shared" si="77"/>
        <v>1</v>
      </c>
      <c r="J439" s="715"/>
      <c r="K439" s="23">
        <f t="shared" si="78"/>
        <v>1</v>
      </c>
      <c r="L439" s="715"/>
      <c r="M439" s="23">
        <f t="shared" si="79"/>
        <v>1</v>
      </c>
      <c r="N439" s="715"/>
      <c r="O439" s="23">
        <f t="shared" si="80"/>
        <v>1</v>
      </c>
      <c r="P439" s="715"/>
      <c r="Q439" s="23">
        <f t="shared" si="81"/>
        <v>0.15</v>
      </c>
      <c r="R439" s="712">
        <f t="shared" si="82"/>
        <v>0</v>
      </c>
      <c r="S439" s="360">
        <f t="shared" si="83"/>
        <v>0</v>
      </c>
    </row>
    <row r="440" spans="1:19">
      <c r="A440" s="3005"/>
      <c r="B440" s="714"/>
      <c r="C440" s="23">
        <f t="shared" si="74"/>
        <v>1</v>
      </c>
      <c r="D440" s="715"/>
      <c r="E440" s="23">
        <f t="shared" si="75"/>
        <v>0.03</v>
      </c>
      <c r="F440" s="715"/>
      <c r="G440" s="23">
        <f t="shared" si="76"/>
        <v>0.1</v>
      </c>
      <c r="H440" s="715"/>
      <c r="I440" s="23">
        <f t="shared" si="77"/>
        <v>1</v>
      </c>
      <c r="J440" s="715"/>
      <c r="K440" s="23">
        <f t="shared" si="78"/>
        <v>1</v>
      </c>
      <c r="L440" s="715"/>
      <c r="M440" s="23">
        <f t="shared" si="79"/>
        <v>1</v>
      </c>
      <c r="N440" s="715"/>
      <c r="O440" s="23">
        <f t="shared" si="80"/>
        <v>1</v>
      </c>
      <c r="P440" s="715"/>
      <c r="Q440" s="23">
        <f t="shared" si="81"/>
        <v>0.15</v>
      </c>
      <c r="R440" s="712">
        <f t="shared" si="82"/>
        <v>0</v>
      </c>
      <c r="S440" s="360">
        <f t="shared" si="83"/>
        <v>0</v>
      </c>
    </row>
    <row r="441" spans="1:19">
      <c r="A441" s="3005"/>
      <c r="B441" s="714"/>
      <c r="C441" s="23">
        <f t="shared" si="74"/>
        <v>1</v>
      </c>
      <c r="D441" s="715"/>
      <c r="E441" s="23">
        <f t="shared" si="75"/>
        <v>0.03</v>
      </c>
      <c r="F441" s="715"/>
      <c r="G441" s="23">
        <f t="shared" si="76"/>
        <v>0.1</v>
      </c>
      <c r="H441" s="715"/>
      <c r="I441" s="23">
        <f t="shared" si="77"/>
        <v>1</v>
      </c>
      <c r="J441" s="715"/>
      <c r="K441" s="23">
        <f t="shared" si="78"/>
        <v>1</v>
      </c>
      <c r="L441" s="715"/>
      <c r="M441" s="23">
        <f t="shared" si="79"/>
        <v>1</v>
      </c>
      <c r="N441" s="715"/>
      <c r="O441" s="23">
        <f t="shared" si="80"/>
        <v>1</v>
      </c>
      <c r="P441" s="715"/>
      <c r="Q441" s="23">
        <f t="shared" si="81"/>
        <v>0.15</v>
      </c>
      <c r="R441" s="712">
        <f t="shared" si="82"/>
        <v>0</v>
      </c>
      <c r="S441" s="360">
        <f t="shared" si="83"/>
        <v>0</v>
      </c>
    </row>
    <row r="442" spans="1:19">
      <c r="A442" s="3005"/>
      <c r="B442" s="714"/>
      <c r="C442" s="23">
        <f t="shared" si="74"/>
        <v>1</v>
      </c>
      <c r="D442" s="715"/>
      <c r="E442" s="23">
        <f t="shared" si="75"/>
        <v>0.03</v>
      </c>
      <c r="F442" s="715"/>
      <c r="G442" s="23">
        <f t="shared" si="76"/>
        <v>0.1</v>
      </c>
      <c r="H442" s="715"/>
      <c r="I442" s="23">
        <f t="shared" si="77"/>
        <v>1</v>
      </c>
      <c r="J442" s="715"/>
      <c r="K442" s="23">
        <f t="shared" si="78"/>
        <v>1</v>
      </c>
      <c r="L442" s="715"/>
      <c r="M442" s="23">
        <f t="shared" si="79"/>
        <v>1</v>
      </c>
      <c r="N442" s="715"/>
      <c r="O442" s="23">
        <f t="shared" si="80"/>
        <v>1</v>
      </c>
      <c r="P442" s="715"/>
      <c r="Q442" s="23">
        <f t="shared" si="81"/>
        <v>0.15</v>
      </c>
      <c r="R442" s="712">
        <f t="shared" si="82"/>
        <v>0</v>
      </c>
      <c r="S442" s="360">
        <f t="shared" si="83"/>
        <v>0</v>
      </c>
    </row>
    <row r="443" spans="1:19">
      <c r="A443" s="3005"/>
      <c r="B443" s="714"/>
      <c r="C443" s="23">
        <f t="shared" si="74"/>
        <v>1</v>
      </c>
      <c r="D443" s="715"/>
      <c r="E443" s="23">
        <f t="shared" si="75"/>
        <v>0.03</v>
      </c>
      <c r="F443" s="715"/>
      <c r="G443" s="23">
        <f t="shared" si="76"/>
        <v>0.1</v>
      </c>
      <c r="H443" s="715"/>
      <c r="I443" s="23">
        <f t="shared" si="77"/>
        <v>1</v>
      </c>
      <c r="J443" s="715"/>
      <c r="K443" s="23">
        <f t="shared" si="78"/>
        <v>1</v>
      </c>
      <c r="L443" s="715"/>
      <c r="M443" s="23">
        <f t="shared" si="79"/>
        <v>1</v>
      </c>
      <c r="N443" s="715"/>
      <c r="O443" s="23">
        <f t="shared" si="80"/>
        <v>1</v>
      </c>
      <c r="P443" s="715"/>
      <c r="Q443" s="23">
        <f t="shared" si="81"/>
        <v>0.15</v>
      </c>
      <c r="R443" s="712">
        <f t="shared" si="82"/>
        <v>0</v>
      </c>
      <c r="S443" s="360">
        <f t="shared" si="83"/>
        <v>0</v>
      </c>
    </row>
    <row r="444" spans="1:19">
      <c r="A444" s="3005"/>
      <c r="B444" s="714"/>
      <c r="C444" s="23">
        <f t="shared" si="74"/>
        <v>1</v>
      </c>
      <c r="D444" s="715"/>
      <c r="E444" s="23">
        <f t="shared" si="75"/>
        <v>0.03</v>
      </c>
      <c r="F444" s="715"/>
      <c r="G444" s="23">
        <f t="shared" si="76"/>
        <v>0.1</v>
      </c>
      <c r="H444" s="715"/>
      <c r="I444" s="23">
        <f t="shared" si="77"/>
        <v>1</v>
      </c>
      <c r="J444" s="715"/>
      <c r="K444" s="23">
        <f t="shared" si="78"/>
        <v>1</v>
      </c>
      <c r="L444" s="715"/>
      <c r="M444" s="23">
        <f t="shared" si="79"/>
        <v>1</v>
      </c>
      <c r="N444" s="715"/>
      <c r="O444" s="23">
        <f t="shared" si="80"/>
        <v>1</v>
      </c>
      <c r="P444" s="715"/>
      <c r="Q444" s="23">
        <f t="shared" si="81"/>
        <v>0.15</v>
      </c>
      <c r="R444" s="712">
        <f t="shared" si="82"/>
        <v>0</v>
      </c>
      <c r="S444" s="360">
        <f t="shared" si="83"/>
        <v>0</v>
      </c>
    </row>
    <row r="445" spans="1:19">
      <c r="A445" s="3005"/>
      <c r="B445" s="714"/>
      <c r="C445" s="23">
        <f t="shared" si="74"/>
        <v>1</v>
      </c>
      <c r="D445" s="715"/>
      <c r="E445" s="23">
        <f t="shared" si="75"/>
        <v>0.03</v>
      </c>
      <c r="F445" s="715"/>
      <c r="G445" s="23">
        <f t="shared" si="76"/>
        <v>0.1</v>
      </c>
      <c r="H445" s="715"/>
      <c r="I445" s="23">
        <f t="shared" si="77"/>
        <v>1</v>
      </c>
      <c r="J445" s="715"/>
      <c r="K445" s="23">
        <f t="shared" si="78"/>
        <v>1</v>
      </c>
      <c r="L445" s="715"/>
      <c r="M445" s="23">
        <f t="shared" si="79"/>
        <v>1</v>
      </c>
      <c r="N445" s="715"/>
      <c r="O445" s="23">
        <f t="shared" si="80"/>
        <v>1</v>
      </c>
      <c r="P445" s="715"/>
      <c r="Q445" s="23">
        <f t="shared" si="81"/>
        <v>0.15</v>
      </c>
      <c r="R445" s="712">
        <f t="shared" si="82"/>
        <v>0</v>
      </c>
      <c r="S445" s="360">
        <f t="shared" si="83"/>
        <v>0</v>
      </c>
    </row>
    <row r="446" spans="1:19">
      <c r="A446" s="3005"/>
      <c r="B446" s="714"/>
      <c r="C446" s="23">
        <f t="shared" si="74"/>
        <v>1</v>
      </c>
      <c r="D446" s="715"/>
      <c r="E446" s="23">
        <f t="shared" si="75"/>
        <v>0.03</v>
      </c>
      <c r="F446" s="715"/>
      <c r="G446" s="23">
        <f t="shared" si="76"/>
        <v>0.1</v>
      </c>
      <c r="H446" s="715"/>
      <c r="I446" s="23">
        <f t="shared" si="77"/>
        <v>1</v>
      </c>
      <c r="J446" s="715"/>
      <c r="K446" s="23">
        <f t="shared" si="78"/>
        <v>1</v>
      </c>
      <c r="L446" s="715"/>
      <c r="M446" s="23">
        <f t="shared" si="79"/>
        <v>1</v>
      </c>
      <c r="N446" s="715"/>
      <c r="O446" s="23">
        <f t="shared" si="80"/>
        <v>1</v>
      </c>
      <c r="P446" s="715"/>
      <c r="Q446" s="23">
        <f t="shared" si="81"/>
        <v>0.15</v>
      </c>
      <c r="R446" s="712">
        <f t="shared" si="82"/>
        <v>0</v>
      </c>
      <c r="S446" s="360">
        <f t="shared" si="83"/>
        <v>0</v>
      </c>
    </row>
    <row r="447" spans="1:19">
      <c r="A447" s="3005"/>
      <c r="B447" s="714"/>
      <c r="C447" s="23">
        <f t="shared" si="74"/>
        <v>1</v>
      </c>
      <c r="D447" s="715"/>
      <c r="E447" s="23">
        <f t="shared" si="75"/>
        <v>0.03</v>
      </c>
      <c r="F447" s="715"/>
      <c r="G447" s="23">
        <f t="shared" si="76"/>
        <v>0.1</v>
      </c>
      <c r="H447" s="715"/>
      <c r="I447" s="23">
        <f t="shared" si="77"/>
        <v>1</v>
      </c>
      <c r="J447" s="715"/>
      <c r="K447" s="23">
        <f t="shared" si="78"/>
        <v>1</v>
      </c>
      <c r="L447" s="715"/>
      <c r="M447" s="23">
        <f t="shared" si="79"/>
        <v>1</v>
      </c>
      <c r="N447" s="715"/>
      <c r="O447" s="23">
        <f t="shared" si="80"/>
        <v>1</v>
      </c>
      <c r="P447" s="715"/>
      <c r="Q447" s="23">
        <f t="shared" si="81"/>
        <v>0.15</v>
      </c>
      <c r="R447" s="712">
        <f t="shared" si="82"/>
        <v>0</v>
      </c>
      <c r="S447" s="360">
        <f t="shared" si="83"/>
        <v>0</v>
      </c>
    </row>
    <row r="448" spans="1:19">
      <c r="A448" s="3005"/>
      <c r="B448" s="714"/>
      <c r="C448" s="23">
        <f t="shared" si="74"/>
        <v>1</v>
      </c>
      <c r="D448" s="715"/>
      <c r="E448" s="23">
        <f t="shared" si="75"/>
        <v>0.03</v>
      </c>
      <c r="F448" s="715"/>
      <c r="G448" s="23">
        <f t="shared" si="76"/>
        <v>0.1</v>
      </c>
      <c r="H448" s="715"/>
      <c r="I448" s="23">
        <f t="shared" si="77"/>
        <v>1</v>
      </c>
      <c r="J448" s="715"/>
      <c r="K448" s="23">
        <f t="shared" si="78"/>
        <v>1</v>
      </c>
      <c r="L448" s="715"/>
      <c r="M448" s="23">
        <f t="shared" si="79"/>
        <v>1</v>
      </c>
      <c r="N448" s="715"/>
      <c r="O448" s="23">
        <f t="shared" si="80"/>
        <v>1</v>
      </c>
      <c r="P448" s="715"/>
      <c r="Q448" s="23">
        <f t="shared" si="81"/>
        <v>0.15</v>
      </c>
      <c r="R448" s="712">
        <f t="shared" si="82"/>
        <v>0</v>
      </c>
      <c r="S448" s="360">
        <f t="shared" si="83"/>
        <v>0</v>
      </c>
    </row>
    <row r="449" spans="1:19">
      <c r="A449" s="3005"/>
      <c r="B449" s="714"/>
      <c r="C449" s="23">
        <f t="shared" si="74"/>
        <v>1</v>
      </c>
      <c r="D449" s="715"/>
      <c r="E449" s="23">
        <f t="shared" si="75"/>
        <v>0.03</v>
      </c>
      <c r="F449" s="715"/>
      <c r="G449" s="23">
        <f t="shared" si="76"/>
        <v>0.1</v>
      </c>
      <c r="H449" s="715"/>
      <c r="I449" s="23">
        <f t="shared" si="77"/>
        <v>1</v>
      </c>
      <c r="J449" s="715"/>
      <c r="K449" s="23">
        <f t="shared" si="78"/>
        <v>1</v>
      </c>
      <c r="L449" s="715"/>
      <c r="M449" s="23">
        <f t="shared" si="79"/>
        <v>1</v>
      </c>
      <c r="N449" s="715"/>
      <c r="O449" s="23">
        <f t="shared" si="80"/>
        <v>1</v>
      </c>
      <c r="P449" s="715"/>
      <c r="Q449" s="23">
        <f t="shared" si="81"/>
        <v>0.15</v>
      </c>
      <c r="R449" s="712">
        <f t="shared" si="82"/>
        <v>0</v>
      </c>
      <c r="S449" s="360">
        <f t="shared" si="83"/>
        <v>0</v>
      </c>
    </row>
    <row r="450" spans="1:19">
      <c r="A450" s="3005"/>
      <c r="B450" s="714"/>
      <c r="C450" s="23">
        <f t="shared" si="74"/>
        <v>1</v>
      </c>
      <c r="D450" s="715"/>
      <c r="E450" s="23">
        <f t="shared" si="75"/>
        <v>0.03</v>
      </c>
      <c r="F450" s="715"/>
      <c r="G450" s="23">
        <f t="shared" si="76"/>
        <v>0.1</v>
      </c>
      <c r="H450" s="715"/>
      <c r="I450" s="23">
        <f t="shared" si="77"/>
        <v>1</v>
      </c>
      <c r="J450" s="715"/>
      <c r="K450" s="23">
        <f t="shared" si="78"/>
        <v>1</v>
      </c>
      <c r="L450" s="715"/>
      <c r="M450" s="23">
        <f t="shared" si="79"/>
        <v>1</v>
      </c>
      <c r="N450" s="715"/>
      <c r="O450" s="23">
        <f t="shared" si="80"/>
        <v>1</v>
      </c>
      <c r="P450" s="715"/>
      <c r="Q450" s="23">
        <f t="shared" si="81"/>
        <v>0.15</v>
      </c>
      <c r="R450" s="712">
        <f t="shared" si="82"/>
        <v>0</v>
      </c>
      <c r="S450" s="360">
        <f t="shared" si="83"/>
        <v>0</v>
      </c>
    </row>
    <row r="451" spans="1:19">
      <c r="A451" s="3005"/>
      <c r="B451" s="714"/>
      <c r="C451" s="23">
        <f t="shared" si="74"/>
        <v>1</v>
      </c>
      <c r="D451" s="715"/>
      <c r="E451" s="23">
        <f t="shared" si="75"/>
        <v>0.03</v>
      </c>
      <c r="F451" s="715"/>
      <c r="G451" s="23">
        <f t="shared" si="76"/>
        <v>0.1</v>
      </c>
      <c r="H451" s="715"/>
      <c r="I451" s="23">
        <f t="shared" si="77"/>
        <v>1</v>
      </c>
      <c r="J451" s="715"/>
      <c r="K451" s="23">
        <f t="shared" si="78"/>
        <v>1</v>
      </c>
      <c r="L451" s="715"/>
      <c r="M451" s="23">
        <f t="shared" si="79"/>
        <v>1</v>
      </c>
      <c r="N451" s="715"/>
      <c r="O451" s="23">
        <f t="shared" si="80"/>
        <v>1</v>
      </c>
      <c r="P451" s="715"/>
      <c r="Q451" s="23">
        <f t="shared" si="81"/>
        <v>0.15</v>
      </c>
      <c r="R451" s="712">
        <f t="shared" si="82"/>
        <v>0</v>
      </c>
      <c r="S451" s="360">
        <f t="shared" si="83"/>
        <v>0</v>
      </c>
    </row>
    <row r="452" spans="1:19">
      <c r="A452" s="3005"/>
      <c r="B452" s="714"/>
      <c r="C452" s="23">
        <f t="shared" si="74"/>
        <v>1</v>
      </c>
      <c r="D452" s="715"/>
      <c r="E452" s="23">
        <f t="shared" si="75"/>
        <v>0.03</v>
      </c>
      <c r="F452" s="715"/>
      <c r="G452" s="23">
        <f t="shared" si="76"/>
        <v>0.1</v>
      </c>
      <c r="H452" s="715"/>
      <c r="I452" s="23">
        <f t="shared" si="77"/>
        <v>1</v>
      </c>
      <c r="J452" s="715"/>
      <c r="K452" s="23">
        <f t="shared" si="78"/>
        <v>1</v>
      </c>
      <c r="L452" s="715"/>
      <c r="M452" s="23">
        <f t="shared" si="79"/>
        <v>1</v>
      </c>
      <c r="N452" s="715"/>
      <c r="O452" s="23">
        <f t="shared" si="80"/>
        <v>1</v>
      </c>
      <c r="P452" s="715"/>
      <c r="Q452" s="23">
        <f t="shared" si="81"/>
        <v>0.15</v>
      </c>
      <c r="R452" s="712">
        <f t="shared" si="82"/>
        <v>0</v>
      </c>
      <c r="S452" s="360">
        <f t="shared" si="83"/>
        <v>0</v>
      </c>
    </row>
    <row r="453" spans="1:19">
      <c r="A453" s="3005"/>
      <c r="B453" s="714"/>
      <c r="C453" s="23">
        <f t="shared" si="74"/>
        <v>1</v>
      </c>
      <c r="D453" s="715"/>
      <c r="E453" s="23">
        <f t="shared" si="75"/>
        <v>0.03</v>
      </c>
      <c r="F453" s="715"/>
      <c r="G453" s="23">
        <f t="shared" si="76"/>
        <v>0.1</v>
      </c>
      <c r="H453" s="715"/>
      <c r="I453" s="23">
        <f t="shared" si="77"/>
        <v>1</v>
      </c>
      <c r="J453" s="715"/>
      <c r="K453" s="23">
        <f t="shared" si="78"/>
        <v>1</v>
      </c>
      <c r="L453" s="715"/>
      <c r="M453" s="23">
        <f t="shared" si="79"/>
        <v>1</v>
      </c>
      <c r="N453" s="715"/>
      <c r="O453" s="23">
        <f t="shared" si="80"/>
        <v>1</v>
      </c>
      <c r="P453" s="715"/>
      <c r="Q453" s="23">
        <f t="shared" si="81"/>
        <v>0.15</v>
      </c>
      <c r="R453" s="712">
        <f t="shared" si="82"/>
        <v>0</v>
      </c>
      <c r="S453" s="360">
        <f t="shared" si="83"/>
        <v>0</v>
      </c>
    </row>
    <row r="454" spans="1:19">
      <c r="A454" s="3005"/>
      <c r="B454" s="714"/>
      <c r="C454" s="23">
        <f t="shared" si="74"/>
        <v>1</v>
      </c>
      <c r="D454" s="715"/>
      <c r="E454" s="23">
        <f t="shared" si="75"/>
        <v>0.03</v>
      </c>
      <c r="F454" s="715"/>
      <c r="G454" s="23">
        <f t="shared" si="76"/>
        <v>0.1</v>
      </c>
      <c r="H454" s="715"/>
      <c r="I454" s="23">
        <f t="shared" si="77"/>
        <v>1</v>
      </c>
      <c r="J454" s="715"/>
      <c r="K454" s="23">
        <f t="shared" si="78"/>
        <v>1</v>
      </c>
      <c r="L454" s="715"/>
      <c r="M454" s="23">
        <f t="shared" si="79"/>
        <v>1</v>
      </c>
      <c r="N454" s="715"/>
      <c r="O454" s="23">
        <f t="shared" si="80"/>
        <v>1</v>
      </c>
      <c r="P454" s="715"/>
      <c r="Q454" s="23">
        <f t="shared" si="81"/>
        <v>0.15</v>
      </c>
      <c r="R454" s="712">
        <f t="shared" si="82"/>
        <v>0</v>
      </c>
      <c r="S454" s="360">
        <f t="shared" si="83"/>
        <v>0</v>
      </c>
    </row>
    <row r="455" spans="1:19">
      <c r="A455" s="3005"/>
      <c r="B455" s="714"/>
      <c r="C455" s="23">
        <f t="shared" si="74"/>
        <v>1</v>
      </c>
      <c r="D455" s="715"/>
      <c r="E455" s="23">
        <f t="shared" si="75"/>
        <v>0.03</v>
      </c>
      <c r="F455" s="715"/>
      <c r="G455" s="23">
        <f t="shared" si="76"/>
        <v>0.1</v>
      </c>
      <c r="H455" s="715"/>
      <c r="I455" s="23">
        <f t="shared" si="77"/>
        <v>1</v>
      </c>
      <c r="J455" s="715"/>
      <c r="K455" s="23">
        <f t="shared" si="78"/>
        <v>1</v>
      </c>
      <c r="L455" s="715"/>
      <c r="M455" s="23">
        <f t="shared" si="79"/>
        <v>1</v>
      </c>
      <c r="N455" s="715"/>
      <c r="O455" s="23">
        <f t="shared" si="80"/>
        <v>1</v>
      </c>
      <c r="P455" s="715"/>
      <c r="Q455" s="23">
        <f t="shared" si="81"/>
        <v>0.15</v>
      </c>
      <c r="R455" s="712">
        <f t="shared" si="82"/>
        <v>0</v>
      </c>
      <c r="S455" s="360">
        <f t="shared" si="83"/>
        <v>0</v>
      </c>
    </row>
    <row r="456" spans="1:19">
      <c r="A456" s="3005"/>
      <c r="B456" s="714"/>
      <c r="C456" s="23">
        <f t="shared" si="74"/>
        <v>1</v>
      </c>
      <c r="D456" s="715"/>
      <c r="E456" s="23">
        <f t="shared" si="75"/>
        <v>0.03</v>
      </c>
      <c r="F456" s="715"/>
      <c r="G456" s="23">
        <f t="shared" si="76"/>
        <v>0.1</v>
      </c>
      <c r="H456" s="715"/>
      <c r="I456" s="23">
        <f t="shared" si="77"/>
        <v>1</v>
      </c>
      <c r="J456" s="715"/>
      <c r="K456" s="23">
        <f t="shared" si="78"/>
        <v>1</v>
      </c>
      <c r="L456" s="715"/>
      <c r="M456" s="23">
        <f t="shared" si="79"/>
        <v>1</v>
      </c>
      <c r="N456" s="715"/>
      <c r="O456" s="23">
        <f t="shared" si="80"/>
        <v>1</v>
      </c>
      <c r="P456" s="715"/>
      <c r="Q456" s="23">
        <f t="shared" si="81"/>
        <v>0.15</v>
      </c>
      <c r="R456" s="712">
        <f t="shared" si="82"/>
        <v>0</v>
      </c>
      <c r="S456" s="360">
        <f t="shared" si="83"/>
        <v>0</v>
      </c>
    </row>
    <row r="457" spans="1:19">
      <c r="A457" s="3005"/>
      <c r="B457" s="714"/>
      <c r="C457" s="23">
        <f t="shared" si="74"/>
        <v>1</v>
      </c>
      <c r="D457" s="715"/>
      <c r="E457" s="23">
        <f t="shared" si="75"/>
        <v>0.03</v>
      </c>
      <c r="F457" s="715"/>
      <c r="G457" s="23">
        <f t="shared" si="76"/>
        <v>0.1</v>
      </c>
      <c r="H457" s="715"/>
      <c r="I457" s="23">
        <f t="shared" si="77"/>
        <v>1</v>
      </c>
      <c r="J457" s="715"/>
      <c r="K457" s="23">
        <f t="shared" si="78"/>
        <v>1</v>
      </c>
      <c r="L457" s="715"/>
      <c r="M457" s="23">
        <f t="shared" si="79"/>
        <v>1</v>
      </c>
      <c r="N457" s="715"/>
      <c r="O457" s="23">
        <f t="shared" si="80"/>
        <v>1</v>
      </c>
      <c r="P457" s="715"/>
      <c r="Q457" s="23">
        <f t="shared" si="81"/>
        <v>0.15</v>
      </c>
      <c r="R457" s="712">
        <f t="shared" si="82"/>
        <v>0</v>
      </c>
      <c r="S457" s="360">
        <f t="shared" si="83"/>
        <v>0</v>
      </c>
    </row>
    <row r="458" spans="1:19">
      <c r="A458" s="3005"/>
      <c r="B458" s="714"/>
      <c r="C458" s="23">
        <f t="shared" si="74"/>
        <v>1</v>
      </c>
      <c r="D458" s="715"/>
      <c r="E458" s="23">
        <f t="shared" si="75"/>
        <v>0.03</v>
      </c>
      <c r="F458" s="715"/>
      <c r="G458" s="23">
        <f t="shared" si="76"/>
        <v>0.1</v>
      </c>
      <c r="H458" s="715"/>
      <c r="I458" s="23">
        <f t="shared" si="77"/>
        <v>1</v>
      </c>
      <c r="J458" s="715"/>
      <c r="K458" s="23">
        <f t="shared" si="78"/>
        <v>1</v>
      </c>
      <c r="L458" s="715"/>
      <c r="M458" s="23">
        <f t="shared" si="79"/>
        <v>1</v>
      </c>
      <c r="N458" s="715"/>
      <c r="O458" s="23">
        <f t="shared" si="80"/>
        <v>1</v>
      </c>
      <c r="P458" s="715"/>
      <c r="Q458" s="23">
        <f t="shared" si="81"/>
        <v>0.15</v>
      </c>
      <c r="R458" s="712">
        <f t="shared" si="82"/>
        <v>0</v>
      </c>
      <c r="S458" s="360">
        <f t="shared" si="83"/>
        <v>0</v>
      </c>
    </row>
    <row r="459" spans="1:19">
      <c r="A459" s="3005"/>
      <c r="B459" s="714"/>
      <c r="C459" s="23">
        <f t="shared" si="74"/>
        <v>1</v>
      </c>
      <c r="D459" s="715"/>
      <c r="E459" s="23">
        <f t="shared" si="75"/>
        <v>0.03</v>
      </c>
      <c r="F459" s="715"/>
      <c r="G459" s="23">
        <f t="shared" si="76"/>
        <v>0.1</v>
      </c>
      <c r="H459" s="715"/>
      <c r="I459" s="23">
        <f t="shared" si="77"/>
        <v>1</v>
      </c>
      <c r="J459" s="715"/>
      <c r="K459" s="23">
        <f t="shared" si="78"/>
        <v>1</v>
      </c>
      <c r="L459" s="715"/>
      <c r="M459" s="23">
        <f t="shared" si="79"/>
        <v>1</v>
      </c>
      <c r="N459" s="715"/>
      <c r="O459" s="23">
        <f t="shared" si="80"/>
        <v>1</v>
      </c>
      <c r="P459" s="715"/>
      <c r="Q459" s="23">
        <f t="shared" si="81"/>
        <v>0.15</v>
      </c>
      <c r="R459" s="712">
        <f t="shared" si="82"/>
        <v>0</v>
      </c>
      <c r="S459" s="360">
        <f t="shared" si="83"/>
        <v>0</v>
      </c>
    </row>
    <row r="460" spans="1:19">
      <c r="A460" s="3005"/>
      <c r="B460" s="714"/>
      <c r="C460" s="23">
        <f t="shared" si="74"/>
        <v>1</v>
      </c>
      <c r="D460" s="715"/>
      <c r="E460" s="23">
        <f t="shared" si="75"/>
        <v>0.03</v>
      </c>
      <c r="F460" s="715"/>
      <c r="G460" s="23">
        <f t="shared" si="76"/>
        <v>0.1</v>
      </c>
      <c r="H460" s="715"/>
      <c r="I460" s="23">
        <f t="shared" si="77"/>
        <v>1</v>
      </c>
      <c r="J460" s="715"/>
      <c r="K460" s="23">
        <f t="shared" si="78"/>
        <v>1</v>
      </c>
      <c r="L460" s="715"/>
      <c r="M460" s="23">
        <f t="shared" si="79"/>
        <v>1</v>
      </c>
      <c r="N460" s="715"/>
      <c r="O460" s="23">
        <f t="shared" si="80"/>
        <v>1</v>
      </c>
      <c r="P460" s="715"/>
      <c r="Q460" s="23">
        <f t="shared" si="81"/>
        <v>0.15</v>
      </c>
      <c r="R460" s="712">
        <f t="shared" si="82"/>
        <v>0</v>
      </c>
      <c r="S460" s="360">
        <f t="shared" si="83"/>
        <v>0</v>
      </c>
    </row>
    <row r="461" spans="1:19">
      <c r="A461" s="3005"/>
      <c r="B461" s="714"/>
      <c r="C461" s="23">
        <f t="shared" si="74"/>
        <v>1</v>
      </c>
      <c r="D461" s="715"/>
      <c r="E461" s="23">
        <f t="shared" si="75"/>
        <v>0.03</v>
      </c>
      <c r="F461" s="715"/>
      <c r="G461" s="23">
        <f t="shared" si="76"/>
        <v>0.1</v>
      </c>
      <c r="H461" s="715"/>
      <c r="I461" s="23">
        <f t="shared" si="77"/>
        <v>1</v>
      </c>
      <c r="J461" s="715"/>
      <c r="K461" s="23">
        <f t="shared" si="78"/>
        <v>1</v>
      </c>
      <c r="L461" s="715"/>
      <c r="M461" s="23">
        <f t="shared" si="79"/>
        <v>1</v>
      </c>
      <c r="N461" s="715"/>
      <c r="O461" s="23">
        <f t="shared" si="80"/>
        <v>1</v>
      </c>
      <c r="P461" s="715"/>
      <c r="Q461" s="23">
        <f t="shared" si="81"/>
        <v>0.15</v>
      </c>
      <c r="R461" s="712">
        <f t="shared" si="82"/>
        <v>0</v>
      </c>
      <c r="S461" s="360">
        <f t="shared" si="83"/>
        <v>0</v>
      </c>
    </row>
    <row r="462" spans="1:19">
      <c r="A462" s="3005"/>
      <c r="B462" s="714"/>
      <c r="C462" s="23">
        <f t="shared" si="74"/>
        <v>1</v>
      </c>
      <c r="D462" s="715"/>
      <c r="E462" s="23">
        <f t="shared" si="75"/>
        <v>0.03</v>
      </c>
      <c r="F462" s="715"/>
      <c r="G462" s="23">
        <f t="shared" si="76"/>
        <v>0.1</v>
      </c>
      <c r="H462" s="715"/>
      <c r="I462" s="23">
        <f t="shared" si="77"/>
        <v>1</v>
      </c>
      <c r="J462" s="715"/>
      <c r="K462" s="23">
        <f t="shared" si="78"/>
        <v>1</v>
      </c>
      <c r="L462" s="715"/>
      <c r="M462" s="23">
        <f t="shared" si="79"/>
        <v>1</v>
      </c>
      <c r="N462" s="715"/>
      <c r="O462" s="23">
        <f t="shared" si="80"/>
        <v>1</v>
      </c>
      <c r="P462" s="715"/>
      <c r="Q462" s="23">
        <f t="shared" si="81"/>
        <v>0.15</v>
      </c>
      <c r="R462" s="712">
        <f t="shared" si="82"/>
        <v>0</v>
      </c>
      <c r="S462" s="360">
        <f t="shared" si="83"/>
        <v>0</v>
      </c>
    </row>
    <row r="463" spans="1:19">
      <c r="A463" s="3005"/>
      <c r="B463" s="714"/>
      <c r="C463" s="23">
        <f t="shared" si="74"/>
        <v>1</v>
      </c>
      <c r="D463" s="715"/>
      <c r="E463" s="23">
        <f t="shared" si="75"/>
        <v>0.03</v>
      </c>
      <c r="F463" s="715"/>
      <c r="G463" s="23">
        <f t="shared" si="76"/>
        <v>0.1</v>
      </c>
      <c r="H463" s="715"/>
      <c r="I463" s="23">
        <f t="shared" si="77"/>
        <v>1</v>
      </c>
      <c r="J463" s="715"/>
      <c r="K463" s="23">
        <f t="shared" si="78"/>
        <v>1</v>
      </c>
      <c r="L463" s="715"/>
      <c r="M463" s="23">
        <f t="shared" si="79"/>
        <v>1</v>
      </c>
      <c r="N463" s="715"/>
      <c r="O463" s="23">
        <f t="shared" si="80"/>
        <v>1</v>
      </c>
      <c r="P463" s="715"/>
      <c r="Q463" s="23">
        <f t="shared" si="81"/>
        <v>0.15</v>
      </c>
      <c r="R463" s="712">
        <f t="shared" si="82"/>
        <v>0</v>
      </c>
      <c r="S463" s="360">
        <f t="shared" si="83"/>
        <v>0</v>
      </c>
    </row>
    <row r="464" spans="1:19">
      <c r="A464" s="3005"/>
      <c r="B464" s="714"/>
      <c r="C464" s="23">
        <f t="shared" si="74"/>
        <v>1</v>
      </c>
      <c r="D464" s="715"/>
      <c r="E464" s="23">
        <f t="shared" si="75"/>
        <v>0.03</v>
      </c>
      <c r="F464" s="715"/>
      <c r="G464" s="23">
        <f t="shared" si="76"/>
        <v>0.1</v>
      </c>
      <c r="H464" s="715"/>
      <c r="I464" s="23">
        <f t="shared" si="77"/>
        <v>1</v>
      </c>
      <c r="J464" s="715"/>
      <c r="K464" s="23">
        <f t="shared" si="78"/>
        <v>1</v>
      </c>
      <c r="L464" s="715"/>
      <c r="M464" s="23">
        <f t="shared" si="79"/>
        <v>1</v>
      </c>
      <c r="N464" s="715"/>
      <c r="O464" s="23">
        <f t="shared" si="80"/>
        <v>1</v>
      </c>
      <c r="P464" s="715"/>
      <c r="Q464" s="23">
        <f t="shared" si="81"/>
        <v>0.15</v>
      </c>
      <c r="R464" s="712">
        <f t="shared" si="82"/>
        <v>0</v>
      </c>
      <c r="S464" s="360">
        <f t="shared" si="83"/>
        <v>0</v>
      </c>
    </row>
    <row r="465" spans="1:19">
      <c r="A465" s="3005"/>
      <c r="B465" s="714"/>
      <c r="C465" s="23">
        <f t="shared" si="74"/>
        <v>1</v>
      </c>
      <c r="D465" s="715"/>
      <c r="E465" s="23">
        <f t="shared" si="75"/>
        <v>0.03</v>
      </c>
      <c r="F465" s="715"/>
      <c r="G465" s="23">
        <f t="shared" si="76"/>
        <v>0.1</v>
      </c>
      <c r="H465" s="715"/>
      <c r="I465" s="23">
        <f t="shared" si="77"/>
        <v>1</v>
      </c>
      <c r="J465" s="715"/>
      <c r="K465" s="23">
        <f t="shared" si="78"/>
        <v>1</v>
      </c>
      <c r="L465" s="715"/>
      <c r="M465" s="23">
        <f t="shared" si="79"/>
        <v>1</v>
      </c>
      <c r="N465" s="715"/>
      <c r="O465" s="23">
        <f t="shared" si="80"/>
        <v>1</v>
      </c>
      <c r="P465" s="715"/>
      <c r="Q465" s="23">
        <f t="shared" si="81"/>
        <v>0.15</v>
      </c>
      <c r="R465" s="712">
        <f t="shared" si="82"/>
        <v>0</v>
      </c>
      <c r="S465" s="360">
        <f t="shared" si="83"/>
        <v>0</v>
      </c>
    </row>
    <row r="466" spans="1:19">
      <c r="A466" s="3005"/>
      <c r="B466" s="714"/>
      <c r="C466" s="23">
        <f t="shared" si="74"/>
        <v>1</v>
      </c>
      <c r="D466" s="715"/>
      <c r="E466" s="23">
        <f t="shared" si="75"/>
        <v>0.03</v>
      </c>
      <c r="F466" s="715"/>
      <c r="G466" s="23">
        <f t="shared" si="76"/>
        <v>0.1</v>
      </c>
      <c r="H466" s="715"/>
      <c r="I466" s="23">
        <f t="shared" si="77"/>
        <v>1</v>
      </c>
      <c r="J466" s="715"/>
      <c r="K466" s="23">
        <f t="shared" si="78"/>
        <v>1</v>
      </c>
      <c r="L466" s="715"/>
      <c r="M466" s="23">
        <f t="shared" si="79"/>
        <v>1</v>
      </c>
      <c r="N466" s="715"/>
      <c r="O466" s="23">
        <f t="shared" si="80"/>
        <v>1</v>
      </c>
      <c r="P466" s="715"/>
      <c r="Q466" s="23">
        <f t="shared" si="81"/>
        <v>0.15</v>
      </c>
      <c r="R466" s="712">
        <f t="shared" si="82"/>
        <v>0</v>
      </c>
      <c r="S466" s="360">
        <f t="shared" si="83"/>
        <v>0</v>
      </c>
    </row>
    <row r="467" spans="1:19">
      <c r="A467" s="3005"/>
      <c r="B467" s="714"/>
      <c r="C467" s="23">
        <f t="shared" si="74"/>
        <v>1</v>
      </c>
      <c r="D467" s="715"/>
      <c r="E467" s="23">
        <f t="shared" si="75"/>
        <v>0.03</v>
      </c>
      <c r="F467" s="715"/>
      <c r="G467" s="23">
        <f t="shared" si="76"/>
        <v>0.1</v>
      </c>
      <c r="H467" s="715"/>
      <c r="I467" s="23">
        <f t="shared" si="77"/>
        <v>1</v>
      </c>
      <c r="J467" s="715"/>
      <c r="K467" s="23">
        <f t="shared" si="78"/>
        <v>1</v>
      </c>
      <c r="L467" s="715"/>
      <c r="M467" s="23">
        <f t="shared" si="79"/>
        <v>1</v>
      </c>
      <c r="N467" s="715"/>
      <c r="O467" s="23">
        <f t="shared" si="80"/>
        <v>1</v>
      </c>
      <c r="P467" s="715"/>
      <c r="Q467" s="23">
        <f t="shared" si="81"/>
        <v>0.15</v>
      </c>
      <c r="R467" s="712">
        <f t="shared" si="82"/>
        <v>0</v>
      </c>
      <c r="S467" s="360">
        <f t="shared" si="83"/>
        <v>0</v>
      </c>
    </row>
    <row r="468" spans="1:19">
      <c r="A468" s="3005"/>
      <c r="B468" s="714"/>
      <c r="C468" s="23">
        <f t="shared" si="74"/>
        <v>1</v>
      </c>
      <c r="D468" s="715"/>
      <c r="E468" s="23">
        <f t="shared" si="75"/>
        <v>0.03</v>
      </c>
      <c r="F468" s="715"/>
      <c r="G468" s="23">
        <f t="shared" si="76"/>
        <v>0.1</v>
      </c>
      <c r="H468" s="715"/>
      <c r="I468" s="23">
        <f t="shared" si="77"/>
        <v>1</v>
      </c>
      <c r="J468" s="715"/>
      <c r="K468" s="23">
        <f t="shared" si="78"/>
        <v>1</v>
      </c>
      <c r="L468" s="715"/>
      <c r="M468" s="23">
        <f t="shared" si="79"/>
        <v>1</v>
      </c>
      <c r="N468" s="715"/>
      <c r="O468" s="23">
        <f t="shared" si="80"/>
        <v>1</v>
      </c>
      <c r="P468" s="715"/>
      <c r="Q468" s="23">
        <f t="shared" si="81"/>
        <v>0.15</v>
      </c>
      <c r="R468" s="712">
        <f t="shared" si="82"/>
        <v>0</v>
      </c>
      <c r="S468" s="360">
        <f t="shared" ref="S468:S497" si="84">ROUND(R468*B468/10000,0)</f>
        <v>0</v>
      </c>
    </row>
    <row r="469" spans="1:19">
      <c r="A469" s="3005"/>
      <c r="B469" s="714"/>
      <c r="C469" s="23">
        <f t="shared" si="74"/>
        <v>1</v>
      </c>
      <c r="D469" s="715"/>
      <c r="E469" s="23">
        <f t="shared" si="75"/>
        <v>0.03</v>
      </c>
      <c r="F469" s="715"/>
      <c r="G469" s="23">
        <f t="shared" si="76"/>
        <v>0.1</v>
      </c>
      <c r="H469" s="715"/>
      <c r="I469" s="23">
        <f t="shared" si="77"/>
        <v>1</v>
      </c>
      <c r="J469" s="715"/>
      <c r="K469" s="23">
        <f t="shared" si="78"/>
        <v>1</v>
      </c>
      <c r="L469" s="715"/>
      <c r="M469" s="23">
        <f t="shared" si="79"/>
        <v>1</v>
      </c>
      <c r="N469" s="715"/>
      <c r="O469" s="23">
        <f t="shared" si="80"/>
        <v>1</v>
      </c>
      <c r="P469" s="715"/>
      <c r="Q469" s="23">
        <f t="shared" si="81"/>
        <v>0.15</v>
      </c>
      <c r="R469" s="712">
        <f t="shared" si="82"/>
        <v>0</v>
      </c>
      <c r="S469" s="360">
        <f t="shared" si="84"/>
        <v>0</v>
      </c>
    </row>
    <row r="470" spans="1:19">
      <c r="A470" s="3005"/>
      <c r="B470" s="714"/>
      <c r="C470" s="23">
        <f t="shared" si="74"/>
        <v>1</v>
      </c>
      <c r="D470" s="715"/>
      <c r="E470" s="23">
        <f t="shared" si="75"/>
        <v>0.03</v>
      </c>
      <c r="F470" s="715"/>
      <c r="G470" s="23">
        <f t="shared" si="76"/>
        <v>0.1</v>
      </c>
      <c r="H470" s="715"/>
      <c r="I470" s="23">
        <f t="shared" si="77"/>
        <v>1</v>
      </c>
      <c r="J470" s="715"/>
      <c r="K470" s="23">
        <f t="shared" si="78"/>
        <v>1</v>
      </c>
      <c r="L470" s="715"/>
      <c r="M470" s="23">
        <f t="shared" si="79"/>
        <v>1</v>
      </c>
      <c r="N470" s="715"/>
      <c r="O470" s="23">
        <f t="shared" si="80"/>
        <v>1</v>
      </c>
      <c r="P470" s="715"/>
      <c r="Q470" s="23">
        <f t="shared" si="81"/>
        <v>0.15</v>
      </c>
      <c r="R470" s="712">
        <f t="shared" si="82"/>
        <v>0</v>
      </c>
      <c r="S470" s="360">
        <f t="shared" si="84"/>
        <v>0</v>
      </c>
    </row>
    <row r="471" spans="1:19">
      <c r="A471" s="158"/>
      <c r="B471" s="58"/>
      <c r="C471" s="23">
        <f t="shared" si="74"/>
        <v>1</v>
      </c>
      <c r="D471" s="715"/>
      <c r="E471" s="23">
        <f t="shared" si="75"/>
        <v>0.03</v>
      </c>
      <c r="F471" s="715"/>
      <c r="G471" s="23">
        <f t="shared" si="76"/>
        <v>0.1</v>
      </c>
      <c r="H471" s="715"/>
      <c r="I471" s="23">
        <f t="shared" si="77"/>
        <v>1</v>
      </c>
      <c r="J471" s="715"/>
      <c r="K471" s="23">
        <f t="shared" si="78"/>
        <v>1</v>
      </c>
      <c r="L471" s="715"/>
      <c r="M471" s="23">
        <f t="shared" si="79"/>
        <v>1</v>
      </c>
      <c r="N471" s="715"/>
      <c r="O471" s="23">
        <f t="shared" si="80"/>
        <v>1</v>
      </c>
      <c r="P471" s="715"/>
      <c r="Q471" s="23">
        <f t="shared" si="81"/>
        <v>0.15</v>
      </c>
      <c r="R471" s="712">
        <f t="shared" si="82"/>
        <v>0</v>
      </c>
      <c r="S471" s="360">
        <f t="shared" si="84"/>
        <v>0</v>
      </c>
    </row>
    <row r="472" spans="1:19">
      <c r="A472" s="158"/>
      <c r="B472" s="58"/>
      <c r="C472" s="23">
        <f t="shared" si="74"/>
        <v>1</v>
      </c>
      <c r="D472" s="715"/>
      <c r="E472" s="23">
        <f t="shared" si="75"/>
        <v>0.03</v>
      </c>
      <c r="F472" s="715"/>
      <c r="G472" s="23">
        <f t="shared" si="76"/>
        <v>0.1</v>
      </c>
      <c r="H472" s="715"/>
      <c r="I472" s="23">
        <f t="shared" si="77"/>
        <v>1</v>
      </c>
      <c r="J472" s="715"/>
      <c r="K472" s="23">
        <f t="shared" si="78"/>
        <v>1</v>
      </c>
      <c r="L472" s="715"/>
      <c r="M472" s="23">
        <f t="shared" si="79"/>
        <v>1</v>
      </c>
      <c r="N472" s="715"/>
      <c r="O472" s="23">
        <f t="shared" si="80"/>
        <v>1</v>
      </c>
      <c r="P472" s="715"/>
      <c r="Q472" s="23">
        <f t="shared" si="81"/>
        <v>0.15</v>
      </c>
      <c r="R472" s="712">
        <f t="shared" si="82"/>
        <v>0</v>
      </c>
      <c r="S472" s="360">
        <f t="shared" si="84"/>
        <v>0</v>
      </c>
    </row>
    <row r="473" spans="1:19">
      <c r="A473" s="158"/>
      <c r="B473" s="58"/>
      <c r="C473" s="23">
        <f t="shared" si="74"/>
        <v>1</v>
      </c>
      <c r="D473" s="715"/>
      <c r="E473" s="23">
        <f t="shared" si="75"/>
        <v>0.03</v>
      </c>
      <c r="F473" s="715"/>
      <c r="G473" s="23">
        <f t="shared" si="76"/>
        <v>0.1</v>
      </c>
      <c r="H473" s="715"/>
      <c r="I473" s="23">
        <f t="shared" si="77"/>
        <v>1</v>
      </c>
      <c r="J473" s="715"/>
      <c r="K473" s="23">
        <f t="shared" si="78"/>
        <v>1</v>
      </c>
      <c r="L473" s="715"/>
      <c r="M473" s="23">
        <f t="shared" si="79"/>
        <v>1</v>
      </c>
      <c r="N473" s="715"/>
      <c r="O473" s="23">
        <f t="shared" si="80"/>
        <v>1</v>
      </c>
      <c r="P473" s="715"/>
      <c r="Q473" s="23">
        <f t="shared" si="81"/>
        <v>0.15</v>
      </c>
      <c r="R473" s="712">
        <f t="shared" si="82"/>
        <v>0</v>
      </c>
      <c r="S473" s="360">
        <f t="shared" si="84"/>
        <v>0</v>
      </c>
    </row>
    <row r="474" spans="1:19">
      <c r="A474" s="158"/>
      <c r="B474" s="58"/>
      <c r="C474" s="23">
        <f t="shared" ref="C474:C524" si="85">IF(B474="",1,(LOOKUP(B474,$3:$3,$4:$4)-LOOKUP($B$24,$3:$3,$4:$4)+100)/100)</f>
        <v>1</v>
      </c>
      <c r="D474" s="715"/>
      <c r="E474" s="23">
        <f t="shared" ref="E474:E524" si="86">(SUMIF($5:$5,D474,$6:$6)-SUMIF($5:$5,$D$24,$6:$6)+100)/100</f>
        <v>0.03</v>
      </c>
      <c r="F474" s="715"/>
      <c r="G474" s="23">
        <f t="shared" ref="G474:G524" si="87">(SUMIF($7:$7,F474,$8:$8)-SUMIF($7:$7,$F$24,$8:$8)+100)/100</f>
        <v>0.1</v>
      </c>
      <c r="H474" s="715"/>
      <c r="I474" s="23">
        <f t="shared" ref="I474:I524" si="88">(SUMIF($9:$9,H474,$10:$10)-SUMIF($9:$9,$H$24,$10:$10)+100)/100</f>
        <v>1</v>
      </c>
      <c r="J474" s="715"/>
      <c r="K474" s="23">
        <f t="shared" ref="K474:K524" si="89">(SUMIF($11:$11,J474,$12:$12)-SUMIF($11:$11,$J$24,$12:$12)+100)/100</f>
        <v>1</v>
      </c>
      <c r="L474" s="715"/>
      <c r="M474" s="23">
        <f t="shared" ref="M474:M524" si="90">(SUMIF($13:$13,L474,$14:$14)-SUMIF($13:$13,$L$24,$14:$14)+100)/100</f>
        <v>1</v>
      </c>
      <c r="N474" s="715"/>
      <c r="O474" s="23">
        <f t="shared" ref="O474:O524" si="91">(SUMIF($15:$15,N474,$16:$16)-SUMIF($15:$15,$N$24,$16:$16)+100)/100</f>
        <v>1</v>
      </c>
      <c r="P474" s="715"/>
      <c r="Q474" s="23">
        <f t="shared" ref="Q474:Q524" si="92">(SUMIF($17:$17,P474,$18:$18)-SUMIF($17:$17,$P$24,$18:$18)+100)/100</f>
        <v>0.15</v>
      </c>
      <c r="R474" s="712">
        <f t="shared" ref="R474:R524" si="93">IF(B474="",0,ROUND($R$24*C474*E474*G474*I474*K474*M474*O474*Q474,0))</f>
        <v>0</v>
      </c>
      <c r="S474" s="360">
        <f t="shared" si="84"/>
        <v>0</v>
      </c>
    </row>
    <row r="475" spans="1:19">
      <c r="A475" s="158"/>
      <c r="B475" s="58"/>
      <c r="C475" s="23">
        <f t="shared" si="85"/>
        <v>1</v>
      </c>
      <c r="D475" s="715"/>
      <c r="E475" s="23">
        <f t="shared" si="86"/>
        <v>0.03</v>
      </c>
      <c r="F475" s="715"/>
      <c r="G475" s="23">
        <f t="shared" si="87"/>
        <v>0.1</v>
      </c>
      <c r="H475" s="715"/>
      <c r="I475" s="23">
        <f t="shared" si="88"/>
        <v>1</v>
      </c>
      <c r="J475" s="715"/>
      <c r="K475" s="23">
        <f t="shared" si="89"/>
        <v>1</v>
      </c>
      <c r="L475" s="715"/>
      <c r="M475" s="23">
        <f t="shared" si="90"/>
        <v>1</v>
      </c>
      <c r="N475" s="715"/>
      <c r="O475" s="23">
        <f t="shared" si="91"/>
        <v>1</v>
      </c>
      <c r="P475" s="715"/>
      <c r="Q475" s="23">
        <f t="shared" si="92"/>
        <v>0.15</v>
      </c>
      <c r="R475" s="712">
        <f t="shared" si="93"/>
        <v>0</v>
      </c>
      <c r="S475" s="360">
        <f t="shared" si="84"/>
        <v>0</v>
      </c>
    </row>
    <row r="476" spans="1:19">
      <c r="A476" s="158"/>
      <c r="B476" s="58"/>
      <c r="C476" s="23">
        <f t="shared" si="85"/>
        <v>1</v>
      </c>
      <c r="D476" s="715"/>
      <c r="E476" s="23">
        <f t="shared" si="86"/>
        <v>0.03</v>
      </c>
      <c r="F476" s="715"/>
      <c r="G476" s="23">
        <f t="shared" si="87"/>
        <v>0.1</v>
      </c>
      <c r="H476" s="715"/>
      <c r="I476" s="23">
        <f t="shared" si="88"/>
        <v>1</v>
      </c>
      <c r="J476" s="715"/>
      <c r="K476" s="23">
        <f t="shared" si="89"/>
        <v>1</v>
      </c>
      <c r="L476" s="715"/>
      <c r="M476" s="23">
        <f t="shared" si="90"/>
        <v>1</v>
      </c>
      <c r="N476" s="715"/>
      <c r="O476" s="23">
        <f t="shared" si="91"/>
        <v>1</v>
      </c>
      <c r="P476" s="715"/>
      <c r="Q476" s="23">
        <f t="shared" si="92"/>
        <v>0.15</v>
      </c>
      <c r="R476" s="712">
        <f t="shared" si="93"/>
        <v>0</v>
      </c>
      <c r="S476" s="360">
        <f t="shared" si="84"/>
        <v>0</v>
      </c>
    </row>
    <row r="477" spans="1:19">
      <c r="A477" s="158"/>
      <c r="B477" s="58"/>
      <c r="C477" s="23">
        <f t="shared" si="85"/>
        <v>1</v>
      </c>
      <c r="D477" s="715"/>
      <c r="E477" s="23">
        <f t="shared" si="86"/>
        <v>0.03</v>
      </c>
      <c r="F477" s="715"/>
      <c r="G477" s="23">
        <f t="shared" si="87"/>
        <v>0.1</v>
      </c>
      <c r="H477" s="715"/>
      <c r="I477" s="23">
        <f t="shared" si="88"/>
        <v>1</v>
      </c>
      <c r="J477" s="715"/>
      <c r="K477" s="23">
        <f t="shared" si="89"/>
        <v>1</v>
      </c>
      <c r="L477" s="715"/>
      <c r="M477" s="23">
        <f t="shared" si="90"/>
        <v>1</v>
      </c>
      <c r="N477" s="715"/>
      <c r="O477" s="23">
        <f t="shared" si="91"/>
        <v>1</v>
      </c>
      <c r="P477" s="715"/>
      <c r="Q477" s="23">
        <f t="shared" si="92"/>
        <v>0.15</v>
      </c>
      <c r="R477" s="712">
        <f t="shared" si="93"/>
        <v>0</v>
      </c>
      <c r="S477" s="360">
        <f t="shared" si="84"/>
        <v>0</v>
      </c>
    </row>
    <row r="478" spans="1:19">
      <c r="A478" s="158"/>
      <c r="B478" s="58"/>
      <c r="C478" s="23">
        <f t="shared" si="85"/>
        <v>1</v>
      </c>
      <c r="D478" s="715"/>
      <c r="E478" s="23">
        <f t="shared" si="86"/>
        <v>0.03</v>
      </c>
      <c r="F478" s="715"/>
      <c r="G478" s="23">
        <f t="shared" si="87"/>
        <v>0.1</v>
      </c>
      <c r="H478" s="715"/>
      <c r="I478" s="23">
        <f t="shared" si="88"/>
        <v>1</v>
      </c>
      <c r="J478" s="715"/>
      <c r="K478" s="23">
        <f t="shared" si="89"/>
        <v>1</v>
      </c>
      <c r="L478" s="715"/>
      <c r="M478" s="23">
        <f t="shared" si="90"/>
        <v>1</v>
      </c>
      <c r="N478" s="715"/>
      <c r="O478" s="23">
        <f t="shared" si="91"/>
        <v>1</v>
      </c>
      <c r="P478" s="715"/>
      <c r="Q478" s="23">
        <f t="shared" si="92"/>
        <v>0.15</v>
      </c>
      <c r="R478" s="712">
        <f t="shared" si="93"/>
        <v>0</v>
      </c>
      <c r="S478" s="360">
        <f t="shared" si="84"/>
        <v>0</v>
      </c>
    </row>
    <row r="479" spans="1:19">
      <c r="A479" s="158"/>
      <c r="B479" s="58"/>
      <c r="C479" s="23">
        <f t="shared" si="85"/>
        <v>1</v>
      </c>
      <c r="D479" s="715"/>
      <c r="E479" s="23">
        <f t="shared" si="86"/>
        <v>0.03</v>
      </c>
      <c r="F479" s="715"/>
      <c r="G479" s="23">
        <f t="shared" si="87"/>
        <v>0.1</v>
      </c>
      <c r="H479" s="715"/>
      <c r="I479" s="23">
        <f t="shared" si="88"/>
        <v>1</v>
      </c>
      <c r="J479" s="715"/>
      <c r="K479" s="23">
        <f t="shared" si="89"/>
        <v>1</v>
      </c>
      <c r="L479" s="715"/>
      <c r="M479" s="23">
        <f t="shared" si="90"/>
        <v>1</v>
      </c>
      <c r="N479" s="715"/>
      <c r="O479" s="23">
        <f t="shared" si="91"/>
        <v>1</v>
      </c>
      <c r="P479" s="715"/>
      <c r="Q479" s="23">
        <f t="shared" si="92"/>
        <v>0.15</v>
      </c>
      <c r="R479" s="712">
        <f t="shared" si="93"/>
        <v>0</v>
      </c>
      <c r="S479" s="360">
        <f t="shared" si="84"/>
        <v>0</v>
      </c>
    </row>
    <row r="480" spans="1:19">
      <c r="A480" s="158"/>
      <c r="B480" s="58"/>
      <c r="C480" s="23">
        <f t="shared" si="85"/>
        <v>1</v>
      </c>
      <c r="D480" s="715"/>
      <c r="E480" s="23">
        <f t="shared" si="86"/>
        <v>0.03</v>
      </c>
      <c r="F480" s="715"/>
      <c r="G480" s="23">
        <f t="shared" si="87"/>
        <v>0.1</v>
      </c>
      <c r="H480" s="715"/>
      <c r="I480" s="23">
        <f t="shared" si="88"/>
        <v>1</v>
      </c>
      <c r="J480" s="715"/>
      <c r="K480" s="23">
        <f t="shared" si="89"/>
        <v>1</v>
      </c>
      <c r="L480" s="715"/>
      <c r="M480" s="23">
        <f t="shared" si="90"/>
        <v>1</v>
      </c>
      <c r="N480" s="715"/>
      <c r="O480" s="23">
        <f t="shared" si="91"/>
        <v>1</v>
      </c>
      <c r="P480" s="715"/>
      <c r="Q480" s="23">
        <f t="shared" si="92"/>
        <v>0.15</v>
      </c>
      <c r="R480" s="712">
        <f t="shared" si="93"/>
        <v>0</v>
      </c>
      <c r="S480" s="360">
        <f t="shared" si="84"/>
        <v>0</v>
      </c>
    </row>
    <row r="481" spans="1:19">
      <c r="A481" s="158"/>
      <c r="B481" s="58"/>
      <c r="C481" s="23">
        <f t="shared" si="85"/>
        <v>1</v>
      </c>
      <c r="D481" s="715"/>
      <c r="E481" s="23">
        <f t="shared" si="86"/>
        <v>0.03</v>
      </c>
      <c r="F481" s="715"/>
      <c r="G481" s="23">
        <f t="shared" si="87"/>
        <v>0.1</v>
      </c>
      <c r="H481" s="715"/>
      <c r="I481" s="23">
        <f t="shared" si="88"/>
        <v>1</v>
      </c>
      <c r="J481" s="715"/>
      <c r="K481" s="23">
        <f t="shared" si="89"/>
        <v>1</v>
      </c>
      <c r="L481" s="715"/>
      <c r="M481" s="23">
        <f t="shared" si="90"/>
        <v>1</v>
      </c>
      <c r="N481" s="715"/>
      <c r="O481" s="23">
        <f t="shared" si="91"/>
        <v>1</v>
      </c>
      <c r="P481" s="715"/>
      <c r="Q481" s="23">
        <f t="shared" si="92"/>
        <v>0.15</v>
      </c>
      <c r="R481" s="712">
        <f t="shared" si="93"/>
        <v>0</v>
      </c>
      <c r="S481" s="360">
        <f t="shared" si="84"/>
        <v>0</v>
      </c>
    </row>
    <row r="482" spans="1:19">
      <c r="A482" s="158"/>
      <c r="B482" s="58"/>
      <c r="C482" s="23">
        <f t="shared" si="85"/>
        <v>1</v>
      </c>
      <c r="D482" s="715"/>
      <c r="E482" s="23">
        <f t="shared" si="86"/>
        <v>0.03</v>
      </c>
      <c r="F482" s="715"/>
      <c r="G482" s="23">
        <f t="shared" si="87"/>
        <v>0.1</v>
      </c>
      <c r="H482" s="715"/>
      <c r="I482" s="23">
        <f t="shared" si="88"/>
        <v>1</v>
      </c>
      <c r="J482" s="715"/>
      <c r="K482" s="23">
        <f t="shared" si="89"/>
        <v>1</v>
      </c>
      <c r="L482" s="715"/>
      <c r="M482" s="23">
        <f t="shared" si="90"/>
        <v>1</v>
      </c>
      <c r="N482" s="715"/>
      <c r="O482" s="23">
        <f t="shared" si="91"/>
        <v>1</v>
      </c>
      <c r="P482" s="715"/>
      <c r="Q482" s="23">
        <f t="shared" si="92"/>
        <v>0.15</v>
      </c>
      <c r="R482" s="712">
        <f t="shared" si="93"/>
        <v>0</v>
      </c>
      <c r="S482" s="360">
        <f t="shared" si="84"/>
        <v>0</v>
      </c>
    </row>
    <row r="483" spans="1:19">
      <c r="A483" s="158"/>
      <c r="B483" s="58"/>
      <c r="C483" s="23">
        <f t="shared" si="85"/>
        <v>1</v>
      </c>
      <c r="D483" s="715"/>
      <c r="E483" s="23">
        <f t="shared" si="86"/>
        <v>0.03</v>
      </c>
      <c r="F483" s="715"/>
      <c r="G483" s="23">
        <f t="shared" si="87"/>
        <v>0.1</v>
      </c>
      <c r="H483" s="715"/>
      <c r="I483" s="23">
        <f t="shared" si="88"/>
        <v>1</v>
      </c>
      <c r="J483" s="715"/>
      <c r="K483" s="23">
        <f t="shared" si="89"/>
        <v>1</v>
      </c>
      <c r="L483" s="715"/>
      <c r="M483" s="23">
        <f t="shared" si="90"/>
        <v>1</v>
      </c>
      <c r="N483" s="715"/>
      <c r="O483" s="23">
        <f t="shared" si="91"/>
        <v>1</v>
      </c>
      <c r="P483" s="715"/>
      <c r="Q483" s="23">
        <f t="shared" si="92"/>
        <v>0.15</v>
      </c>
      <c r="R483" s="712">
        <f t="shared" si="93"/>
        <v>0</v>
      </c>
      <c r="S483" s="360">
        <f t="shared" si="84"/>
        <v>0</v>
      </c>
    </row>
    <row r="484" spans="1:19">
      <c r="A484" s="158"/>
      <c r="B484" s="58"/>
      <c r="C484" s="23">
        <f t="shared" si="85"/>
        <v>1</v>
      </c>
      <c r="D484" s="715"/>
      <c r="E484" s="23">
        <f t="shared" si="86"/>
        <v>0.03</v>
      </c>
      <c r="F484" s="715"/>
      <c r="G484" s="23">
        <f t="shared" si="87"/>
        <v>0.1</v>
      </c>
      <c r="H484" s="715"/>
      <c r="I484" s="23">
        <f t="shared" si="88"/>
        <v>1</v>
      </c>
      <c r="J484" s="715"/>
      <c r="K484" s="23">
        <f t="shared" si="89"/>
        <v>1</v>
      </c>
      <c r="L484" s="715"/>
      <c r="M484" s="23">
        <f t="shared" si="90"/>
        <v>1</v>
      </c>
      <c r="N484" s="715"/>
      <c r="O484" s="23">
        <f t="shared" si="91"/>
        <v>1</v>
      </c>
      <c r="P484" s="715"/>
      <c r="Q484" s="23">
        <f t="shared" si="92"/>
        <v>0.15</v>
      </c>
      <c r="R484" s="712">
        <f t="shared" si="93"/>
        <v>0</v>
      </c>
      <c r="S484" s="360">
        <f t="shared" si="84"/>
        <v>0</v>
      </c>
    </row>
    <row r="485" spans="1:19">
      <c r="A485" s="158"/>
      <c r="B485" s="58"/>
      <c r="C485" s="23">
        <f t="shared" si="85"/>
        <v>1</v>
      </c>
      <c r="D485" s="715"/>
      <c r="E485" s="23">
        <f t="shared" si="86"/>
        <v>0.03</v>
      </c>
      <c r="F485" s="715"/>
      <c r="G485" s="23">
        <f t="shared" si="87"/>
        <v>0.1</v>
      </c>
      <c r="H485" s="715"/>
      <c r="I485" s="23">
        <f t="shared" si="88"/>
        <v>1</v>
      </c>
      <c r="J485" s="715"/>
      <c r="K485" s="23">
        <f t="shared" si="89"/>
        <v>1</v>
      </c>
      <c r="L485" s="715"/>
      <c r="M485" s="23">
        <f t="shared" si="90"/>
        <v>1</v>
      </c>
      <c r="N485" s="715"/>
      <c r="O485" s="23">
        <f t="shared" si="91"/>
        <v>1</v>
      </c>
      <c r="P485" s="715"/>
      <c r="Q485" s="23">
        <f t="shared" si="92"/>
        <v>0.15</v>
      </c>
      <c r="R485" s="712">
        <f t="shared" si="93"/>
        <v>0</v>
      </c>
      <c r="S485" s="360">
        <f t="shared" si="84"/>
        <v>0</v>
      </c>
    </row>
    <row r="486" spans="1:19">
      <c r="A486" s="158"/>
      <c r="B486" s="58"/>
      <c r="C486" s="23">
        <f t="shared" si="85"/>
        <v>1</v>
      </c>
      <c r="D486" s="715"/>
      <c r="E486" s="23">
        <f t="shared" si="86"/>
        <v>0.03</v>
      </c>
      <c r="F486" s="715"/>
      <c r="G486" s="23">
        <f t="shared" si="87"/>
        <v>0.1</v>
      </c>
      <c r="H486" s="715"/>
      <c r="I486" s="23">
        <f t="shared" si="88"/>
        <v>1</v>
      </c>
      <c r="J486" s="715"/>
      <c r="K486" s="23">
        <f t="shared" si="89"/>
        <v>1</v>
      </c>
      <c r="L486" s="715"/>
      <c r="M486" s="23">
        <f t="shared" si="90"/>
        <v>1</v>
      </c>
      <c r="N486" s="715"/>
      <c r="O486" s="23">
        <f t="shared" si="91"/>
        <v>1</v>
      </c>
      <c r="P486" s="715"/>
      <c r="Q486" s="23">
        <f t="shared" si="92"/>
        <v>0.15</v>
      </c>
      <c r="R486" s="712">
        <f t="shared" si="93"/>
        <v>0</v>
      </c>
      <c r="S486" s="360">
        <f t="shared" si="84"/>
        <v>0</v>
      </c>
    </row>
    <row r="487" spans="1:19">
      <c r="A487" s="158"/>
      <c r="B487" s="58"/>
      <c r="C487" s="23">
        <f t="shared" si="85"/>
        <v>1</v>
      </c>
      <c r="D487" s="715"/>
      <c r="E487" s="23">
        <f t="shared" si="86"/>
        <v>0.03</v>
      </c>
      <c r="F487" s="715"/>
      <c r="G487" s="23">
        <f t="shared" si="87"/>
        <v>0.1</v>
      </c>
      <c r="H487" s="715"/>
      <c r="I487" s="23">
        <f t="shared" si="88"/>
        <v>1</v>
      </c>
      <c r="J487" s="715"/>
      <c r="K487" s="23">
        <f t="shared" si="89"/>
        <v>1</v>
      </c>
      <c r="L487" s="715"/>
      <c r="M487" s="23">
        <f t="shared" si="90"/>
        <v>1</v>
      </c>
      <c r="N487" s="715"/>
      <c r="O487" s="23">
        <f t="shared" si="91"/>
        <v>1</v>
      </c>
      <c r="P487" s="715"/>
      <c r="Q487" s="23">
        <f t="shared" si="92"/>
        <v>0.15</v>
      </c>
      <c r="R487" s="712">
        <f t="shared" si="93"/>
        <v>0</v>
      </c>
      <c r="S487" s="360">
        <f t="shared" si="84"/>
        <v>0</v>
      </c>
    </row>
    <row r="488" spans="1:19">
      <c r="A488" s="158"/>
      <c r="B488" s="58"/>
      <c r="C488" s="23">
        <f t="shared" si="85"/>
        <v>1</v>
      </c>
      <c r="D488" s="715"/>
      <c r="E488" s="23">
        <f t="shared" si="86"/>
        <v>0.03</v>
      </c>
      <c r="F488" s="715"/>
      <c r="G488" s="23">
        <f t="shared" si="87"/>
        <v>0.1</v>
      </c>
      <c r="H488" s="715"/>
      <c r="I488" s="23">
        <f t="shared" si="88"/>
        <v>1</v>
      </c>
      <c r="J488" s="715"/>
      <c r="K488" s="23">
        <f t="shared" si="89"/>
        <v>1</v>
      </c>
      <c r="L488" s="715"/>
      <c r="M488" s="23">
        <f t="shared" si="90"/>
        <v>1</v>
      </c>
      <c r="N488" s="715"/>
      <c r="O488" s="23">
        <f t="shared" si="91"/>
        <v>1</v>
      </c>
      <c r="P488" s="715"/>
      <c r="Q488" s="23">
        <f t="shared" si="92"/>
        <v>0.15</v>
      </c>
      <c r="R488" s="712">
        <f t="shared" si="93"/>
        <v>0</v>
      </c>
      <c r="S488" s="360">
        <f t="shared" si="84"/>
        <v>0</v>
      </c>
    </row>
    <row r="489" spans="1:19">
      <c r="A489" s="158"/>
      <c r="B489" s="58"/>
      <c r="C489" s="23">
        <f t="shared" si="85"/>
        <v>1</v>
      </c>
      <c r="D489" s="715"/>
      <c r="E489" s="23">
        <f t="shared" si="86"/>
        <v>0.03</v>
      </c>
      <c r="F489" s="715"/>
      <c r="G489" s="23">
        <f t="shared" si="87"/>
        <v>0.1</v>
      </c>
      <c r="H489" s="715"/>
      <c r="I489" s="23">
        <f t="shared" si="88"/>
        <v>1</v>
      </c>
      <c r="J489" s="715"/>
      <c r="K489" s="23">
        <f t="shared" si="89"/>
        <v>1</v>
      </c>
      <c r="L489" s="715"/>
      <c r="M489" s="23">
        <f t="shared" si="90"/>
        <v>1</v>
      </c>
      <c r="N489" s="715"/>
      <c r="O489" s="23">
        <f t="shared" si="91"/>
        <v>1</v>
      </c>
      <c r="P489" s="715"/>
      <c r="Q489" s="23">
        <f t="shared" si="92"/>
        <v>0.15</v>
      </c>
      <c r="R489" s="712">
        <f t="shared" si="93"/>
        <v>0</v>
      </c>
      <c r="S489" s="360">
        <f t="shared" si="84"/>
        <v>0</v>
      </c>
    </row>
    <row r="490" spans="1:19">
      <c r="A490" s="158"/>
      <c r="B490" s="58"/>
      <c r="C490" s="23">
        <f t="shared" si="85"/>
        <v>1</v>
      </c>
      <c r="D490" s="715"/>
      <c r="E490" s="23">
        <f t="shared" si="86"/>
        <v>0.03</v>
      </c>
      <c r="F490" s="715"/>
      <c r="G490" s="23">
        <f t="shared" si="87"/>
        <v>0.1</v>
      </c>
      <c r="H490" s="715"/>
      <c r="I490" s="23">
        <f t="shared" si="88"/>
        <v>1</v>
      </c>
      <c r="J490" s="715"/>
      <c r="K490" s="23">
        <f t="shared" si="89"/>
        <v>1</v>
      </c>
      <c r="L490" s="715"/>
      <c r="M490" s="23">
        <f t="shared" si="90"/>
        <v>1</v>
      </c>
      <c r="N490" s="715"/>
      <c r="O490" s="23">
        <f t="shared" si="91"/>
        <v>1</v>
      </c>
      <c r="P490" s="715"/>
      <c r="Q490" s="23">
        <f t="shared" si="92"/>
        <v>0.15</v>
      </c>
      <c r="R490" s="712">
        <f t="shared" si="93"/>
        <v>0</v>
      </c>
      <c r="S490" s="360">
        <f t="shared" si="84"/>
        <v>0</v>
      </c>
    </row>
    <row r="491" spans="1:19">
      <c r="A491" s="158"/>
      <c r="B491" s="58"/>
      <c r="C491" s="23">
        <f t="shared" si="85"/>
        <v>1</v>
      </c>
      <c r="D491" s="715"/>
      <c r="E491" s="23">
        <f t="shared" si="86"/>
        <v>0.03</v>
      </c>
      <c r="F491" s="715"/>
      <c r="G491" s="23">
        <f t="shared" si="87"/>
        <v>0.1</v>
      </c>
      <c r="H491" s="715"/>
      <c r="I491" s="23">
        <f t="shared" si="88"/>
        <v>1</v>
      </c>
      <c r="J491" s="715"/>
      <c r="K491" s="23">
        <f t="shared" si="89"/>
        <v>1</v>
      </c>
      <c r="L491" s="715"/>
      <c r="M491" s="23">
        <f t="shared" si="90"/>
        <v>1</v>
      </c>
      <c r="N491" s="715"/>
      <c r="O491" s="23">
        <f t="shared" si="91"/>
        <v>1</v>
      </c>
      <c r="P491" s="715"/>
      <c r="Q491" s="23">
        <f t="shared" si="92"/>
        <v>0.15</v>
      </c>
      <c r="R491" s="712">
        <f t="shared" si="93"/>
        <v>0</v>
      </c>
      <c r="S491" s="360">
        <f t="shared" si="84"/>
        <v>0</v>
      </c>
    </row>
    <row r="492" spans="1:19">
      <c r="A492" s="158"/>
      <c r="B492" s="58"/>
      <c r="C492" s="23">
        <f t="shared" si="85"/>
        <v>1</v>
      </c>
      <c r="D492" s="715"/>
      <c r="E492" s="23">
        <f t="shared" si="86"/>
        <v>0.03</v>
      </c>
      <c r="F492" s="715"/>
      <c r="G492" s="23">
        <f t="shared" si="87"/>
        <v>0.1</v>
      </c>
      <c r="H492" s="715"/>
      <c r="I492" s="23">
        <f t="shared" si="88"/>
        <v>1</v>
      </c>
      <c r="J492" s="715"/>
      <c r="K492" s="23">
        <f t="shared" si="89"/>
        <v>1</v>
      </c>
      <c r="L492" s="715"/>
      <c r="M492" s="23">
        <f t="shared" si="90"/>
        <v>1</v>
      </c>
      <c r="N492" s="715"/>
      <c r="O492" s="23">
        <f t="shared" si="91"/>
        <v>1</v>
      </c>
      <c r="P492" s="715"/>
      <c r="Q492" s="23">
        <f t="shared" si="92"/>
        <v>0.15</v>
      </c>
      <c r="R492" s="712">
        <f t="shared" si="93"/>
        <v>0</v>
      </c>
      <c r="S492" s="360">
        <f t="shared" si="84"/>
        <v>0</v>
      </c>
    </row>
    <row r="493" spans="1:19">
      <c r="A493" s="158"/>
      <c r="B493" s="58"/>
      <c r="C493" s="23">
        <f t="shared" si="85"/>
        <v>1</v>
      </c>
      <c r="D493" s="715"/>
      <c r="E493" s="23">
        <f t="shared" si="86"/>
        <v>0.03</v>
      </c>
      <c r="F493" s="715"/>
      <c r="G493" s="23">
        <f t="shared" si="87"/>
        <v>0.1</v>
      </c>
      <c r="H493" s="715"/>
      <c r="I493" s="23">
        <f t="shared" si="88"/>
        <v>1</v>
      </c>
      <c r="J493" s="715"/>
      <c r="K493" s="23">
        <f t="shared" si="89"/>
        <v>1</v>
      </c>
      <c r="L493" s="715"/>
      <c r="M493" s="23">
        <f t="shared" si="90"/>
        <v>1</v>
      </c>
      <c r="N493" s="715"/>
      <c r="O493" s="23">
        <f t="shared" si="91"/>
        <v>1</v>
      </c>
      <c r="P493" s="715"/>
      <c r="Q493" s="23">
        <f t="shared" si="92"/>
        <v>0.15</v>
      </c>
      <c r="R493" s="712">
        <f t="shared" si="93"/>
        <v>0</v>
      </c>
      <c r="S493" s="360">
        <f t="shared" si="84"/>
        <v>0</v>
      </c>
    </row>
    <row r="494" spans="1:19">
      <c r="A494" s="158"/>
      <c r="B494" s="58"/>
      <c r="C494" s="23">
        <f t="shared" si="85"/>
        <v>1</v>
      </c>
      <c r="D494" s="715"/>
      <c r="E494" s="23">
        <f t="shared" si="86"/>
        <v>0.03</v>
      </c>
      <c r="F494" s="715"/>
      <c r="G494" s="23">
        <f t="shared" si="87"/>
        <v>0.1</v>
      </c>
      <c r="H494" s="715"/>
      <c r="I494" s="23">
        <f t="shared" si="88"/>
        <v>1</v>
      </c>
      <c r="J494" s="715"/>
      <c r="K494" s="23">
        <f t="shared" si="89"/>
        <v>1</v>
      </c>
      <c r="L494" s="715"/>
      <c r="M494" s="23">
        <f t="shared" si="90"/>
        <v>1</v>
      </c>
      <c r="N494" s="715"/>
      <c r="O494" s="23">
        <f t="shared" si="91"/>
        <v>1</v>
      </c>
      <c r="P494" s="715"/>
      <c r="Q494" s="23">
        <f t="shared" si="92"/>
        <v>0.15</v>
      </c>
      <c r="R494" s="712">
        <f t="shared" si="93"/>
        <v>0</v>
      </c>
      <c r="S494" s="360">
        <f t="shared" si="84"/>
        <v>0</v>
      </c>
    </row>
    <row r="495" spans="1:19">
      <c r="A495" s="158"/>
      <c r="B495" s="58"/>
      <c r="C495" s="23">
        <f t="shared" si="85"/>
        <v>1</v>
      </c>
      <c r="D495" s="715"/>
      <c r="E495" s="23">
        <f t="shared" si="86"/>
        <v>0.03</v>
      </c>
      <c r="F495" s="715"/>
      <c r="G495" s="23">
        <f t="shared" si="87"/>
        <v>0.1</v>
      </c>
      <c r="H495" s="715"/>
      <c r="I495" s="23">
        <f t="shared" si="88"/>
        <v>1</v>
      </c>
      <c r="J495" s="715"/>
      <c r="K495" s="23">
        <f t="shared" si="89"/>
        <v>1</v>
      </c>
      <c r="L495" s="715"/>
      <c r="M495" s="23">
        <f t="shared" si="90"/>
        <v>1</v>
      </c>
      <c r="N495" s="715"/>
      <c r="O495" s="23">
        <f t="shared" si="91"/>
        <v>1</v>
      </c>
      <c r="P495" s="715"/>
      <c r="Q495" s="23">
        <f t="shared" si="92"/>
        <v>0.15</v>
      </c>
      <c r="R495" s="712">
        <f t="shared" si="93"/>
        <v>0</v>
      </c>
      <c r="S495" s="360">
        <f t="shared" si="84"/>
        <v>0</v>
      </c>
    </row>
    <row r="496" spans="1:19">
      <c r="A496" s="158"/>
      <c r="B496" s="58"/>
      <c r="C496" s="23">
        <f t="shared" si="85"/>
        <v>1</v>
      </c>
      <c r="D496" s="715"/>
      <c r="E496" s="23">
        <f t="shared" si="86"/>
        <v>0.03</v>
      </c>
      <c r="F496" s="715"/>
      <c r="G496" s="23">
        <f t="shared" si="87"/>
        <v>0.1</v>
      </c>
      <c r="H496" s="715"/>
      <c r="I496" s="23">
        <f t="shared" si="88"/>
        <v>1</v>
      </c>
      <c r="J496" s="715"/>
      <c r="K496" s="23">
        <f t="shared" si="89"/>
        <v>1</v>
      </c>
      <c r="L496" s="715"/>
      <c r="M496" s="23">
        <f t="shared" si="90"/>
        <v>1</v>
      </c>
      <c r="N496" s="715"/>
      <c r="O496" s="23">
        <f t="shared" si="91"/>
        <v>1</v>
      </c>
      <c r="P496" s="715"/>
      <c r="Q496" s="23">
        <f t="shared" si="92"/>
        <v>0.15</v>
      </c>
      <c r="R496" s="712">
        <f t="shared" si="93"/>
        <v>0</v>
      </c>
      <c r="S496" s="360">
        <f t="shared" si="84"/>
        <v>0</v>
      </c>
    </row>
    <row r="497" spans="1:19">
      <c r="A497" s="158"/>
      <c r="B497" s="58"/>
      <c r="C497" s="23">
        <f t="shared" si="85"/>
        <v>1</v>
      </c>
      <c r="D497" s="715"/>
      <c r="E497" s="23">
        <f t="shared" si="86"/>
        <v>0.03</v>
      </c>
      <c r="F497" s="715"/>
      <c r="G497" s="23">
        <f t="shared" si="87"/>
        <v>0.1</v>
      </c>
      <c r="H497" s="715"/>
      <c r="I497" s="23">
        <f t="shared" si="88"/>
        <v>1</v>
      </c>
      <c r="J497" s="715"/>
      <c r="K497" s="23">
        <f t="shared" si="89"/>
        <v>1</v>
      </c>
      <c r="L497" s="715"/>
      <c r="M497" s="23">
        <f t="shared" si="90"/>
        <v>1</v>
      </c>
      <c r="N497" s="715"/>
      <c r="O497" s="23">
        <f t="shared" si="91"/>
        <v>1</v>
      </c>
      <c r="P497" s="715"/>
      <c r="Q497" s="23">
        <f t="shared" si="92"/>
        <v>0.15</v>
      </c>
      <c r="R497" s="712">
        <f t="shared" si="93"/>
        <v>0</v>
      </c>
      <c r="S497" s="360">
        <f t="shared" si="84"/>
        <v>0</v>
      </c>
    </row>
    <row r="498" spans="1:19">
      <c r="A498" s="158"/>
      <c r="B498" s="58"/>
      <c r="C498" s="23">
        <f t="shared" si="85"/>
        <v>1</v>
      </c>
      <c r="D498" s="715"/>
      <c r="E498" s="23">
        <f t="shared" si="86"/>
        <v>0.03</v>
      </c>
      <c r="F498" s="715"/>
      <c r="G498" s="23">
        <f t="shared" si="87"/>
        <v>0.1</v>
      </c>
      <c r="H498" s="715"/>
      <c r="I498" s="23">
        <f t="shared" si="88"/>
        <v>1</v>
      </c>
      <c r="J498" s="715"/>
      <c r="K498" s="23">
        <f t="shared" si="89"/>
        <v>1</v>
      </c>
      <c r="L498" s="715"/>
      <c r="M498" s="23">
        <f t="shared" si="90"/>
        <v>1</v>
      </c>
      <c r="N498" s="715"/>
      <c r="O498" s="23">
        <f t="shared" si="91"/>
        <v>1</v>
      </c>
      <c r="P498" s="715"/>
      <c r="Q498" s="23">
        <f t="shared" si="92"/>
        <v>0.15</v>
      </c>
      <c r="R498" s="712">
        <f t="shared" si="93"/>
        <v>0</v>
      </c>
      <c r="S498" s="360">
        <f t="shared" ref="S498:S524" si="94">ROUND(R498*B498/10000,0)</f>
        <v>0</v>
      </c>
    </row>
    <row r="499" spans="1:19">
      <c r="A499" s="158"/>
      <c r="B499" s="58"/>
      <c r="C499" s="23">
        <f t="shared" si="85"/>
        <v>1</v>
      </c>
      <c r="D499" s="715"/>
      <c r="E499" s="23">
        <f t="shared" si="86"/>
        <v>0.03</v>
      </c>
      <c r="F499" s="715"/>
      <c r="G499" s="23">
        <f t="shared" si="87"/>
        <v>0.1</v>
      </c>
      <c r="H499" s="715"/>
      <c r="I499" s="23">
        <f t="shared" si="88"/>
        <v>1</v>
      </c>
      <c r="J499" s="715"/>
      <c r="K499" s="23">
        <f t="shared" si="89"/>
        <v>1</v>
      </c>
      <c r="L499" s="715"/>
      <c r="M499" s="23">
        <f t="shared" si="90"/>
        <v>1</v>
      </c>
      <c r="N499" s="715"/>
      <c r="O499" s="23">
        <f t="shared" si="91"/>
        <v>1</v>
      </c>
      <c r="P499" s="715"/>
      <c r="Q499" s="23">
        <f t="shared" si="92"/>
        <v>0.15</v>
      </c>
      <c r="R499" s="712">
        <f t="shared" si="93"/>
        <v>0</v>
      </c>
      <c r="S499" s="360">
        <f t="shared" si="94"/>
        <v>0</v>
      </c>
    </row>
    <row r="500" spans="1:19">
      <c r="A500" s="158"/>
      <c r="B500" s="58"/>
      <c r="C500" s="23">
        <f t="shared" si="85"/>
        <v>1</v>
      </c>
      <c r="D500" s="715"/>
      <c r="E500" s="23">
        <f t="shared" si="86"/>
        <v>0.03</v>
      </c>
      <c r="F500" s="715"/>
      <c r="G500" s="23">
        <f t="shared" si="87"/>
        <v>0.1</v>
      </c>
      <c r="H500" s="715"/>
      <c r="I500" s="23">
        <f t="shared" si="88"/>
        <v>1</v>
      </c>
      <c r="J500" s="715"/>
      <c r="K500" s="23">
        <f t="shared" si="89"/>
        <v>1</v>
      </c>
      <c r="L500" s="715"/>
      <c r="M500" s="23">
        <f t="shared" si="90"/>
        <v>1</v>
      </c>
      <c r="N500" s="715"/>
      <c r="O500" s="23">
        <f t="shared" si="91"/>
        <v>1</v>
      </c>
      <c r="P500" s="715"/>
      <c r="Q500" s="23">
        <f t="shared" si="92"/>
        <v>0.15</v>
      </c>
      <c r="R500" s="712">
        <f t="shared" si="93"/>
        <v>0</v>
      </c>
      <c r="S500" s="360">
        <f t="shared" si="94"/>
        <v>0</v>
      </c>
    </row>
    <row r="501" spans="1:19">
      <c r="A501" s="158"/>
      <c r="B501" s="58"/>
      <c r="C501" s="23">
        <f t="shared" si="85"/>
        <v>1</v>
      </c>
      <c r="D501" s="715"/>
      <c r="E501" s="23">
        <f t="shared" si="86"/>
        <v>0.03</v>
      </c>
      <c r="F501" s="715"/>
      <c r="G501" s="23">
        <f t="shared" si="87"/>
        <v>0.1</v>
      </c>
      <c r="H501" s="715"/>
      <c r="I501" s="23">
        <f t="shared" si="88"/>
        <v>1</v>
      </c>
      <c r="J501" s="715"/>
      <c r="K501" s="23">
        <f t="shared" si="89"/>
        <v>1</v>
      </c>
      <c r="L501" s="715"/>
      <c r="M501" s="23">
        <f t="shared" si="90"/>
        <v>1</v>
      </c>
      <c r="N501" s="715"/>
      <c r="O501" s="23">
        <f t="shared" si="91"/>
        <v>1</v>
      </c>
      <c r="P501" s="715"/>
      <c r="Q501" s="23">
        <f t="shared" si="92"/>
        <v>0.15</v>
      </c>
      <c r="R501" s="712">
        <f t="shared" si="93"/>
        <v>0</v>
      </c>
      <c r="S501" s="360">
        <f t="shared" si="94"/>
        <v>0</v>
      </c>
    </row>
    <row r="502" spans="1:19">
      <c r="A502" s="158"/>
      <c r="B502" s="58"/>
      <c r="C502" s="23">
        <f t="shared" si="85"/>
        <v>1</v>
      </c>
      <c r="D502" s="715"/>
      <c r="E502" s="23">
        <f t="shared" si="86"/>
        <v>0.03</v>
      </c>
      <c r="F502" s="715"/>
      <c r="G502" s="23">
        <f t="shared" si="87"/>
        <v>0.1</v>
      </c>
      <c r="H502" s="715"/>
      <c r="I502" s="23">
        <f t="shared" si="88"/>
        <v>1</v>
      </c>
      <c r="J502" s="715"/>
      <c r="K502" s="23">
        <f t="shared" si="89"/>
        <v>1</v>
      </c>
      <c r="L502" s="715"/>
      <c r="M502" s="23">
        <f t="shared" si="90"/>
        <v>1</v>
      </c>
      <c r="N502" s="715"/>
      <c r="O502" s="23">
        <f t="shared" si="91"/>
        <v>1</v>
      </c>
      <c r="P502" s="715"/>
      <c r="Q502" s="23">
        <f t="shared" si="92"/>
        <v>0.15</v>
      </c>
      <c r="R502" s="712">
        <f t="shared" si="93"/>
        <v>0</v>
      </c>
      <c r="S502" s="360">
        <f t="shared" si="94"/>
        <v>0</v>
      </c>
    </row>
    <row r="503" spans="1:19">
      <c r="A503" s="158"/>
      <c r="B503" s="58"/>
      <c r="C503" s="23">
        <f t="shared" si="85"/>
        <v>1</v>
      </c>
      <c r="D503" s="715"/>
      <c r="E503" s="23">
        <f t="shared" si="86"/>
        <v>0.03</v>
      </c>
      <c r="F503" s="715"/>
      <c r="G503" s="23">
        <f t="shared" si="87"/>
        <v>0.1</v>
      </c>
      <c r="H503" s="715"/>
      <c r="I503" s="23">
        <f t="shared" si="88"/>
        <v>1</v>
      </c>
      <c r="J503" s="715"/>
      <c r="K503" s="23">
        <f t="shared" si="89"/>
        <v>1</v>
      </c>
      <c r="L503" s="715"/>
      <c r="M503" s="23">
        <f t="shared" si="90"/>
        <v>1</v>
      </c>
      <c r="N503" s="715"/>
      <c r="O503" s="23">
        <f t="shared" si="91"/>
        <v>1</v>
      </c>
      <c r="P503" s="715"/>
      <c r="Q503" s="23">
        <f t="shared" si="92"/>
        <v>0.15</v>
      </c>
      <c r="R503" s="712">
        <f t="shared" si="93"/>
        <v>0</v>
      </c>
      <c r="S503" s="360">
        <f t="shared" si="94"/>
        <v>0</v>
      </c>
    </row>
    <row r="504" spans="1:19">
      <c r="A504" s="158"/>
      <c r="B504" s="58"/>
      <c r="C504" s="23">
        <f t="shared" si="85"/>
        <v>1</v>
      </c>
      <c r="D504" s="715"/>
      <c r="E504" s="23">
        <f t="shared" si="86"/>
        <v>0.03</v>
      </c>
      <c r="F504" s="715"/>
      <c r="G504" s="23">
        <f t="shared" si="87"/>
        <v>0.1</v>
      </c>
      <c r="H504" s="715"/>
      <c r="I504" s="23">
        <f t="shared" si="88"/>
        <v>1</v>
      </c>
      <c r="J504" s="715"/>
      <c r="K504" s="23">
        <f t="shared" si="89"/>
        <v>1</v>
      </c>
      <c r="L504" s="715"/>
      <c r="M504" s="23">
        <f t="shared" si="90"/>
        <v>1</v>
      </c>
      <c r="N504" s="715"/>
      <c r="O504" s="23">
        <f t="shared" si="91"/>
        <v>1</v>
      </c>
      <c r="P504" s="715"/>
      <c r="Q504" s="23">
        <f t="shared" si="92"/>
        <v>0.15</v>
      </c>
      <c r="R504" s="712">
        <f t="shared" si="93"/>
        <v>0</v>
      </c>
      <c r="S504" s="360">
        <f t="shared" si="94"/>
        <v>0</v>
      </c>
    </row>
    <row r="505" spans="1:19">
      <c r="A505" s="158"/>
      <c r="B505" s="58"/>
      <c r="C505" s="23">
        <f t="shared" si="85"/>
        <v>1</v>
      </c>
      <c r="D505" s="715"/>
      <c r="E505" s="23">
        <f t="shared" si="86"/>
        <v>0.03</v>
      </c>
      <c r="F505" s="715"/>
      <c r="G505" s="23">
        <f t="shared" si="87"/>
        <v>0.1</v>
      </c>
      <c r="H505" s="715"/>
      <c r="I505" s="23">
        <f t="shared" si="88"/>
        <v>1</v>
      </c>
      <c r="J505" s="715"/>
      <c r="K505" s="23">
        <f t="shared" si="89"/>
        <v>1</v>
      </c>
      <c r="L505" s="715"/>
      <c r="M505" s="23">
        <f t="shared" si="90"/>
        <v>1</v>
      </c>
      <c r="N505" s="715"/>
      <c r="O505" s="23">
        <f t="shared" si="91"/>
        <v>1</v>
      </c>
      <c r="P505" s="715"/>
      <c r="Q505" s="23">
        <f t="shared" si="92"/>
        <v>0.15</v>
      </c>
      <c r="R505" s="712">
        <f t="shared" si="93"/>
        <v>0</v>
      </c>
      <c r="S505" s="360">
        <f t="shared" si="94"/>
        <v>0</v>
      </c>
    </row>
    <row r="506" spans="1:19">
      <c r="A506" s="158"/>
      <c r="B506" s="58"/>
      <c r="C506" s="23">
        <f t="shared" si="85"/>
        <v>1</v>
      </c>
      <c r="D506" s="715"/>
      <c r="E506" s="23">
        <f t="shared" si="86"/>
        <v>0.03</v>
      </c>
      <c r="F506" s="715"/>
      <c r="G506" s="23">
        <f t="shared" si="87"/>
        <v>0.1</v>
      </c>
      <c r="H506" s="715"/>
      <c r="I506" s="23">
        <f t="shared" si="88"/>
        <v>1</v>
      </c>
      <c r="J506" s="715"/>
      <c r="K506" s="23">
        <f t="shared" si="89"/>
        <v>1</v>
      </c>
      <c r="L506" s="715"/>
      <c r="M506" s="23">
        <f t="shared" si="90"/>
        <v>1</v>
      </c>
      <c r="N506" s="715"/>
      <c r="O506" s="23">
        <f t="shared" si="91"/>
        <v>1</v>
      </c>
      <c r="P506" s="715"/>
      <c r="Q506" s="23">
        <f t="shared" si="92"/>
        <v>0.15</v>
      </c>
      <c r="R506" s="712">
        <f t="shared" si="93"/>
        <v>0</v>
      </c>
      <c r="S506" s="360">
        <f t="shared" si="94"/>
        <v>0</v>
      </c>
    </row>
    <row r="507" spans="1:19">
      <c r="A507" s="158"/>
      <c r="B507" s="58"/>
      <c r="C507" s="23">
        <f t="shared" si="85"/>
        <v>1</v>
      </c>
      <c r="D507" s="715"/>
      <c r="E507" s="23">
        <f t="shared" si="86"/>
        <v>0.03</v>
      </c>
      <c r="F507" s="715"/>
      <c r="G507" s="23">
        <f t="shared" si="87"/>
        <v>0.1</v>
      </c>
      <c r="H507" s="715"/>
      <c r="I507" s="23">
        <f t="shared" si="88"/>
        <v>1</v>
      </c>
      <c r="J507" s="715"/>
      <c r="K507" s="23">
        <f t="shared" si="89"/>
        <v>1</v>
      </c>
      <c r="L507" s="715"/>
      <c r="M507" s="23">
        <f t="shared" si="90"/>
        <v>1</v>
      </c>
      <c r="N507" s="715"/>
      <c r="O507" s="23">
        <f t="shared" si="91"/>
        <v>1</v>
      </c>
      <c r="P507" s="715"/>
      <c r="Q507" s="23">
        <f t="shared" si="92"/>
        <v>0.15</v>
      </c>
      <c r="R507" s="712">
        <f t="shared" si="93"/>
        <v>0</v>
      </c>
      <c r="S507" s="360">
        <f t="shared" si="94"/>
        <v>0</v>
      </c>
    </row>
    <row r="508" spans="1:19">
      <c r="A508" s="158"/>
      <c r="B508" s="58"/>
      <c r="C508" s="23">
        <f t="shared" si="85"/>
        <v>1</v>
      </c>
      <c r="D508" s="715"/>
      <c r="E508" s="23">
        <f t="shared" si="86"/>
        <v>0.03</v>
      </c>
      <c r="F508" s="715"/>
      <c r="G508" s="23">
        <f t="shared" si="87"/>
        <v>0.1</v>
      </c>
      <c r="H508" s="715"/>
      <c r="I508" s="23">
        <f t="shared" si="88"/>
        <v>1</v>
      </c>
      <c r="J508" s="715"/>
      <c r="K508" s="23">
        <f t="shared" si="89"/>
        <v>1</v>
      </c>
      <c r="L508" s="715"/>
      <c r="M508" s="23">
        <f t="shared" si="90"/>
        <v>1</v>
      </c>
      <c r="N508" s="715"/>
      <c r="O508" s="23">
        <f t="shared" si="91"/>
        <v>1</v>
      </c>
      <c r="P508" s="715"/>
      <c r="Q508" s="23">
        <f t="shared" si="92"/>
        <v>0.15</v>
      </c>
      <c r="R508" s="712">
        <f t="shared" si="93"/>
        <v>0</v>
      </c>
      <c r="S508" s="360">
        <f t="shared" si="94"/>
        <v>0</v>
      </c>
    </row>
    <row r="509" spans="1:19">
      <c r="A509" s="158"/>
      <c r="B509" s="58"/>
      <c r="C509" s="23">
        <f t="shared" si="85"/>
        <v>1</v>
      </c>
      <c r="D509" s="715"/>
      <c r="E509" s="23">
        <f t="shared" si="86"/>
        <v>0.03</v>
      </c>
      <c r="F509" s="715"/>
      <c r="G509" s="23">
        <f t="shared" si="87"/>
        <v>0.1</v>
      </c>
      <c r="H509" s="715"/>
      <c r="I509" s="23">
        <f t="shared" si="88"/>
        <v>1</v>
      </c>
      <c r="J509" s="715"/>
      <c r="K509" s="23">
        <f t="shared" si="89"/>
        <v>1</v>
      </c>
      <c r="L509" s="715"/>
      <c r="M509" s="23">
        <f t="shared" si="90"/>
        <v>1</v>
      </c>
      <c r="N509" s="715"/>
      <c r="O509" s="23">
        <f t="shared" si="91"/>
        <v>1</v>
      </c>
      <c r="P509" s="715"/>
      <c r="Q509" s="23">
        <f t="shared" si="92"/>
        <v>0.15</v>
      </c>
      <c r="R509" s="712">
        <f t="shared" si="93"/>
        <v>0</v>
      </c>
      <c r="S509" s="360">
        <f t="shared" si="94"/>
        <v>0</v>
      </c>
    </row>
    <row r="510" spans="1:19">
      <c r="A510" s="158"/>
      <c r="B510" s="58"/>
      <c r="C510" s="23">
        <f t="shared" si="85"/>
        <v>1</v>
      </c>
      <c r="D510" s="715"/>
      <c r="E510" s="23">
        <f t="shared" si="86"/>
        <v>0.03</v>
      </c>
      <c r="F510" s="715"/>
      <c r="G510" s="23">
        <f t="shared" si="87"/>
        <v>0.1</v>
      </c>
      <c r="H510" s="715"/>
      <c r="I510" s="23">
        <f t="shared" si="88"/>
        <v>1</v>
      </c>
      <c r="J510" s="715"/>
      <c r="K510" s="23">
        <f t="shared" si="89"/>
        <v>1</v>
      </c>
      <c r="L510" s="715"/>
      <c r="M510" s="23">
        <f t="shared" si="90"/>
        <v>1</v>
      </c>
      <c r="N510" s="715"/>
      <c r="O510" s="23">
        <f t="shared" si="91"/>
        <v>1</v>
      </c>
      <c r="P510" s="715"/>
      <c r="Q510" s="23">
        <f t="shared" si="92"/>
        <v>0.15</v>
      </c>
      <c r="R510" s="712">
        <f t="shared" si="93"/>
        <v>0</v>
      </c>
      <c r="S510" s="360">
        <f t="shared" si="94"/>
        <v>0</v>
      </c>
    </row>
    <row r="511" spans="1:19">
      <c r="A511" s="158"/>
      <c r="B511" s="58"/>
      <c r="C511" s="23">
        <f t="shared" si="85"/>
        <v>1</v>
      </c>
      <c r="D511" s="715"/>
      <c r="E511" s="23">
        <f t="shared" si="86"/>
        <v>0.03</v>
      </c>
      <c r="F511" s="715"/>
      <c r="G511" s="23">
        <f t="shared" si="87"/>
        <v>0.1</v>
      </c>
      <c r="H511" s="715"/>
      <c r="I511" s="23">
        <f t="shared" si="88"/>
        <v>1</v>
      </c>
      <c r="J511" s="715"/>
      <c r="K511" s="23">
        <f t="shared" si="89"/>
        <v>1</v>
      </c>
      <c r="L511" s="715"/>
      <c r="M511" s="23">
        <f t="shared" si="90"/>
        <v>1</v>
      </c>
      <c r="N511" s="715"/>
      <c r="O511" s="23">
        <f t="shared" si="91"/>
        <v>1</v>
      </c>
      <c r="P511" s="715"/>
      <c r="Q511" s="23">
        <f t="shared" si="92"/>
        <v>0.15</v>
      </c>
      <c r="R511" s="712">
        <f t="shared" si="93"/>
        <v>0</v>
      </c>
      <c r="S511" s="360">
        <f t="shared" si="94"/>
        <v>0</v>
      </c>
    </row>
    <row r="512" spans="1:19">
      <c r="A512" s="158"/>
      <c r="B512" s="58"/>
      <c r="C512" s="23">
        <f t="shared" si="85"/>
        <v>1</v>
      </c>
      <c r="D512" s="715"/>
      <c r="E512" s="23">
        <f t="shared" si="86"/>
        <v>0.03</v>
      </c>
      <c r="F512" s="715"/>
      <c r="G512" s="23">
        <f t="shared" si="87"/>
        <v>0.1</v>
      </c>
      <c r="H512" s="715"/>
      <c r="I512" s="23">
        <f t="shared" si="88"/>
        <v>1</v>
      </c>
      <c r="J512" s="715"/>
      <c r="K512" s="23">
        <f t="shared" si="89"/>
        <v>1</v>
      </c>
      <c r="L512" s="715"/>
      <c r="M512" s="23">
        <f t="shared" si="90"/>
        <v>1</v>
      </c>
      <c r="N512" s="715"/>
      <c r="O512" s="23">
        <f t="shared" si="91"/>
        <v>1</v>
      </c>
      <c r="P512" s="715"/>
      <c r="Q512" s="23">
        <f t="shared" si="92"/>
        <v>0.15</v>
      </c>
      <c r="R512" s="712">
        <f t="shared" si="93"/>
        <v>0</v>
      </c>
      <c r="S512" s="360">
        <f t="shared" si="94"/>
        <v>0</v>
      </c>
    </row>
    <row r="513" spans="1:19">
      <c r="A513" s="158"/>
      <c r="B513" s="58"/>
      <c r="C513" s="23">
        <f t="shared" si="85"/>
        <v>1</v>
      </c>
      <c r="D513" s="715"/>
      <c r="E513" s="23">
        <f t="shared" si="86"/>
        <v>0.03</v>
      </c>
      <c r="F513" s="715"/>
      <c r="G513" s="23">
        <f t="shared" si="87"/>
        <v>0.1</v>
      </c>
      <c r="H513" s="715"/>
      <c r="I513" s="23">
        <f t="shared" si="88"/>
        <v>1</v>
      </c>
      <c r="J513" s="715"/>
      <c r="K513" s="23">
        <f t="shared" si="89"/>
        <v>1</v>
      </c>
      <c r="L513" s="715"/>
      <c r="M513" s="23">
        <f t="shared" si="90"/>
        <v>1</v>
      </c>
      <c r="N513" s="715"/>
      <c r="O513" s="23">
        <f t="shared" si="91"/>
        <v>1</v>
      </c>
      <c r="P513" s="715"/>
      <c r="Q513" s="23">
        <f t="shared" si="92"/>
        <v>0.15</v>
      </c>
      <c r="R513" s="712">
        <f t="shared" si="93"/>
        <v>0</v>
      </c>
      <c r="S513" s="360">
        <f t="shared" si="94"/>
        <v>0</v>
      </c>
    </row>
    <row r="514" spans="1:19">
      <c r="A514" s="158"/>
      <c r="B514" s="58"/>
      <c r="C514" s="23">
        <f t="shared" si="85"/>
        <v>1</v>
      </c>
      <c r="D514" s="715"/>
      <c r="E514" s="23">
        <f t="shared" si="86"/>
        <v>0.03</v>
      </c>
      <c r="F514" s="715"/>
      <c r="G514" s="23">
        <f t="shared" si="87"/>
        <v>0.1</v>
      </c>
      <c r="H514" s="715"/>
      <c r="I514" s="23">
        <f t="shared" si="88"/>
        <v>1</v>
      </c>
      <c r="J514" s="715"/>
      <c r="K514" s="23">
        <f t="shared" si="89"/>
        <v>1</v>
      </c>
      <c r="L514" s="715"/>
      <c r="M514" s="23">
        <f t="shared" si="90"/>
        <v>1</v>
      </c>
      <c r="N514" s="715"/>
      <c r="O514" s="23">
        <f t="shared" si="91"/>
        <v>1</v>
      </c>
      <c r="P514" s="715"/>
      <c r="Q514" s="23">
        <f t="shared" si="92"/>
        <v>0.15</v>
      </c>
      <c r="R514" s="712">
        <f t="shared" si="93"/>
        <v>0</v>
      </c>
      <c r="S514" s="360">
        <f t="shared" si="94"/>
        <v>0</v>
      </c>
    </row>
    <row r="515" spans="1:19">
      <c r="A515" s="158"/>
      <c r="B515" s="58"/>
      <c r="C515" s="23">
        <f t="shared" si="85"/>
        <v>1</v>
      </c>
      <c r="D515" s="715"/>
      <c r="E515" s="23">
        <f t="shared" si="86"/>
        <v>0.03</v>
      </c>
      <c r="F515" s="715"/>
      <c r="G515" s="23">
        <f t="shared" si="87"/>
        <v>0.1</v>
      </c>
      <c r="H515" s="715"/>
      <c r="I515" s="23">
        <f t="shared" si="88"/>
        <v>1</v>
      </c>
      <c r="J515" s="715"/>
      <c r="K515" s="23">
        <f t="shared" si="89"/>
        <v>1</v>
      </c>
      <c r="L515" s="715"/>
      <c r="M515" s="23">
        <f t="shared" si="90"/>
        <v>1</v>
      </c>
      <c r="N515" s="715"/>
      <c r="O515" s="23">
        <f t="shared" si="91"/>
        <v>1</v>
      </c>
      <c r="P515" s="715"/>
      <c r="Q515" s="23">
        <f t="shared" si="92"/>
        <v>0.15</v>
      </c>
      <c r="R515" s="712">
        <f t="shared" si="93"/>
        <v>0</v>
      </c>
      <c r="S515" s="360">
        <f t="shared" si="94"/>
        <v>0</v>
      </c>
    </row>
    <row r="516" spans="1:19">
      <c r="A516" s="158"/>
      <c r="B516" s="58"/>
      <c r="C516" s="23">
        <f t="shared" si="85"/>
        <v>1</v>
      </c>
      <c r="D516" s="715"/>
      <c r="E516" s="23">
        <f t="shared" si="86"/>
        <v>0.03</v>
      </c>
      <c r="F516" s="715"/>
      <c r="G516" s="23">
        <f t="shared" si="87"/>
        <v>0.1</v>
      </c>
      <c r="H516" s="715"/>
      <c r="I516" s="23">
        <f t="shared" si="88"/>
        <v>1</v>
      </c>
      <c r="J516" s="715"/>
      <c r="K516" s="23">
        <f t="shared" si="89"/>
        <v>1</v>
      </c>
      <c r="L516" s="715"/>
      <c r="M516" s="23">
        <f t="shared" si="90"/>
        <v>1</v>
      </c>
      <c r="N516" s="715"/>
      <c r="O516" s="23">
        <f t="shared" si="91"/>
        <v>1</v>
      </c>
      <c r="P516" s="715"/>
      <c r="Q516" s="23">
        <f t="shared" si="92"/>
        <v>0.15</v>
      </c>
      <c r="R516" s="712">
        <f t="shared" si="93"/>
        <v>0</v>
      </c>
      <c r="S516" s="360">
        <f t="shared" si="94"/>
        <v>0</v>
      </c>
    </row>
    <row r="517" spans="1:19">
      <c r="A517" s="158"/>
      <c r="B517" s="58"/>
      <c r="C517" s="23">
        <f t="shared" si="85"/>
        <v>1</v>
      </c>
      <c r="D517" s="715"/>
      <c r="E517" s="23">
        <f t="shared" si="86"/>
        <v>0.03</v>
      </c>
      <c r="F517" s="715"/>
      <c r="G517" s="23">
        <f t="shared" si="87"/>
        <v>0.1</v>
      </c>
      <c r="H517" s="715"/>
      <c r="I517" s="23">
        <f t="shared" si="88"/>
        <v>1</v>
      </c>
      <c r="J517" s="715"/>
      <c r="K517" s="23">
        <f t="shared" si="89"/>
        <v>1</v>
      </c>
      <c r="L517" s="715"/>
      <c r="M517" s="23">
        <f t="shared" si="90"/>
        <v>1</v>
      </c>
      <c r="N517" s="715"/>
      <c r="O517" s="23">
        <f t="shared" si="91"/>
        <v>1</v>
      </c>
      <c r="P517" s="715"/>
      <c r="Q517" s="23">
        <f t="shared" si="92"/>
        <v>0.15</v>
      </c>
      <c r="R517" s="712">
        <f t="shared" si="93"/>
        <v>0</v>
      </c>
      <c r="S517" s="360">
        <f t="shared" si="94"/>
        <v>0</v>
      </c>
    </row>
    <row r="518" spans="1:19">
      <c r="A518" s="158"/>
      <c r="B518" s="58"/>
      <c r="C518" s="23">
        <f t="shared" si="85"/>
        <v>1</v>
      </c>
      <c r="D518" s="715"/>
      <c r="E518" s="23">
        <f t="shared" si="86"/>
        <v>0.03</v>
      </c>
      <c r="F518" s="715"/>
      <c r="G518" s="23">
        <f t="shared" si="87"/>
        <v>0.1</v>
      </c>
      <c r="H518" s="715"/>
      <c r="I518" s="23">
        <f t="shared" si="88"/>
        <v>1</v>
      </c>
      <c r="J518" s="715"/>
      <c r="K518" s="23">
        <f t="shared" si="89"/>
        <v>1</v>
      </c>
      <c r="L518" s="715"/>
      <c r="M518" s="23">
        <f t="shared" si="90"/>
        <v>1</v>
      </c>
      <c r="N518" s="715"/>
      <c r="O518" s="23">
        <f t="shared" si="91"/>
        <v>1</v>
      </c>
      <c r="P518" s="715"/>
      <c r="Q518" s="23">
        <f t="shared" si="92"/>
        <v>0.15</v>
      </c>
      <c r="R518" s="712">
        <f t="shared" si="93"/>
        <v>0</v>
      </c>
      <c r="S518" s="360">
        <f t="shared" si="94"/>
        <v>0</v>
      </c>
    </row>
    <row r="519" spans="1:19">
      <c r="A519" s="158"/>
      <c r="B519" s="58"/>
      <c r="C519" s="23">
        <f t="shared" si="85"/>
        <v>1</v>
      </c>
      <c r="D519" s="715"/>
      <c r="E519" s="23">
        <f t="shared" si="86"/>
        <v>0.03</v>
      </c>
      <c r="F519" s="715"/>
      <c r="G519" s="23">
        <f t="shared" si="87"/>
        <v>0.1</v>
      </c>
      <c r="H519" s="715"/>
      <c r="I519" s="23">
        <f t="shared" si="88"/>
        <v>1</v>
      </c>
      <c r="J519" s="715"/>
      <c r="K519" s="23">
        <f t="shared" si="89"/>
        <v>1</v>
      </c>
      <c r="L519" s="715"/>
      <c r="M519" s="23">
        <f t="shared" si="90"/>
        <v>1</v>
      </c>
      <c r="N519" s="715"/>
      <c r="O519" s="23">
        <f t="shared" si="91"/>
        <v>1</v>
      </c>
      <c r="P519" s="715"/>
      <c r="Q519" s="23">
        <f t="shared" si="92"/>
        <v>0.15</v>
      </c>
      <c r="R519" s="712">
        <f t="shared" si="93"/>
        <v>0</v>
      </c>
      <c r="S519" s="360">
        <f t="shared" si="94"/>
        <v>0</v>
      </c>
    </row>
    <row r="520" spans="1:19">
      <c r="A520" s="158"/>
      <c r="B520" s="58"/>
      <c r="C520" s="23">
        <f t="shared" si="85"/>
        <v>1</v>
      </c>
      <c r="D520" s="715"/>
      <c r="E520" s="23">
        <f t="shared" si="86"/>
        <v>0.03</v>
      </c>
      <c r="F520" s="715"/>
      <c r="G520" s="23">
        <f t="shared" si="87"/>
        <v>0.1</v>
      </c>
      <c r="H520" s="715"/>
      <c r="I520" s="23">
        <f t="shared" si="88"/>
        <v>1</v>
      </c>
      <c r="J520" s="715"/>
      <c r="K520" s="23">
        <f t="shared" si="89"/>
        <v>1</v>
      </c>
      <c r="L520" s="715"/>
      <c r="M520" s="23">
        <f t="shared" si="90"/>
        <v>1</v>
      </c>
      <c r="N520" s="715"/>
      <c r="O520" s="23">
        <f t="shared" si="91"/>
        <v>1</v>
      </c>
      <c r="P520" s="715"/>
      <c r="Q520" s="23">
        <f t="shared" si="92"/>
        <v>0.15</v>
      </c>
      <c r="R520" s="712">
        <f t="shared" si="93"/>
        <v>0</v>
      </c>
      <c r="S520" s="360">
        <f t="shared" si="94"/>
        <v>0</v>
      </c>
    </row>
    <row r="521" spans="1:19">
      <c r="A521" s="158"/>
      <c r="B521" s="58"/>
      <c r="C521" s="23">
        <f t="shared" si="85"/>
        <v>1</v>
      </c>
      <c r="D521" s="715"/>
      <c r="E521" s="23">
        <f t="shared" si="86"/>
        <v>0.03</v>
      </c>
      <c r="F521" s="715"/>
      <c r="G521" s="23">
        <f t="shared" si="87"/>
        <v>0.1</v>
      </c>
      <c r="H521" s="715"/>
      <c r="I521" s="23">
        <f t="shared" si="88"/>
        <v>1</v>
      </c>
      <c r="J521" s="715"/>
      <c r="K521" s="23">
        <f t="shared" si="89"/>
        <v>1</v>
      </c>
      <c r="L521" s="715"/>
      <c r="M521" s="23">
        <f t="shared" si="90"/>
        <v>1</v>
      </c>
      <c r="N521" s="715"/>
      <c r="O521" s="23">
        <f t="shared" si="91"/>
        <v>1</v>
      </c>
      <c r="P521" s="715"/>
      <c r="Q521" s="23">
        <f t="shared" si="92"/>
        <v>0.15</v>
      </c>
      <c r="R521" s="712">
        <f t="shared" si="93"/>
        <v>0</v>
      </c>
      <c r="S521" s="360">
        <f t="shared" si="94"/>
        <v>0</v>
      </c>
    </row>
    <row r="522" spans="1:19">
      <c r="A522" s="158"/>
      <c r="B522" s="58"/>
      <c r="C522" s="23">
        <f t="shared" si="85"/>
        <v>1</v>
      </c>
      <c r="D522" s="715"/>
      <c r="E522" s="23">
        <f t="shared" si="86"/>
        <v>0.03</v>
      </c>
      <c r="F522" s="715"/>
      <c r="G522" s="23">
        <f t="shared" si="87"/>
        <v>0.1</v>
      </c>
      <c r="H522" s="715"/>
      <c r="I522" s="23">
        <f t="shared" si="88"/>
        <v>1</v>
      </c>
      <c r="J522" s="715"/>
      <c r="K522" s="23">
        <f t="shared" si="89"/>
        <v>1</v>
      </c>
      <c r="L522" s="715"/>
      <c r="M522" s="23">
        <f t="shared" si="90"/>
        <v>1</v>
      </c>
      <c r="N522" s="715"/>
      <c r="O522" s="23">
        <f t="shared" si="91"/>
        <v>1</v>
      </c>
      <c r="P522" s="715"/>
      <c r="Q522" s="23">
        <f t="shared" si="92"/>
        <v>0.15</v>
      </c>
      <c r="R522" s="712">
        <f t="shared" si="93"/>
        <v>0</v>
      </c>
      <c r="S522" s="360">
        <f t="shared" si="94"/>
        <v>0</v>
      </c>
    </row>
    <row r="523" spans="1:19">
      <c r="A523" s="158"/>
      <c r="B523" s="58"/>
      <c r="C523" s="23">
        <f t="shared" si="85"/>
        <v>1</v>
      </c>
      <c r="D523" s="715"/>
      <c r="E523" s="23">
        <f t="shared" si="86"/>
        <v>0.03</v>
      </c>
      <c r="F523" s="715"/>
      <c r="G523" s="23">
        <f t="shared" si="87"/>
        <v>0.1</v>
      </c>
      <c r="H523" s="715"/>
      <c r="I523" s="23">
        <f t="shared" si="88"/>
        <v>1</v>
      </c>
      <c r="J523" s="715"/>
      <c r="K523" s="23">
        <f t="shared" si="89"/>
        <v>1</v>
      </c>
      <c r="L523" s="715"/>
      <c r="M523" s="23">
        <f t="shared" si="90"/>
        <v>1</v>
      </c>
      <c r="N523" s="715"/>
      <c r="O523" s="23">
        <f t="shared" si="91"/>
        <v>1</v>
      </c>
      <c r="P523" s="715"/>
      <c r="Q523" s="23">
        <f t="shared" si="92"/>
        <v>0.15</v>
      </c>
      <c r="R523" s="712">
        <f t="shared" si="93"/>
        <v>0</v>
      </c>
      <c r="S523" s="360">
        <f t="shared" si="94"/>
        <v>0</v>
      </c>
    </row>
    <row r="524" spans="1:19">
      <c r="A524" s="158"/>
      <c r="B524" s="58"/>
      <c r="C524" s="23">
        <f t="shared" si="85"/>
        <v>1</v>
      </c>
      <c r="D524" s="715"/>
      <c r="E524" s="23">
        <f t="shared" si="86"/>
        <v>0.03</v>
      </c>
      <c r="F524" s="715"/>
      <c r="G524" s="23">
        <f t="shared" si="87"/>
        <v>0.1</v>
      </c>
      <c r="H524" s="715"/>
      <c r="I524" s="23">
        <f t="shared" si="88"/>
        <v>1</v>
      </c>
      <c r="J524" s="715"/>
      <c r="K524" s="23">
        <f t="shared" si="89"/>
        <v>1</v>
      </c>
      <c r="L524" s="715"/>
      <c r="M524" s="23">
        <f t="shared" si="90"/>
        <v>1</v>
      </c>
      <c r="N524" s="715"/>
      <c r="O524" s="23">
        <f t="shared" si="91"/>
        <v>1</v>
      </c>
      <c r="P524" s="715"/>
      <c r="Q524" s="23">
        <f t="shared" si="92"/>
        <v>0.15</v>
      </c>
      <c r="R524" s="712">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1620</v>
      </c>
      <c r="B1" s="1954"/>
      <c r="C1" s="1954"/>
      <c r="D1" s="1954"/>
      <c r="E1" s="1954"/>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v>
      </c>
      <c r="B3" s="3091"/>
      <c r="C3" s="3091"/>
      <c r="D3" s="3091"/>
      <c r="E3" s="3091"/>
    </row>
    <row r="4" spans="1:5" ht="19.5" thickBot="1">
      <c r="A4" s="1956"/>
      <c r="B4" s="3089" t="s">
        <v>1629</v>
      </c>
      <c r="C4" s="3089"/>
      <c r="D4" s="3089"/>
      <c r="E4" s="1956"/>
    </row>
    <row r="5" spans="1:5" ht="16.5" thickTop="1">
      <c r="A5" s="1954"/>
      <c r="B5" s="3087" t="s">
        <v>1621</v>
      </c>
      <c r="C5" s="1957" t="s">
        <v>1622</v>
      </c>
      <c r="D5" s="1037">
        <f ca="1">结果表!H101</f>
        <v>2221</v>
      </c>
      <c r="E5" s="1954"/>
    </row>
    <row r="6" spans="1:5" ht="15.75">
      <c r="A6" s="1954"/>
      <c r="B6" s="3087"/>
      <c r="C6" s="1957" t="s">
        <v>1623</v>
      </c>
      <c r="D6" s="1037" t="str">
        <f ca="1">NUMBERSTRING(INT(D5*10000),2)&amp;"元整"</f>
        <v>贰仟贰佰贰拾壹万元整</v>
      </c>
      <c r="E6" s="1954"/>
    </row>
    <row r="7" spans="1:5" ht="15.75">
      <c r="A7" s="1954"/>
      <c r="B7" s="3092"/>
      <c r="C7" s="1958" t="s">
        <v>1624</v>
      </c>
      <c r="D7" s="1038">
        <f ca="1">结果表!H102</f>
        <v>28093</v>
      </c>
      <c r="E7" s="1954"/>
    </row>
    <row r="8" spans="1:5" ht="15.75">
      <c r="A8" s="1954"/>
      <c r="B8" s="3093" t="str">
        <f>结果表!E103</f>
        <v>2.估价师知悉的法定优先受偿款</v>
      </c>
      <c r="C8" s="1959" t="s">
        <v>1625</v>
      </c>
      <c r="D8" s="1038">
        <f>结果表!H103</f>
        <v>0</v>
      </c>
      <c r="E8" s="1954"/>
    </row>
    <row r="9" spans="1:5" ht="15.75">
      <c r="A9" s="1954"/>
      <c r="B9" s="3095"/>
      <c r="C9" s="1957" t="s">
        <v>1623</v>
      </c>
      <c r="D9" s="1037" t="str">
        <f>NUMBERSTRING(INT(D8*10000),2)&amp;"元整"</f>
        <v>元整</v>
      </c>
      <c r="E9" s="1954"/>
    </row>
    <row r="10" spans="1:5" ht="15">
      <c r="A10" s="1954"/>
      <c r="B10" s="1960" t="s">
        <v>1628</v>
      </c>
      <c r="C10" s="1961" t="s">
        <v>1626</v>
      </c>
      <c r="D10" s="1039">
        <f>结果表!H104</f>
        <v>0</v>
      </c>
      <c r="E10" s="1954"/>
    </row>
    <row r="11" spans="1:5" ht="15">
      <c r="A11" s="1954"/>
      <c r="B11" s="1960" t="s">
        <v>1630</v>
      </c>
      <c r="C11" s="1961" t="s">
        <v>1631</v>
      </c>
      <c r="D11" s="1039">
        <f>结果表!H105</f>
        <v>0</v>
      </c>
      <c r="E11" s="1954"/>
    </row>
    <row r="12" spans="1:5" ht="15">
      <c r="A12" s="1954"/>
      <c r="B12" s="1960" t="s">
        <v>1632</v>
      </c>
      <c r="C12" s="1961" t="s">
        <v>1631</v>
      </c>
      <c r="D12" s="1039">
        <f>结果表!H106</f>
        <v>0</v>
      </c>
      <c r="E12" s="1954"/>
    </row>
    <row r="13" spans="1:5" ht="15.75">
      <c r="A13" s="1954"/>
      <c r="B13" s="3086" t="str">
        <f>结果表!E107</f>
        <v>3.房地产抵押价值</v>
      </c>
      <c r="C13" s="1962" t="s">
        <v>1622</v>
      </c>
      <c r="D13" s="1040">
        <f ca="1">结果表!H107</f>
        <v>2221</v>
      </c>
      <c r="E13" s="1954"/>
    </row>
    <row r="14" spans="1:5" ht="15.75">
      <c r="A14" s="1954"/>
      <c r="B14" s="3087"/>
      <c r="C14" s="1957" t="s">
        <v>1623</v>
      </c>
      <c r="D14" s="1037" t="str">
        <f ca="1">NUMBERSTRING(INT(D13*10000),2)&amp;"元整"</f>
        <v>贰仟贰佰贰拾壹万元整</v>
      </c>
      <c r="E14" s="1954"/>
    </row>
    <row r="15" spans="1:5" ht="15">
      <c r="A15" s="1954"/>
      <c r="B15" s="3092"/>
      <c r="C15" s="1958" t="s">
        <v>1633</v>
      </c>
      <c r="D15" s="1049">
        <f ca="1">结果表!H108</f>
        <v>1575</v>
      </c>
      <c r="E15" s="1954"/>
    </row>
    <row r="16" spans="1:5" ht="15">
      <c r="A16" s="1954"/>
      <c r="B16" s="3093" t="str">
        <f>结果表!E109</f>
        <v>——</v>
      </c>
      <c r="C16" s="1962" t="s">
        <v>1634</v>
      </c>
      <c r="D16" s="1963" t="str">
        <f>结果表!H109</f>
        <v>——</v>
      </c>
      <c r="E16" s="1954"/>
    </row>
    <row r="17" spans="1:5" ht="15.75">
      <c r="A17" s="1954"/>
      <c r="B17" s="3094"/>
      <c r="C17" s="1957" t="s">
        <v>1635</v>
      </c>
      <c r="D17" s="1037" t="e">
        <f>NUMBERSTRING(INT(D16*10000),2)&amp;"元整"</f>
        <v>#VALUE!</v>
      </c>
      <c r="E17" s="1954"/>
    </row>
    <row r="18" spans="1:5" ht="15">
      <c r="A18" s="1954"/>
      <c r="B18" s="3095"/>
      <c r="C18" s="1958" t="s">
        <v>1624</v>
      </c>
      <c r="D18" s="1049" t="str">
        <f>结果表!H110</f>
        <v>——</v>
      </c>
      <c r="E18" s="1954"/>
    </row>
    <row r="19" spans="1:5" ht="15.75">
      <c r="A19" s="1954"/>
      <c r="B19" s="3086" t="str">
        <f>结果表!E111</f>
        <v>——</v>
      </c>
      <c r="C19" s="1962" t="s">
        <v>1622</v>
      </c>
      <c r="D19" s="1038" t="str">
        <f>结果表!H111</f>
        <v>——</v>
      </c>
      <c r="E19" s="1954"/>
    </row>
    <row r="20" spans="1:5" ht="15.75">
      <c r="A20" s="1954"/>
      <c r="B20" s="3087"/>
      <c r="C20" s="1957" t="s">
        <v>1635</v>
      </c>
      <c r="D20" s="1037" t="e">
        <f>NUMBERSTRING(INT(D19*10000),2)&amp;"元整"</f>
        <v>#VALUE!</v>
      </c>
      <c r="E20" s="1954"/>
    </row>
    <row r="21" spans="1:5" ht="15.75" thickBot="1">
      <c r="A21" s="1954"/>
      <c r="B21" s="3088"/>
      <c r="C21" s="1964" t="s">
        <v>1633</v>
      </c>
      <c r="D21" s="1050" t="str">
        <f>结果表!H112</f>
        <v>——</v>
      </c>
      <c r="E21" s="1954"/>
    </row>
    <row r="22" spans="1:5" ht="15" thickTop="1">
      <c r="A22" s="1954"/>
      <c r="B22" s="1965" t="s">
        <v>1636</v>
      </c>
      <c r="C22" s="1954"/>
      <c r="D22" s="1954"/>
      <c r="E22" s="1954"/>
    </row>
    <row r="23" spans="1:5">
      <c r="A23" s="1954"/>
      <c r="B23" s="1954"/>
      <c r="C23" s="1954"/>
      <c r="D23" s="1954"/>
      <c r="E23" s="1954"/>
    </row>
    <row r="24" spans="1:5" ht="18.75">
      <c r="A24" s="1966"/>
      <c r="B24" s="1967" t="s">
        <v>1627</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38038</v>
      </c>
      <c r="C2" s="2" t="s">
        <v>133</v>
      </c>
      <c r="D2" s="242"/>
      <c r="E2" s="242"/>
      <c r="F2" s="242"/>
      <c r="G2" s="242"/>
    </row>
    <row r="3" spans="1:7" s="243" customFormat="1" ht="18" customHeight="1" thickBot="1">
      <c r="A3" s="246" t="s">
        <v>85</v>
      </c>
      <c r="B3" s="247">
        <f ca="1">ROUND(B2*10000/'数据-汇总表'!E3,0)</f>
        <v>26978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1148</v>
      </c>
    </row>
    <row r="9" spans="1:7" s="257" customFormat="1" ht="13.5" customHeight="1">
      <c r="A9" s="947" t="s">
        <v>800</v>
      </c>
      <c r="B9" s="267" t="s">
        <v>93</v>
      </c>
      <c r="C9" s="268">
        <f>ROUND(D9*E9/10000,0)</f>
        <v>0</v>
      </c>
      <c r="D9" s="1029">
        <f>'数据-汇总表'!E5</f>
        <v>0</v>
      </c>
      <c r="E9" s="268">
        <f>'数据-取费表'!B27</f>
        <v>120</v>
      </c>
      <c r="F9" s="264"/>
      <c r="G9" s="269"/>
    </row>
    <row r="10" spans="1:7" s="257" customFormat="1" ht="13.5" customHeight="1">
      <c r="A10" s="947" t="s">
        <v>801</v>
      </c>
      <c r="B10" s="267" t="s">
        <v>94</v>
      </c>
      <c r="C10" s="268">
        <f>ROUND(D10*E10/10000,0)</f>
        <v>169</v>
      </c>
      <c r="D10" s="1029">
        <f>'数据-汇总表'!E6</f>
        <v>14099.390000000001</v>
      </c>
      <c r="E10" s="268">
        <f>'数据-取费表'!B28</f>
        <v>120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282</v>
      </c>
      <c r="D19" s="1033">
        <f>'数据-汇总表'!E3</f>
        <v>14099.390000000001</v>
      </c>
      <c r="E19" s="254">
        <f>'数据-取费表'!B31</f>
        <v>200</v>
      </c>
      <c r="F19" s="274"/>
      <c r="G19" s="1" t="s">
        <v>1074</v>
      </c>
    </row>
    <row r="20" spans="1:7" s="257" customFormat="1" ht="13.5" customHeight="1">
      <c r="A20" s="945" t="s">
        <v>1057</v>
      </c>
      <c r="B20" s="253" t="s">
        <v>104</v>
      </c>
      <c r="C20" s="275">
        <f>ROUND((C5+C19)*F20,0)</f>
        <v>418</v>
      </c>
      <c r="D20" s="275"/>
      <c r="E20" s="275"/>
      <c r="F20" s="276">
        <f>'数据-取费表'!B37</f>
        <v>0.02</v>
      </c>
      <c r="G20" s="1284" t="s">
        <v>1068</v>
      </c>
    </row>
    <row r="21" spans="1:7" s="257" customFormat="1" ht="13.5" customHeight="1">
      <c r="A21" s="945" t="s">
        <v>1059</v>
      </c>
      <c r="B21" s="253" t="s">
        <v>105</v>
      </c>
      <c r="C21" s="278">
        <f>F21</f>
        <v>0.02</v>
      </c>
      <c r="D21" s="279" t="s">
        <v>126</v>
      </c>
      <c r="E21" s="275"/>
      <c r="F21" s="276">
        <f>'数据-取费表'!B38</f>
        <v>0.02</v>
      </c>
      <c r="G21" s="277" t="s">
        <v>106</v>
      </c>
    </row>
    <row r="22" spans="1:7" s="257" customFormat="1" ht="13.5" customHeight="1">
      <c r="A22" s="945" t="s">
        <v>786</v>
      </c>
      <c r="B22" s="253" t="s">
        <v>107</v>
      </c>
      <c r="C22" s="1349">
        <f ca="1">ROUND(SUM(C23:C25),0)</f>
        <v>2595</v>
      </c>
      <c r="D22" s="278">
        <f ca="1">C26</f>
        <v>1.1999999999999999E-3</v>
      </c>
      <c r="E22" s="279" t="s">
        <v>126</v>
      </c>
      <c r="F22" s="280">
        <f ca="1">'数据-取费表'!B40</f>
        <v>4.7500000000000001E-2</v>
      </c>
      <c r="G22" s="1284" t="str">
        <f>IF('数据-取费表'!B22&lt;=1,"单利计息","复利计息")</f>
        <v>复利计息</v>
      </c>
    </row>
    <row r="23" spans="1:7" s="257" customFormat="1" ht="13.5" customHeight="1">
      <c r="A23" s="948" t="s">
        <v>794</v>
      </c>
      <c r="B23" s="258" t="s">
        <v>1061</v>
      </c>
      <c r="C23" s="1350">
        <f ca="1">ROUND(IF('数据-取费表'!B22&lt;=1,C5*F22*'数据-取费表'!B23,C5*(POWER((1+F22),'数据-取费表'!B23)-1)),0)</f>
        <v>2535</v>
      </c>
      <c r="D23" s="281"/>
      <c r="E23" s="281"/>
      <c r="F23" s="282"/>
      <c r="G23" s="283" t="s">
        <v>108</v>
      </c>
    </row>
    <row r="24" spans="1:7" s="257" customFormat="1" ht="13.5" customHeight="1">
      <c r="A24" s="948" t="s">
        <v>792</v>
      </c>
      <c r="B24" s="258" t="s">
        <v>1056</v>
      </c>
      <c r="C24" s="1350">
        <f ca="1">ROUND(IF('数据-取费表'!B22&lt;=1,C19*F22*('数据-取费表'!B19/2+'数据-取费表'!B21),C19*(POWER((1+F22),('数据-取费表'!B19/2+'数据-取费表'!B21))-1)),0)</f>
        <v>35</v>
      </c>
      <c r="D24" s="281"/>
      <c r="E24" s="281"/>
      <c r="F24" s="282"/>
      <c r="G24" s="283" t="s">
        <v>109</v>
      </c>
    </row>
    <row r="25" spans="1:7" s="257" customFormat="1" ht="24">
      <c r="A25" s="948" t="s">
        <v>793</v>
      </c>
      <c r="B25" s="258" t="s">
        <v>1058</v>
      </c>
      <c r="C25" s="1350">
        <f ca="1">ROUND(IF('数据-取费表'!B22&lt;=1,C20*F22*'数据-取费表'!B23/2,C20*(POWER((1+F22),'数据-取费表'!B23/2)-1)),0)</f>
        <v>25</v>
      </c>
      <c r="D25" s="281"/>
      <c r="E25" s="284"/>
      <c r="F25" s="282"/>
      <c r="G25" s="285" t="s">
        <v>110</v>
      </c>
    </row>
    <row r="26" spans="1:7" s="257" customFormat="1">
      <c r="A26" s="948" t="s">
        <v>795</v>
      </c>
      <c r="B26" s="258" t="s">
        <v>1060</v>
      </c>
      <c r="C26" s="281">
        <f ca="1">ROUND(IF('数据-取费表'!B22&lt;=1,F21*F22*'数据-取费表'!B23/2,F21*(POWER((1+F22),'数据-取费表'!B23/2)-1)),4)</f>
        <v>1.1999999999999999E-3</v>
      </c>
      <c r="D26" s="281"/>
      <c r="E26" s="284"/>
      <c r="F26" s="282"/>
      <c r="G26" s="286"/>
    </row>
    <row r="27" spans="1:7" s="257" customFormat="1" ht="24.75">
      <c r="A27" s="945" t="s">
        <v>787</v>
      </c>
      <c r="B27" s="287" t="s">
        <v>112</v>
      </c>
      <c r="C27" s="288">
        <f>C28</f>
        <v>5328</v>
      </c>
      <c r="D27" s="278">
        <f>C29</f>
        <v>5.0000000000000001E-3</v>
      </c>
      <c r="E27" s="279" t="s">
        <v>126</v>
      </c>
      <c r="F27" s="289">
        <f>'数据-取费表'!Q16</f>
        <v>0.25</v>
      </c>
      <c r="G27" s="290" t="s">
        <v>1069</v>
      </c>
    </row>
    <row r="28" spans="1:7" s="257" customFormat="1" ht="13.5" customHeight="1">
      <c r="A28" s="948" t="s">
        <v>794</v>
      </c>
      <c r="B28" s="291" t="s">
        <v>1062</v>
      </c>
      <c r="C28" s="292">
        <f>ROUND((C5+C19+C20)*F27*'数据-取费表'!B21/'数据-取费表'!B20,0)</f>
        <v>5328</v>
      </c>
      <c r="D28" s="278"/>
      <c r="E28" s="279"/>
      <c r="F28" s="289"/>
      <c r="G28" s="290"/>
    </row>
    <row r="29" spans="1:7" s="257" customFormat="1" ht="13.5" customHeight="1">
      <c r="A29" s="948" t="s">
        <v>792</v>
      </c>
      <c r="B29" s="291" t="s">
        <v>1063</v>
      </c>
      <c r="C29" s="281">
        <f>ROUND(C21*F27*'数据-取费表'!B21/'数据-取费表'!B20,4)</f>
        <v>5.0000000000000001E-3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31759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4702</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4230</v>
      </c>
      <c r="D34" s="260"/>
      <c r="E34" s="263"/>
      <c r="F34" s="300">
        <f>IF('数据-取费表'!B24=0,1,'数据-取费表'!N16)</f>
        <v>1</v>
      </c>
      <c r="G34" s="262" t="s">
        <v>116</v>
      </c>
    </row>
    <row r="35" spans="1:7" ht="13.5" customHeight="1">
      <c r="A35" s="948" t="s">
        <v>796</v>
      </c>
      <c r="B35" s="258" t="s">
        <v>60</v>
      </c>
      <c r="C35" s="263">
        <f>ROUND(C34*F35,0)</f>
        <v>127</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48" t="s">
        <v>798</v>
      </c>
      <c r="B37" s="258" t="s">
        <v>118</v>
      </c>
      <c r="C37" s="292">
        <f>ROUND(E37*D37*F34/10000,0)</f>
        <v>282</v>
      </c>
      <c r="D37" s="260">
        <f>'数据-汇总表'!E3</f>
        <v>14099.390000000001</v>
      </c>
      <c r="E37" s="292">
        <f>'数据-取费表'!B35</f>
        <v>200</v>
      </c>
      <c r="F37" s="302"/>
      <c r="G37" s="304" t="s">
        <v>119</v>
      </c>
    </row>
    <row r="38" spans="1:7" ht="13.5" customHeight="1">
      <c r="A38" s="948" t="s">
        <v>799</v>
      </c>
      <c r="B38" s="258" t="s">
        <v>63</v>
      </c>
      <c r="C38" s="263">
        <f>ROUND(C34*F38,0)</f>
        <v>63</v>
      </c>
      <c r="D38" s="263"/>
      <c r="E38" s="263"/>
      <c r="F38" s="302">
        <f>'数据-取费表'!B36</f>
        <v>1.4999999999999999E-2</v>
      </c>
      <c r="G38" s="262" t="s">
        <v>117</v>
      </c>
    </row>
    <row r="39" spans="1:7" s="257" customFormat="1" ht="13.5" customHeight="1">
      <c r="A39" s="945" t="s">
        <v>783</v>
      </c>
      <c r="B39" s="253" t="s">
        <v>104</v>
      </c>
      <c r="C39" s="275">
        <f>ROUND(C33*F20,0)</f>
        <v>94</v>
      </c>
      <c r="D39" s="275"/>
      <c r="E39" s="275"/>
      <c r="F39" s="276"/>
      <c r="G39" s="1284" t="s">
        <v>1071</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287</v>
      </c>
      <c r="D41" s="278">
        <f ca="1">C44</f>
        <v>1.1999999999999999E-3</v>
      </c>
      <c r="E41" s="279" t="s">
        <v>129</v>
      </c>
      <c r="F41" s="280"/>
      <c r="G41" s="1284" t="str">
        <f>IF('数据-取费表'!B22&lt;=1,"单利计息","复利计息")</f>
        <v>复利计息</v>
      </c>
    </row>
    <row r="42" spans="1:7" ht="13.5" customHeight="1">
      <c r="A42" s="948" t="s">
        <v>794</v>
      </c>
      <c r="B42" s="258" t="s">
        <v>1061</v>
      </c>
      <c r="C42" s="281">
        <f ca="1">ROUND(IF('数据-取费表'!B22&lt;=1,C33*F22*'数据-取费表'!B21/2,C33*(POWER((1+F22),'数据-取费表'!B21/2)-1)),0)</f>
        <v>281</v>
      </c>
      <c r="D42" s="281"/>
      <c r="E42" s="281"/>
      <c r="F42" s="282"/>
      <c r="G42" s="3317" t="s">
        <v>121</v>
      </c>
    </row>
    <row r="43" spans="1:7" ht="13.5" customHeight="1">
      <c r="A43" s="948" t="s">
        <v>792</v>
      </c>
      <c r="B43" s="258" t="s">
        <v>1064</v>
      </c>
      <c r="C43" s="281">
        <f ca="1">ROUND(IF('数据-取费表'!B22&lt;=1,C39*F22*'数据-取费表'!B21/2,C39*(POWER((1+F22),'数据-取费表'!B21/2)-1)),0)</f>
        <v>6</v>
      </c>
      <c r="D43" s="281"/>
      <c r="E43" s="281"/>
      <c r="F43" s="282"/>
      <c r="G43" s="3318"/>
    </row>
    <row r="44" spans="1:7" ht="13.5" customHeight="1">
      <c r="A44" s="948" t="s">
        <v>793</v>
      </c>
      <c r="B44" s="258" t="s">
        <v>1066</v>
      </c>
      <c r="C44" s="281">
        <f ca="1">ROUND(IF('数据-取费表'!B22&lt;=1,C40*F22*'数据-取费表'!B21/2,C40*(POWER((1+F22),'数据-取费表'!B21/2)-1)),4)</f>
        <v>1.1999999999999999E-3</v>
      </c>
      <c r="D44" s="281"/>
      <c r="E44" s="281"/>
      <c r="F44" s="282"/>
      <c r="G44" s="3319"/>
    </row>
    <row r="45" spans="1:7" s="257" customFormat="1" ht="13.5" customHeight="1">
      <c r="A45" s="945" t="s">
        <v>786</v>
      </c>
      <c r="B45" s="287" t="s">
        <v>112</v>
      </c>
      <c r="C45" s="288">
        <f>C46</f>
        <v>1199</v>
      </c>
      <c r="D45" s="278">
        <f>C47</f>
        <v>5.0000000000000001E-3</v>
      </c>
      <c r="E45" s="279" t="s">
        <v>129</v>
      </c>
      <c r="F45" s="289"/>
      <c r="G45" s="290" t="s">
        <v>1072</v>
      </c>
    </row>
    <row r="46" spans="1:7" s="257" customFormat="1" ht="13.5" customHeight="1">
      <c r="A46" s="948" t="s">
        <v>794</v>
      </c>
      <c r="B46" s="291" t="s">
        <v>1065</v>
      </c>
      <c r="C46" s="292">
        <f>ROUND((C33+C39)*F27,0)</f>
        <v>1199</v>
      </c>
      <c r="D46" s="306"/>
      <c r="E46" s="279"/>
      <c r="F46" s="289"/>
      <c r="G46" s="290"/>
    </row>
    <row r="47" spans="1:7" s="257" customFormat="1" ht="13.5" customHeight="1">
      <c r="A47" s="948" t="s">
        <v>792</v>
      </c>
      <c r="B47" s="291" t="s">
        <v>1067</v>
      </c>
      <c r="C47" s="281">
        <f>ROUND(C40*F27,4)</f>
        <v>5.0000000000000001E-3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6825</v>
      </c>
      <c r="D49" s="275"/>
      <c r="E49" s="275"/>
      <c r="F49" s="307"/>
      <c r="G49" s="277" t="s">
        <v>1073</v>
      </c>
    </row>
    <row r="50" spans="1:7" s="301" customFormat="1" ht="24">
      <c r="A50" s="945" t="s">
        <v>789</v>
      </c>
      <c r="B50" s="253" t="s">
        <v>124</v>
      </c>
      <c r="C50" s="275"/>
      <c r="D50" s="275"/>
      <c r="E50" s="275"/>
      <c r="F50" s="307">
        <f>IF('数据-取费表'!B24=0,'数据-取费表'!N16,1)</f>
        <v>0.92</v>
      </c>
      <c r="G50" s="290" t="s">
        <v>125</v>
      </c>
    </row>
    <row r="51" spans="1:7" ht="16.5" customHeight="1">
      <c r="A51" s="945" t="s">
        <v>790</v>
      </c>
      <c r="B51" s="253" t="s">
        <v>132</v>
      </c>
      <c r="C51" s="275">
        <f ca="1">ROUND(C49*F50,0)</f>
        <v>6279</v>
      </c>
      <c r="D51" s="275"/>
      <c r="E51" s="275"/>
      <c r="F51" s="307"/>
      <c r="G51" s="277" t="s">
        <v>64</v>
      </c>
    </row>
    <row r="52" spans="1:7" s="251" customFormat="1" ht="16.5" thickBot="1">
      <c r="A52" s="308" t="s">
        <v>65</v>
      </c>
      <c r="B52" s="309"/>
      <c r="C52" s="310">
        <f ca="1">C31+C51</f>
        <v>38038</v>
      </c>
      <c r="D52" s="309"/>
      <c r="E52" s="309"/>
      <c r="F52" s="309"/>
      <c r="G52" s="311"/>
    </row>
    <row r="55" spans="1:7" ht="15">
      <c r="B55" s="313" t="s">
        <v>66</v>
      </c>
      <c r="C55" s="314"/>
    </row>
    <row r="56" spans="1:7">
      <c r="B56" s="316" t="s">
        <v>67</v>
      </c>
      <c r="C56" s="317">
        <f ca="1">ROUND(C51/C52,3)</f>
        <v>0.16500000000000001</v>
      </c>
    </row>
    <row r="57" spans="1:7">
      <c r="B57" s="316" t="s">
        <v>68</v>
      </c>
      <c r="C57" s="318">
        <f ca="1">1-C56</f>
        <v>0.83499999999999996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410" t="s">
        <v>156</v>
      </c>
      <c r="B1" s="3410"/>
      <c r="C1" s="3410"/>
      <c r="D1" s="3410"/>
      <c r="E1" s="3410"/>
      <c r="F1" s="34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411" t="s">
        <v>169</v>
      </c>
      <c r="B2" s="3411"/>
      <c r="C2" s="3411"/>
      <c r="D2" s="3411"/>
      <c r="E2" s="3411"/>
      <c r="F2" s="34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4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4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410" t="s">
        <v>871</v>
      </c>
      <c r="B1" s="34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43209</v>
      </c>
      <c r="D1" s="1695" t="s">
        <v>1301</v>
      </c>
      <c r="E1" s="1690">
        <f>'数据-取费表'!B22</f>
        <v>2.5</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J97"/>
  <sheetViews>
    <sheetView topLeftCell="D65" workbookViewId="0">
      <selection activeCell="H82" sqref="H82"/>
    </sheetView>
  </sheetViews>
  <sheetFormatPr defaultRowHeight="13.5"/>
  <cols>
    <col min="1" max="1" width="9" style="1630"/>
    <col min="2" max="2" width="13.625" style="1630" customWidth="1"/>
    <col min="3" max="3" width="66.125" style="1630" customWidth="1"/>
    <col min="4" max="4" width="39.375" style="1630" customWidth="1"/>
    <col min="5" max="5" width="27.875" style="1630" customWidth="1"/>
    <col min="6" max="6" width="25.125" style="1630" customWidth="1"/>
    <col min="7" max="7" width="15" style="1630" customWidth="1"/>
    <col min="8" max="8" width="9.5" style="1630" bestFit="1" customWidth="1"/>
    <col min="9" max="16384" width="9" style="1630"/>
  </cols>
  <sheetData>
    <row r="1" spans="1:10" ht="22.5">
      <c r="A1" s="3416" t="s">
        <v>3217</v>
      </c>
      <c r="B1" s="3416"/>
      <c r="C1" s="3416"/>
      <c r="D1" s="3416"/>
      <c r="E1" s="3416"/>
      <c r="F1" s="3416"/>
      <c r="G1" s="3416"/>
      <c r="H1" s="3416"/>
      <c r="I1" s="3416"/>
      <c r="J1" s="3416"/>
    </row>
    <row r="2" spans="1:10" s="3020" customFormat="1" ht="28.5">
      <c r="A2" s="2997" t="s">
        <v>3064</v>
      </c>
      <c r="B2" s="2997" t="s">
        <v>3201</v>
      </c>
      <c r="C2" s="2997" t="s">
        <v>3202</v>
      </c>
      <c r="D2" s="2997" t="s">
        <v>3203</v>
      </c>
      <c r="E2" s="2997" t="s">
        <v>3204</v>
      </c>
      <c r="F2" s="3017" t="s">
        <v>3218</v>
      </c>
      <c r="G2" s="3018" t="s">
        <v>3219</v>
      </c>
      <c r="H2" s="3019" t="s">
        <v>3205</v>
      </c>
      <c r="I2" s="3019" t="s">
        <v>3206</v>
      </c>
      <c r="J2" s="3019" t="s">
        <v>3207</v>
      </c>
    </row>
    <row r="3" spans="1:10">
      <c r="A3" s="3000">
        <v>1</v>
      </c>
      <c r="B3" s="3417" t="s">
        <v>3220</v>
      </c>
      <c r="C3" s="3001" t="s">
        <v>3221</v>
      </c>
      <c r="D3" s="3000" t="s">
        <v>3208</v>
      </c>
      <c r="E3" s="3000">
        <v>104.62</v>
      </c>
      <c r="F3" s="3000">
        <v>22572</v>
      </c>
      <c r="G3" s="3002">
        <f>E3*F3/10000</f>
        <v>236.14826400000001</v>
      </c>
      <c r="H3" s="3003"/>
      <c r="I3" s="3003"/>
      <c r="J3" s="3003"/>
    </row>
    <row r="4" spans="1:10">
      <c r="A4" s="3000">
        <v>2</v>
      </c>
      <c r="B4" s="3418"/>
      <c r="C4" s="3001" t="s">
        <v>3222</v>
      </c>
      <c r="D4" s="3000" t="s">
        <v>3208</v>
      </c>
      <c r="E4" s="3000">
        <v>279.62</v>
      </c>
      <c r="F4" s="3000">
        <v>18337.43</v>
      </c>
      <c r="G4" s="3002">
        <f>E4*F4/10000</f>
        <v>512.75121765999995</v>
      </c>
      <c r="H4" s="3003"/>
      <c r="I4" s="3003"/>
      <c r="J4" s="3003"/>
    </row>
    <row r="5" spans="1:10">
      <c r="A5" s="3000">
        <v>3</v>
      </c>
      <c r="B5" s="3418"/>
      <c r="C5" s="3001" t="s">
        <v>3223</v>
      </c>
      <c r="D5" s="3000" t="s">
        <v>3208</v>
      </c>
      <c r="E5" s="3000">
        <v>143.63</v>
      </c>
      <c r="F5" s="3000">
        <v>20183</v>
      </c>
      <c r="G5" s="3002">
        <f t="shared" ref="G5:G23" si="0">E5*F5/10000</f>
        <v>289.88842900000003</v>
      </c>
      <c r="H5" s="3003"/>
      <c r="I5" s="3003"/>
      <c r="J5" s="3003"/>
    </row>
    <row r="6" spans="1:10">
      <c r="A6" s="3000">
        <v>4</v>
      </c>
      <c r="B6" s="3418"/>
      <c r="C6" s="3001" t="s">
        <v>3224</v>
      </c>
      <c r="D6" s="3000" t="s">
        <v>3208</v>
      </c>
      <c r="E6" s="3000">
        <v>192.42</v>
      </c>
      <c r="F6" s="3000">
        <v>19004.55</v>
      </c>
      <c r="G6" s="3002">
        <f t="shared" si="0"/>
        <v>365.68555109999994</v>
      </c>
      <c r="H6" s="3003"/>
      <c r="I6" s="3003"/>
      <c r="J6" s="3003"/>
    </row>
    <row r="7" spans="1:10">
      <c r="A7" s="3000">
        <v>5</v>
      </c>
      <c r="B7" s="3418"/>
      <c r="C7" s="3001" t="s">
        <v>3225</v>
      </c>
      <c r="D7" s="3000" t="s">
        <v>3208</v>
      </c>
      <c r="E7" s="3000">
        <v>198.3</v>
      </c>
      <c r="F7" s="3000">
        <v>19292.16</v>
      </c>
      <c r="G7" s="3002">
        <f t="shared" si="0"/>
        <v>382.56353280000002</v>
      </c>
      <c r="H7" s="3003"/>
      <c r="I7" s="3003"/>
      <c r="J7" s="3003"/>
    </row>
    <row r="8" spans="1:10">
      <c r="A8" s="3000">
        <v>6</v>
      </c>
      <c r="B8" s="3418"/>
      <c r="C8" s="3001" t="s">
        <v>3226</v>
      </c>
      <c r="D8" s="3000" t="s">
        <v>3208</v>
      </c>
      <c r="E8" s="3000">
        <v>471.72</v>
      </c>
      <c r="F8" s="3000">
        <v>21797.85</v>
      </c>
      <c r="G8" s="3002">
        <f t="shared" si="0"/>
        <v>1028.2481802</v>
      </c>
      <c r="H8" s="3003"/>
      <c r="I8" s="3003"/>
      <c r="J8" s="3003"/>
    </row>
    <row r="9" spans="1:10">
      <c r="A9" s="3000">
        <v>7</v>
      </c>
      <c r="B9" s="3418"/>
      <c r="C9" s="3001" t="s">
        <v>3227</v>
      </c>
      <c r="D9" s="3000" t="s">
        <v>3208</v>
      </c>
      <c r="E9" s="3000">
        <v>791.79</v>
      </c>
      <c r="F9" s="3000">
        <v>20197</v>
      </c>
      <c r="G9" s="3002">
        <f t="shared" si="0"/>
        <v>1599.1782629999998</v>
      </c>
      <c r="H9" s="3003"/>
      <c r="I9" s="3003"/>
      <c r="J9" s="3003"/>
    </row>
    <row r="10" spans="1:10">
      <c r="A10" s="3000">
        <v>8</v>
      </c>
      <c r="B10" s="3418"/>
      <c r="C10" s="3001" t="s">
        <v>3228</v>
      </c>
      <c r="D10" s="3000" t="s">
        <v>3208</v>
      </c>
      <c r="E10" s="3000">
        <v>347.62</v>
      </c>
      <c r="F10" s="3000">
        <v>22883.63</v>
      </c>
      <c r="G10" s="3002">
        <f t="shared" si="0"/>
        <v>795.48074606000011</v>
      </c>
      <c r="H10" s="3003"/>
      <c r="I10" s="3003"/>
      <c r="J10" s="3003"/>
    </row>
    <row r="11" spans="1:10">
      <c r="A11" s="3000">
        <v>9</v>
      </c>
      <c r="B11" s="3418"/>
      <c r="C11" s="3001" t="s">
        <v>3229</v>
      </c>
      <c r="D11" s="3000" t="s">
        <v>3208</v>
      </c>
      <c r="E11" s="3000">
        <v>516.63</v>
      </c>
      <c r="F11" s="3000">
        <v>21274.37</v>
      </c>
      <c r="G11" s="3002">
        <f t="shared" si="0"/>
        <v>1099.0977773100001</v>
      </c>
      <c r="H11" s="3003"/>
      <c r="I11" s="3003"/>
      <c r="J11" s="3003"/>
    </row>
    <row r="12" spans="1:10">
      <c r="A12" s="3000">
        <v>10</v>
      </c>
      <c r="B12" s="3418"/>
      <c r="C12" s="3001" t="s">
        <v>3230</v>
      </c>
      <c r="D12" s="3000" t="s">
        <v>3208</v>
      </c>
      <c r="E12" s="3000">
        <v>370.02</v>
      </c>
      <c r="F12" s="3000">
        <v>23876.32</v>
      </c>
      <c r="G12" s="3002">
        <f t="shared" si="0"/>
        <v>883.47159264000004</v>
      </c>
      <c r="H12" s="3003"/>
      <c r="I12" s="3003"/>
      <c r="J12" s="3003"/>
    </row>
    <row r="13" spans="1:10">
      <c r="A13" s="3000">
        <v>11</v>
      </c>
      <c r="B13" s="3418"/>
      <c r="C13" s="3001" t="s">
        <v>3231</v>
      </c>
      <c r="D13" s="3000" t="s">
        <v>3208</v>
      </c>
      <c r="E13" s="3000">
        <v>257.95999999999998</v>
      </c>
      <c r="F13" s="3000">
        <v>23993.72</v>
      </c>
      <c r="G13" s="3002">
        <f t="shared" si="0"/>
        <v>618.94200111999999</v>
      </c>
      <c r="H13" s="3003"/>
      <c r="I13" s="3003"/>
      <c r="J13" s="3003"/>
    </row>
    <row r="14" spans="1:10">
      <c r="A14" s="3000">
        <v>12</v>
      </c>
      <c r="B14" s="3419"/>
      <c r="C14" s="3021" t="s">
        <v>3232</v>
      </c>
      <c r="D14" s="3021" t="s">
        <v>3208</v>
      </c>
      <c r="E14" s="3021">
        <v>399.38</v>
      </c>
      <c r="F14" s="3021">
        <v>23780</v>
      </c>
      <c r="G14" s="3022">
        <f t="shared" si="0"/>
        <v>949.72564</v>
      </c>
      <c r="H14" s="3023">
        <v>1</v>
      </c>
      <c r="I14" s="3003"/>
      <c r="J14" s="3003"/>
    </row>
    <row r="15" spans="1:10">
      <c r="A15" s="3420">
        <v>13</v>
      </c>
      <c r="B15" s="3419"/>
      <c r="C15" s="3029" t="s">
        <v>3234</v>
      </c>
      <c r="D15" s="3024" t="s">
        <v>3208</v>
      </c>
      <c r="E15" s="3021">
        <f>613.21/2</f>
        <v>306.60500000000002</v>
      </c>
      <c r="F15" s="3021">
        <v>13650</v>
      </c>
      <c r="G15" s="3022">
        <f t="shared" si="0"/>
        <v>418.51582500000006</v>
      </c>
      <c r="H15" s="3021">
        <v>1</v>
      </c>
      <c r="I15" s="3003"/>
      <c r="J15" s="3003"/>
    </row>
    <row r="16" spans="1:10">
      <c r="A16" s="3421"/>
      <c r="B16" s="3419"/>
      <c r="C16" s="3029" t="s">
        <v>3235</v>
      </c>
      <c r="D16" s="3024" t="s">
        <v>3208</v>
      </c>
      <c r="E16" s="3021">
        <f>E15</f>
        <v>306.60500000000002</v>
      </c>
      <c r="F16" s="3021"/>
      <c r="G16" s="3022"/>
      <c r="H16" s="3021"/>
      <c r="I16" s="3003"/>
      <c r="J16" s="3003"/>
    </row>
    <row r="17" spans="1:10">
      <c r="A17" s="3420">
        <v>14</v>
      </c>
      <c r="B17" s="3419"/>
      <c r="C17" s="3029" t="s">
        <v>3238</v>
      </c>
      <c r="D17" s="3024" t="s">
        <v>3208</v>
      </c>
      <c r="E17" s="3030">
        <f>ROUND(2652.01/3,2)</f>
        <v>884</v>
      </c>
      <c r="F17" s="3021">
        <v>13650</v>
      </c>
      <c r="G17" s="3022">
        <f t="shared" si="0"/>
        <v>1206.6600000000001</v>
      </c>
      <c r="H17" s="3021">
        <v>1</v>
      </c>
      <c r="I17" s="3003"/>
      <c r="J17" s="3003"/>
    </row>
    <row r="18" spans="1:10">
      <c r="A18" s="3418"/>
      <c r="B18" s="3419"/>
      <c r="C18" s="3029" t="s">
        <v>3236</v>
      </c>
      <c r="D18" s="3024" t="s">
        <v>3208</v>
      </c>
      <c r="E18" s="3021">
        <f>ROUND(2652.01/3,2)</f>
        <v>884</v>
      </c>
      <c r="F18" s="3021"/>
      <c r="G18" s="3022"/>
      <c r="H18" s="3021"/>
      <c r="I18" s="3003"/>
      <c r="J18" s="3003"/>
    </row>
    <row r="19" spans="1:10">
      <c r="A19" s="3421"/>
      <c r="B19" s="3419"/>
      <c r="C19" s="3029" t="s">
        <v>3237</v>
      </c>
      <c r="D19" s="3024" t="s">
        <v>3208</v>
      </c>
      <c r="E19" s="3021">
        <f>ROUND(2652.01/3,2)</f>
        <v>884</v>
      </c>
      <c r="F19" s="3021"/>
      <c r="G19" s="3022"/>
      <c r="H19" s="3021"/>
      <c r="I19" s="3003"/>
      <c r="J19" s="3003"/>
    </row>
    <row r="20" spans="1:10">
      <c r="A20" s="3422">
        <v>15</v>
      </c>
      <c r="B20" s="3419"/>
      <c r="C20" s="3031" t="s">
        <v>3239</v>
      </c>
      <c r="D20" s="3024" t="s">
        <v>3208</v>
      </c>
      <c r="E20" s="3021">
        <f>ROUND(6650/4,2)</f>
        <v>1662.5</v>
      </c>
      <c r="F20" s="3021"/>
      <c r="G20" s="3022"/>
      <c r="H20" s="3021"/>
      <c r="I20" s="3003"/>
      <c r="J20" s="3003"/>
    </row>
    <row r="21" spans="1:10">
      <c r="A21" s="3423"/>
      <c r="B21" s="3419"/>
      <c r="C21" s="3031" t="s">
        <v>3240</v>
      </c>
      <c r="D21" s="3024" t="s">
        <v>3208</v>
      </c>
      <c r="E21" s="3021">
        <f>ROUND(6650/4,2)</f>
        <v>1662.5</v>
      </c>
      <c r="F21" s="3021"/>
      <c r="G21" s="3022"/>
      <c r="H21" s="3021"/>
      <c r="I21" s="3003"/>
      <c r="J21" s="3003"/>
    </row>
    <row r="22" spans="1:10">
      <c r="A22" s="3423"/>
      <c r="B22" s="3419"/>
      <c r="C22" s="3031" t="s">
        <v>3241</v>
      </c>
      <c r="D22" s="3024" t="s">
        <v>3208</v>
      </c>
      <c r="E22" s="3021">
        <f>ROUND(6650/4,2)</f>
        <v>1662.5</v>
      </c>
      <c r="F22" s="3021"/>
      <c r="G22" s="3022"/>
      <c r="H22" s="3021"/>
      <c r="I22" s="3003"/>
      <c r="J22" s="3003"/>
    </row>
    <row r="23" spans="1:10">
      <c r="A23" s="3424"/>
      <c r="B23" s="3419"/>
      <c r="C23" s="3031" t="s">
        <v>3242</v>
      </c>
      <c r="D23" s="3023" t="s">
        <v>3208</v>
      </c>
      <c r="E23" s="3021">
        <f>ROUND(6650/4,2)</f>
        <v>1662.5</v>
      </c>
      <c r="F23" s="3023">
        <v>12550</v>
      </c>
      <c r="G23" s="3022">
        <f t="shared" si="0"/>
        <v>2086.4375</v>
      </c>
      <c r="H23" s="3023">
        <v>1</v>
      </c>
      <c r="I23" s="3003"/>
      <c r="J23" s="3003"/>
    </row>
    <row r="24" spans="1:10">
      <c r="A24" s="3000">
        <v>16</v>
      </c>
      <c r="B24" s="3419"/>
      <c r="C24" s="3025" t="s">
        <v>3233</v>
      </c>
      <c r="D24" s="3004" t="s">
        <v>3208</v>
      </c>
      <c r="E24" s="3026">
        <v>791.96</v>
      </c>
      <c r="F24" s="3004"/>
      <c r="G24" s="3002"/>
      <c r="H24" s="3003"/>
      <c r="I24" s="3003"/>
      <c r="J24" s="3004">
        <v>1</v>
      </c>
    </row>
    <row r="25" spans="1:10" s="2999" customFormat="1" ht="14.25">
      <c r="A25" s="2996" t="s">
        <v>37</v>
      </c>
      <c r="B25" s="2998"/>
      <c r="C25" s="3027"/>
      <c r="D25" s="3028"/>
      <c r="E25" s="3027">
        <f>SUM(E3:E24)</f>
        <v>14780.880000000001</v>
      </c>
      <c r="F25" s="2996">
        <f>SUM(F3:F24)</f>
        <v>297042.03000000003</v>
      </c>
      <c r="G25" s="3007">
        <f>SUM(G3:G24)</f>
        <v>12472.794519890002</v>
      </c>
      <c r="H25" s="2998"/>
      <c r="I25" s="2998"/>
      <c r="J25" s="2998"/>
    </row>
    <row r="28" spans="1:10">
      <c r="C28" s="3067"/>
      <c r="D28" s="3067"/>
    </row>
    <row r="29" spans="1:10" s="3056" customFormat="1">
      <c r="A29" s="3414" t="s">
        <v>3289</v>
      </c>
      <c r="B29" s="3053">
        <v>1</v>
      </c>
      <c r="C29" s="3066" t="s">
        <v>3329</v>
      </c>
      <c r="D29" s="3054" t="s">
        <v>3290</v>
      </c>
      <c r="E29" s="3055">
        <v>790.58</v>
      </c>
      <c r="F29" s="3055">
        <v>62.73</v>
      </c>
      <c r="G29" s="3053"/>
    </row>
    <row r="30" spans="1:10" s="3056" customFormat="1">
      <c r="A30" s="3414"/>
      <c r="B30" s="3057">
        <v>2</v>
      </c>
      <c r="C30" s="3057" t="s">
        <v>3291</v>
      </c>
      <c r="D30" s="3058" t="s">
        <v>3292</v>
      </c>
      <c r="E30" s="3059">
        <v>347.08</v>
      </c>
      <c r="F30" s="3059">
        <v>27.54</v>
      </c>
      <c r="G30" s="3057"/>
    </row>
    <row r="31" spans="1:10" s="3056" customFormat="1">
      <c r="A31" s="3414"/>
      <c r="B31" s="3053">
        <v>3</v>
      </c>
      <c r="C31" s="3057" t="s">
        <v>3293</v>
      </c>
      <c r="D31" s="3058" t="s">
        <v>3294</v>
      </c>
      <c r="E31" s="3059">
        <v>515.83000000000004</v>
      </c>
      <c r="F31" s="3059">
        <v>40.93</v>
      </c>
      <c r="G31" s="3057"/>
    </row>
    <row r="32" spans="1:10" s="3056" customFormat="1">
      <c r="A32" s="3414"/>
      <c r="B32" s="3057">
        <v>4</v>
      </c>
      <c r="C32" s="3057" t="s">
        <v>3295</v>
      </c>
      <c r="D32" s="3058" t="s">
        <v>3296</v>
      </c>
      <c r="E32" s="3059">
        <v>369.45</v>
      </c>
      <c r="F32" s="3059">
        <v>29.31</v>
      </c>
      <c r="G32" s="3057"/>
    </row>
    <row r="33" spans="1:7" s="3056" customFormat="1">
      <c r="A33" s="3414"/>
      <c r="B33" s="3053">
        <v>5</v>
      </c>
      <c r="C33" s="3057" t="s">
        <v>3297</v>
      </c>
      <c r="D33" s="3058" t="s">
        <v>3298</v>
      </c>
      <c r="E33" s="3059">
        <v>257.56</v>
      </c>
      <c r="F33" s="3059">
        <v>20.440000000000001</v>
      </c>
      <c r="G33" s="3057"/>
    </row>
    <row r="34" spans="1:7" s="3056" customFormat="1">
      <c r="A34" s="3414"/>
      <c r="B34" s="3057">
        <v>6</v>
      </c>
      <c r="C34" s="3057" t="s">
        <v>3299</v>
      </c>
      <c r="D34" s="3058" t="s">
        <v>3300</v>
      </c>
      <c r="E34" s="3059">
        <v>471</v>
      </c>
      <c r="F34" s="3059">
        <v>37.369999999999997</v>
      </c>
      <c r="G34" s="3057"/>
    </row>
    <row r="35" spans="1:7" s="3056" customFormat="1">
      <c r="A35" s="3414"/>
      <c r="B35" s="3053">
        <v>7</v>
      </c>
      <c r="C35" s="3057" t="s">
        <v>3301</v>
      </c>
      <c r="D35" s="3058" t="s">
        <v>3302</v>
      </c>
      <c r="E35" s="3059">
        <v>104.62</v>
      </c>
      <c r="F35" s="3059">
        <v>5.24</v>
      </c>
      <c r="G35" s="3057"/>
    </row>
    <row r="36" spans="1:7" s="3056" customFormat="1">
      <c r="A36" s="3414"/>
      <c r="B36" s="3057">
        <v>8</v>
      </c>
      <c r="C36" s="3057" t="s">
        <v>3303</v>
      </c>
      <c r="D36" s="3058" t="s">
        <v>3304</v>
      </c>
      <c r="E36" s="3059">
        <v>279.61</v>
      </c>
      <c r="F36" s="3059">
        <v>14</v>
      </c>
      <c r="G36" s="3057"/>
    </row>
    <row r="37" spans="1:7" s="3056" customFormat="1">
      <c r="A37" s="3414"/>
      <c r="B37" s="3053">
        <v>9</v>
      </c>
      <c r="C37" s="3057" t="s">
        <v>3305</v>
      </c>
      <c r="D37" s="3058" t="s">
        <v>3306</v>
      </c>
      <c r="E37" s="3059">
        <v>143.63</v>
      </c>
      <c r="F37" s="3059">
        <v>5.99</v>
      </c>
      <c r="G37" s="3057"/>
    </row>
    <row r="38" spans="1:7" s="3056" customFormat="1">
      <c r="A38" s="3414"/>
      <c r="B38" s="3057">
        <v>10</v>
      </c>
      <c r="C38" s="3057" t="s">
        <v>3307</v>
      </c>
      <c r="D38" s="3058" t="s">
        <v>3308</v>
      </c>
      <c r="E38" s="3059">
        <v>192.42</v>
      </c>
      <c r="F38" s="3059">
        <v>8.0299999999999994</v>
      </c>
      <c r="G38" s="3057"/>
    </row>
    <row r="39" spans="1:7" s="3056" customFormat="1">
      <c r="A39" s="3414"/>
      <c r="B39" s="3053">
        <v>11</v>
      </c>
      <c r="C39" s="3057" t="s">
        <v>3309</v>
      </c>
      <c r="D39" s="3058" t="s">
        <v>3310</v>
      </c>
      <c r="E39" s="3059">
        <v>198.3</v>
      </c>
      <c r="F39" s="3059">
        <v>8.27</v>
      </c>
      <c r="G39" s="3057"/>
    </row>
    <row r="40" spans="1:7" s="3056" customFormat="1">
      <c r="A40" s="3414"/>
      <c r="B40" s="3057">
        <v>12</v>
      </c>
      <c r="C40" s="3057" t="s">
        <v>3311</v>
      </c>
      <c r="D40" s="3058" t="s">
        <v>3312</v>
      </c>
      <c r="E40" s="3059">
        <v>613.21</v>
      </c>
      <c r="F40" s="3059">
        <v>48.66</v>
      </c>
      <c r="G40" s="3057" t="s">
        <v>3313</v>
      </c>
    </row>
    <row r="41" spans="1:7" s="3056" customFormat="1">
      <c r="A41" s="3414"/>
      <c r="B41" s="3053">
        <v>13</v>
      </c>
      <c r="C41" s="3063" t="s">
        <v>3324</v>
      </c>
      <c r="D41" s="3058" t="s">
        <v>3314</v>
      </c>
      <c r="E41" s="3059">
        <f>ROUND(2652.01/3,2)</f>
        <v>884</v>
      </c>
      <c r="F41" s="3059">
        <f>ROUND(210.43/3,2)</f>
        <v>70.14</v>
      </c>
      <c r="G41" s="3057" t="s">
        <v>3315</v>
      </c>
    </row>
    <row r="42" spans="1:7" s="3056" customFormat="1">
      <c r="A42" s="3414"/>
      <c r="B42" s="3057">
        <v>14</v>
      </c>
      <c r="C42" s="3063" t="s">
        <v>3322</v>
      </c>
      <c r="D42" s="3058" t="s">
        <v>3314</v>
      </c>
      <c r="E42" s="3059">
        <f>ROUND(2652.01/3,2)</f>
        <v>884</v>
      </c>
      <c r="F42" s="3059">
        <f>ROUND(210.43/3,2)</f>
        <v>70.14</v>
      </c>
      <c r="G42" s="3057" t="s">
        <v>3315</v>
      </c>
    </row>
    <row r="43" spans="1:7" s="3056" customFormat="1">
      <c r="A43" s="3414"/>
      <c r="B43" s="3053">
        <v>15</v>
      </c>
      <c r="C43" s="3063" t="s">
        <v>3323</v>
      </c>
      <c r="D43" s="3058" t="s">
        <v>3314</v>
      </c>
      <c r="E43" s="3059">
        <f>ROUND(2652.01/3,2)</f>
        <v>884</v>
      </c>
      <c r="F43" s="3059">
        <f>ROUND(210.43/3,2)</f>
        <v>70.14</v>
      </c>
      <c r="G43" s="3057" t="s">
        <v>3315</v>
      </c>
    </row>
    <row r="44" spans="1:7" s="3056" customFormat="1">
      <c r="A44" s="3414"/>
      <c r="B44" s="3057">
        <v>16</v>
      </c>
      <c r="C44" s="3057" t="s">
        <v>3316</v>
      </c>
      <c r="D44" s="3058" t="s">
        <v>3317</v>
      </c>
      <c r="E44" s="3059">
        <v>399.38</v>
      </c>
      <c r="F44" s="3059">
        <v>31.69</v>
      </c>
      <c r="G44" s="3057" t="s">
        <v>3318</v>
      </c>
    </row>
    <row r="45" spans="1:7" s="3056" customFormat="1">
      <c r="A45" s="3414"/>
      <c r="B45" s="3053">
        <v>17</v>
      </c>
      <c r="C45" s="3063" t="s">
        <v>3325</v>
      </c>
      <c r="D45" s="3058" t="s">
        <v>3319</v>
      </c>
      <c r="E45" s="3059">
        <f>ROUND(6764.71/4,2)</f>
        <v>1691.18</v>
      </c>
      <c r="F45" s="3059">
        <f>ROUND(1281.61/4,2)</f>
        <v>320.39999999999998</v>
      </c>
      <c r="G45" s="3057" t="s">
        <v>3320</v>
      </c>
    </row>
    <row r="46" spans="1:7" s="3056" customFormat="1">
      <c r="A46" s="3064"/>
      <c r="B46" s="3057">
        <v>18</v>
      </c>
      <c r="C46" s="3063" t="s">
        <v>3326</v>
      </c>
      <c r="D46" s="3058" t="s">
        <v>3319</v>
      </c>
      <c r="E46" s="3065">
        <f>ROUND(6764.71/4,2)</f>
        <v>1691.18</v>
      </c>
      <c r="F46" s="3065">
        <f>ROUND(1281.61/4,2)</f>
        <v>320.39999999999998</v>
      </c>
      <c r="G46" s="3057" t="s">
        <v>3320</v>
      </c>
    </row>
    <row r="47" spans="1:7" s="3056" customFormat="1">
      <c r="A47" s="3064"/>
      <c r="B47" s="3053">
        <v>19</v>
      </c>
      <c r="C47" s="3063" t="s">
        <v>3327</v>
      </c>
      <c r="D47" s="3058" t="s">
        <v>3319</v>
      </c>
      <c r="E47" s="3065">
        <f>ROUND(6764.71/4,2)</f>
        <v>1691.18</v>
      </c>
      <c r="F47" s="3065">
        <f>ROUND(1281.61/4,2)</f>
        <v>320.39999999999998</v>
      </c>
      <c r="G47" s="3057" t="s">
        <v>3320</v>
      </c>
    </row>
    <row r="48" spans="1:7" s="3056" customFormat="1">
      <c r="A48" s="3064"/>
      <c r="B48" s="3057">
        <v>20</v>
      </c>
      <c r="C48" s="3063" t="s">
        <v>3328</v>
      </c>
      <c r="D48" s="3058" t="s">
        <v>3319</v>
      </c>
      <c r="E48" s="3065">
        <f>ROUND(6764.71/4,2)</f>
        <v>1691.18</v>
      </c>
      <c r="F48" s="3065">
        <f>ROUND(1281.61/4,2)</f>
        <v>320.39999999999998</v>
      </c>
      <c r="G48" s="3057" t="s">
        <v>3320</v>
      </c>
    </row>
    <row r="49" spans="1:8" s="3060" customFormat="1">
      <c r="A49" s="3415" t="s">
        <v>3321</v>
      </c>
      <c r="B49" s="3415"/>
      <c r="D49" s="3061"/>
      <c r="E49" s="3062">
        <f>SUM(E29:E48)</f>
        <v>14099.390000000001</v>
      </c>
      <c r="F49" s="3062">
        <f>SUM(F29:F48)</f>
        <v>1832.2200000000003</v>
      </c>
    </row>
    <row r="55" spans="1:8" ht="27">
      <c r="C55" s="3070" t="s">
        <v>3330</v>
      </c>
      <c r="D55" s="3070" t="s">
        <v>3331</v>
      </c>
      <c r="E55" s="3070" t="s">
        <v>3332</v>
      </c>
      <c r="F55" s="3070" t="s">
        <v>3333</v>
      </c>
      <c r="G55" s="3070" t="s">
        <v>3334</v>
      </c>
      <c r="H55" s="3070" t="s">
        <v>3335</v>
      </c>
    </row>
    <row r="56" spans="1:8">
      <c r="C56" s="3070" t="s">
        <v>3329</v>
      </c>
      <c r="D56" s="3071" t="s">
        <v>3336</v>
      </c>
      <c r="E56" s="3072"/>
      <c r="F56" s="3072"/>
      <c r="G56" s="3073">
        <v>790.58</v>
      </c>
      <c r="H56" s="3073">
        <v>62.73</v>
      </c>
    </row>
    <row r="57" spans="1:8">
      <c r="B57" s="3068"/>
      <c r="C57" s="3072" t="s">
        <v>3291</v>
      </c>
      <c r="D57" s="3071" t="s">
        <v>3337</v>
      </c>
      <c r="E57" s="3072"/>
      <c r="F57" s="3072"/>
      <c r="G57" s="3073">
        <v>347.08</v>
      </c>
      <c r="H57" s="3073">
        <v>27.54</v>
      </c>
    </row>
    <row r="58" spans="1:8">
      <c r="B58" s="3068"/>
      <c r="C58" s="3072" t="s">
        <v>3293</v>
      </c>
      <c r="D58" s="3071" t="s">
        <v>3339</v>
      </c>
      <c r="E58" s="3072"/>
      <c r="F58" s="3072"/>
      <c r="G58" s="3073">
        <v>515.83000000000004</v>
      </c>
      <c r="H58" s="3073">
        <v>40.93</v>
      </c>
    </row>
    <row r="59" spans="1:8">
      <c r="B59" s="3068"/>
      <c r="C59" s="3072" t="s">
        <v>3295</v>
      </c>
      <c r="D59" s="3071" t="s">
        <v>3338</v>
      </c>
      <c r="E59" s="3072"/>
      <c r="F59" s="3072"/>
      <c r="G59" s="3073">
        <v>369.45</v>
      </c>
      <c r="H59" s="3073">
        <v>29.31</v>
      </c>
    </row>
    <row r="60" spans="1:8">
      <c r="B60" s="3068"/>
      <c r="C60" s="3072" t="s">
        <v>3297</v>
      </c>
      <c r="D60" s="3071" t="s">
        <v>3340</v>
      </c>
      <c r="E60" s="3072"/>
      <c r="F60" s="3072"/>
      <c r="G60" s="3073">
        <v>257.56</v>
      </c>
      <c r="H60" s="3073">
        <v>20.440000000000001</v>
      </c>
    </row>
    <row r="61" spans="1:8">
      <c r="B61" s="3068"/>
      <c r="C61" s="3072" t="s">
        <v>3299</v>
      </c>
      <c r="D61" s="3071" t="s">
        <v>3341</v>
      </c>
      <c r="E61" s="3072"/>
      <c r="F61" s="3072"/>
      <c r="G61" s="3073">
        <v>471</v>
      </c>
      <c r="H61" s="3073">
        <v>37.369999999999997</v>
      </c>
    </row>
    <row r="62" spans="1:8">
      <c r="B62" s="3068"/>
      <c r="C62" s="3072" t="s">
        <v>3301</v>
      </c>
      <c r="D62" s="3071" t="s">
        <v>3342</v>
      </c>
      <c r="E62" s="3072"/>
      <c r="F62" s="3072"/>
      <c r="G62" s="3073">
        <v>104.62</v>
      </c>
      <c r="H62" s="3073">
        <v>5.24</v>
      </c>
    </row>
    <row r="63" spans="1:8">
      <c r="B63" s="3068"/>
      <c r="C63" s="3072" t="s">
        <v>3303</v>
      </c>
      <c r="D63" s="3071" t="s">
        <v>3343</v>
      </c>
      <c r="E63" s="3072"/>
      <c r="F63" s="3072"/>
      <c r="G63" s="3073">
        <v>279.61</v>
      </c>
      <c r="H63" s="3073">
        <v>14</v>
      </c>
    </row>
    <row r="64" spans="1:8">
      <c r="B64" s="3068"/>
      <c r="C64" s="3072" t="s">
        <v>3305</v>
      </c>
      <c r="D64" s="3071" t="s">
        <v>3344</v>
      </c>
      <c r="E64" s="3072"/>
      <c r="F64" s="3072"/>
      <c r="G64" s="3073">
        <v>143.63</v>
      </c>
      <c r="H64" s="3073">
        <v>5.99</v>
      </c>
    </row>
    <row r="65" spans="2:8">
      <c r="B65" s="3068"/>
      <c r="C65" s="3072" t="s">
        <v>3307</v>
      </c>
      <c r="D65" s="3071" t="s">
        <v>3345</v>
      </c>
      <c r="E65" s="3072"/>
      <c r="F65" s="3072"/>
      <c r="G65" s="3073">
        <v>192.42</v>
      </c>
      <c r="H65" s="3073">
        <v>8.0299999999999994</v>
      </c>
    </row>
    <row r="66" spans="2:8">
      <c r="B66" s="3068"/>
      <c r="C66" s="3072" t="s">
        <v>3309</v>
      </c>
      <c r="D66" s="3071" t="s">
        <v>3346</v>
      </c>
      <c r="E66" s="3072"/>
      <c r="F66" s="3072"/>
      <c r="G66" s="3073">
        <v>198.3</v>
      </c>
      <c r="H66" s="3073">
        <v>8.27</v>
      </c>
    </row>
    <row r="67" spans="2:8">
      <c r="B67" s="3069"/>
      <c r="C67" s="3070" t="s">
        <v>3351</v>
      </c>
      <c r="D67" s="3074"/>
      <c r="E67" s="3070" t="s">
        <v>3347</v>
      </c>
      <c r="F67" s="3070" t="s">
        <v>3360</v>
      </c>
      <c r="G67" s="3073">
        <v>613.21</v>
      </c>
      <c r="H67" s="3073">
        <v>48.66</v>
      </c>
    </row>
    <row r="68" spans="2:8">
      <c r="B68" s="3068"/>
      <c r="C68" s="3070" t="s">
        <v>3352</v>
      </c>
      <c r="D68" s="3074"/>
      <c r="E68" s="3070" t="s">
        <v>3348</v>
      </c>
      <c r="F68" s="3070" t="s">
        <v>3361</v>
      </c>
      <c r="G68" s="3073">
        <f>ROUND(2652.01/3,2)</f>
        <v>884</v>
      </c>
      <c r="H68" s="3073">
        <f>ROUND(210.43/3,2)</f>
        <v>70.14</v>
      </c>
    </row>
    <row r="69" spans="2:8">
      <c r="B69" s="3069"/>
      <c r="C69" s="3070" t="s">
        <v>3353</v>
      </c>
      <c r="D69" s="3074"/>
      <c r="E69" s="3070" t="s">
        <v>3348</v>
      </c>
      <c r="F69" s="3070" t="s">
        <v>3361</v>
      </c>
      <c r="G69" s="3073">
        <f>ROUND(2652.01/3,2)</f>
        <v>884</v>
      </c>
      <c r="H69" s="3073">
        <f>ROUND(210.43/3,2)</f>
        <v>70.14</v>
      </c>
    </row>
    <row r="70" spans="2:8">
      <c r="B70" s="3069"/>
      <c r="C70" s="3070" t="s">
        <v>3354</v>
      </c>
      <c r="D70" s="3074"/>
      <c r="E70" s="3070" t="s">
        <v>3348</v>
      </c>
      <c r="F70" s="3070" t="s">
        <v>3361</v>
      </c>
      <c r="G70" s="3073">
        <f>ROUND(2652.01/3,2)</f>
        <v>884</v>
      </c>
      <c r="H70" s="3073">
        <f>ROUND(210.43/3,2)</f>
        <v>70.14</v>
      </c>
    </row>
    <row r="71" spans="2:8">
      <c r="B71" s="3068"/>
      <c r="C71" s="3070" t="s">
        <v>3355</v>
      </c>
      <c r="D71" s="3074"/>
      <c r="E71" s="3070" t="s">
        <v>3349</v>
      </c>
      <c r="F71" s="3070" t="s">
        <v>3362</v>
      </c>
      <c r="G71" s="3073">
        <v>399.38</v>
      </c>
      <c r="H71" s="3073">
        <v>31.69</v>
      </c>
    </row>
    <row r="72" spans="2:8" ht="27">
      <c r="B72" s="3068"/>
      <c r="C72" s="3070" t="s">
        <v>3356</v>
      </c>
      <c r="D72" s="3074"/>
      <c r="E72" s="3070" t="s">
        <v>3350</v>
      </c>
      <c r="F72" s="3070" t="s">
        <v>3363</v>
      </c>
      <c r="G72" s="3073">
        <f>ROUND(6764.71/4,2)</f>
        <v>1691.18</v>
      </c>
      <c r="H72" s="3073">
        <f>ROUND(1281.61/4,2)</f>
        <v>320.39999999999998</v>
      </c>
    </row>
    <row r="73" spans="2:8" ht="27">
      <c r="B73" s="3069"/>
      <c r="C73" s="3070" t="s">
        <v>3357</v>
      </c>
      <c r="D73" s="3074"/>
      <c r="E73" s="3070" t="s">
        <v>3350</v>
      </c>
      <c r="F73" s="3070" t="s">
        <v>3363</v>
      </c>
      <c r="G73" s="3073">
        <f>ROUND(6764.71/4,2)</f>
        <v>1691.18</v>
      </c>
      <c r="H73" s="3073">
        <f>ROUND(1281.61/4,2)</f>
        <v>320.39999999999998</v>
      </c>
    </row>
    <row r="74" spans="2:8" ht="27">
      <c r="B74" s="3069"/>
      <c r="C74" s="3070" t="s">
        <v>3358</v>
      </c>
      <c r="D74" s="3074"/>
      <c r="E74" s="3070" t="s">
        <v>3350</v>
      </c>
      <c r="F74" s="3070" t="s">
        <v>3363</v>
      </c>
      <c r="G74" s="3073">
        <f>ROUND(6764.71/4,2)</f>
        <v>1691.18</v>
      </c>
      <c r="H74" s="3073">
        <f>ROUND(1281.61/4,2)</f>
        <v>320.39999999999998</v>
      </c>
    </row>
    <row r="75" spans="2:8" ht="27">
      <c r="B75" s="3069"/>
      <c r="C75" s="3070" t="s">
        <v>3359</v>
      </c>
      <c r="D75" s="3074"/>
      <c r="E75" s="3070" t="s">
        <v>3350</v>
      </c>
      <c r="F75" s="3070" t="s">
        <v>3363</v>
      </c>
      <c r="G75" s="3073">
        <f>ROUND(6764.71/4,2)</f>
        <v>1691.18</v>
      </c>
      <c r="H75" s="3073">
        <f>ROUND(1281.61/4,2)</f>
        <v>320.39999999999998</v>
      </c>
    </row>
    <row r="76" spans="2:8">
      <c r="C76" s="3070" t="s">
        <v>3364</v>
      </c>
      <c r="D76" s="3071" t="s">
        <v>3365</v>
      </c>
      <c r="E76" s="3070" t="s">
        <v>3365</v>
      </c>
      <c r="F76" s="3070" t="s">
        <v>3366</v>
      </c>
      <c r="G76" s="3073">
        <f>SUM(G56:G75)</f>
        <v>14099.390000000001</v>
      </c>
      <c r="H76" s="3073">
        <f>SUM(H56:H75)</f>
        <v>1832.2200000000003</v>
      </c>
    </row>
    <row r="81" spans="2:8" ht="27">
      <c r="C81" s="3070" t="s">
        <v>3330</v>
      </c>
      <c r="D81" s="3070" t="s">
        <v>3331</v>
      </c>
      <c r="E81" s="3070" t="s">
        <v>3332</v>
      </c>
      <c r="F81" s="3070" t="s">
        <v>3333</v>
      </c>
      <c r="G81" s="3070" t="s">
        <v>3334</v>
      </c>
      <c r="H81" s="3070" t="s">
        <v>3335</v>
      </c>
    </row>
    <row r="82" spans="2:8">
      <c r="C82" s="3070" t="s">
        <v>3329</v>
      </c>
      <c r="D82" s="3071" t="s">
        <v>3336</v>
      </c>
      <c r="E82" s="3072"/>
      <c r="F82" s="3072"/>
      <c r="G82" s="3073">
        <v>790.58</v>
      </c>
      <c r="H82" s="3073">
        <v>62.73</v>
      </c>
    </row>
    <row r="83" spans="2:8">
      <c r="B83" s="3068"/>
      <c r="C83" s="3072" t="s">
        <v>3291</v>
      </c>
      <c r="D83" s="3071" t="s">
        <v>3337</v>
      </c>
      <c r="E83" s="3072"/>
      <c r="F83" s="3072"/>
      <c r="G83" s="3073">
        <v>347.08</v>
      </c>
      <c r="H83" s="3073">
        <v>27.54</v>
      </c>
    </row>
    <row r="84" spans="2:8">
      <c r="C84" s="3072" t="s">
        <v>3293</v>
      </c>
      <c r="D84" s="3071" t="s">
        <v>3339</v>
      </c>
      <c r="E84" s="3072"/>
      <c r="F84" s="3072"/>
      <c r="G84" s="3073">
        <v>515.83000000000004</v>
      </c>
      <c r="H84" s="3073">
        <v>40.93</v>
      </c>
    </row>
    <row r="85" spans="2:8">
      <c r="B85" s="3068"/>
      <c r="C85" s="3072" t="s">
        <v>3295</v>
      </c>
      <c r="D85" s="3071" t="s">
        <v>3338</v>
      </c>
      <c r="E85" s="3072"/>
      <c r="F85" s="3072"/>
      <c r="G85" s="3073">
        <v>369.45</v>
      </c>
      <c r="H85" s="3073">
        <v>29.31</v>
      </c>
    </row>
    <row r="86" spans="2:8">
      <c r="C86" s="3072" t="s">
        <v>3297</v>
      </c>
      <c r="D86" s="3071" t="s">
        <v>3340</v>
      </c>
      <c r="E86" s="3072"/>
      <c r="F86" s="3072"/>
      <c r="G86" s="3073">
        <v>257.56</v>
      </c>
      <c r="H86" s="3073">
        <v>20.440000000000001</v>
      </c>
    </row>
    <row r="87" spans="2:8">
      <c r="B87" s="3068"/>
      <c r="C87" s="3072" t="s">
        <v>3299</v>
      </c>
      <c r="D87" s="3071" t="s">
        <v>3341</v>
      </c>
      <c r="E87" s="3072"/>
      <c r="F87" s="3072"/>
      <c r="G87" s="3073">
        <v>471</v>
      </c>
      <c r="H87" s="3073">
        <v>37.369999999999997</v>
      </c>
    </row>
    <row r="88" spans="2:8">
      <c r="C88" s="3072" t="s">
        <v>3301</v>
      </c>
      <c r="D88" s="3071" t="s">
        <v>3342</v>
      </c>
      <c r="E88" s="3072"/>
      <c r="F88" s="3072"/>
      <c r="G88" s="3073">
        <v>104.62</v>
      </c>
      <c r="H88" s="3073">
        <v>5.24</v>
      </c>
    </row>
    <row r="89" spans="2:8">
      <c r="B89" s="3068"/>
      <c r="C89" s="3072" t="s">
        <v>3303</v>
      </c>
      <c r="D89" s="3071" t="s">
        <v>3343</v>
      </c>
      <c r="E89" s="3072"/>
      <c r="F89" s="3072"/>
      <c r="G89" s="3073">
        <v>279.61</v>
      </c>
      <c r="H89" s="3073">
        <v>14</v>
      </c>
    </row>
    <row r="90" spans="2:8">
      <c r="C90" s="3072" t="s">
        <v>3305</v>
      </c>
      <c r="D90" s="3071" t="s">
        <v>3344</v>
      </c>
      <c r="E90" s="3072"/>
      <c r="F90" s="3072"/>
      <c r="G90" s="3073">
        <v>143.63</v>
      </c>
      <c r="H90" s="3073">
        <v>5.99</v>
      </c>
    </row>
    <row r="91" spans="2:8">
      <c r="B91" s="3068"/>
      <c r="C91" s="3072" t="s">
        <v>3307</v>
      </c>
      <c r="D91" s="3071" t="s">
        <v>3345</v>
      </c>
      <c r="E91" s="3072"/>
      <c r="F91" s="3072"/>
      <c r="G91" s="3073">
        <v>192.42</v>
      </c>
      <c r="H91" s="3073">
        <v>8.0299999999999994</v>
      </c>
    </row>
    <row r="92" spans="2:8">
      <c r="C92" s="3072" t="s">
        <v>3309</v>
      </c>
      <c r="D92" s="3071" t="s">
        <v>3346</v>
      </c>
      <c r="E92" s="3072"/>
      <c r="F92" s="3072"/>
      <c r="G92" s="3073">
        <v>198.3</v>
      </c>
      <c r="H92" s="3073">
        <v>8.27</v>
      </c>
    </row>
    <row r="93" spans="2:8">
      <c r="B93" s="3068"/>
      <c r="C93" s="3070" t="s">
        <v>3351</v>
      </c>
      <c r="D93" s="3074"/>
      <c r="E93" s="3070" t="s">
        <v>3347</v>
      </c>
      <c r="F93" s="3070" t="s">
        <v>3360</v>
      </c>
      <c r="G93" s="3073">
        <v>613.21</v>
      </c>
      <c r="H93" s="3073">
        <v>48.66</v>
      </c>
    </row>
    <row r="94" spans="2:8">
      <c r="C94" s="3070" t="s">
        <v>3379</v>
      </c>
      <c r="D94" s="3074"/>
      <c r="E94" s="3070" t="s">
        <v>3348</v>
      </c>
      <c r="F94" s="3070" t="s">
        <v>3361</v>
      </c>
      <c r="G94" s="3073">
        <v>2652.01</v>
      </c>
      <c r="H94" s="3073">
        <v>210.43</v>
      </c>
    </row>
    <row r="95" spans="2:8">
      <c r="B95" s="3068"/>
      <c r="C95" s="3070" t="s">
        <v>3355</v>
      </c>
      <c r="D95" s="3074"/>
      <c r="E95" s="3070" t="s">
        <v>3349</v>
      </c>
      <c r="F95" s="3070" t="s">
        <v>3362</v>
      </c>
      <c r="G95" s="3073">
        <v>399.38</v>
      </c>
      <c r="H95" s="3073">
        <v>31.69</v>
      </c>
    </row>
    <row r="96" spans="2:8">
      <c r="C96" s="3070" t="s">
        <v>3380</v>
      </c>
      <c r="D96" s="3074"/>
      <c r="E96" s="3070" t="s">
        <v>3350</v>
      </c>
      <c r="F96" s="3070" t="s">
        <v>3363</v>
      </c>
      <c r="G96" s="3073">
        <v>6764.71</v>
      </c>
      <c r="H96" s="3073">
        <v>1281.6099999999999</v>
      </c>
    </row>
    <row r="97" spans="3:8">
      <c r="C97" s="3070" t="s">
        <v>3381</v>
      </c>
      <c r="D97" s="3003"/>
      <c r="E97" s="3003"/>
      <c r="F97" s="3003"/>
      <c r="G97" s="3465">
        <f>SUM(G82:G96)</f>
        <v>14099.390000000001</v>
      </c>
      <c r="H97" s="3465">
        <f>SUM(H82:H96)</f>
        <v>1832.24</v>
      </c>
    </row>
  </sheetData>
  <mergeCells count="7">
    <mergeCell ref="A29:A45"/>
    <mergeCell ref="A49:B49"/>
    <mergeCell ref="A1:J1"/>
    <mergeCell ref="B3:B24"/>
    <mergeCell ref="A15:A16"/>
    <mergeCell ref="A17:A19"/>
    <mergeCell ref="A20:A23"/>
  </mergeCells>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B1:Q93"/>
  <sheetViews>
    <sheetView topLeftCell="A59" workbookViewId="0">
      <selection activeCell="N92" sqref="N92"/>
    </sheetView>
  </sheetViews>
  <sheetFormatPr defaultRowHeight="13.5"/>
  <sheetData>
    <row r="1" spans="2:17" ht="14.25" thickBot="1"/>
    <row r="2" spans="2:17" ht="14.25" thickBot="1">
      <c r="B2" s="3453" t="s">
        <v>3125</v>
      </c>
      <c r="C2" s="3454"/>
      <c r="D2" s="2955" t="s">
        <v>3126</v>
      </c>
      <c r="E2" s="2955" t="s">
        <v>3127</v>
      </c>
      <c r="F2" s="2955" t="s">
        <v>3128</v>
      </c>
      <c r="G2" s="2955" t="s">
        <v>3129</v>
      </c>
      <c r="L2" s="3428" t="s">
        <v>3125</v>
      </c>
      <c r="M2" s="3429"/>
      <c r="N2" s="3032" t="s">
        <v>3126</v>
      </c>
      <c r="O2" s="3032" t="s">
        <v>3247</v>
      </c>
      <c r="P2" s="3032" t="s">
        <v>3248</v>
      </c>
      <c r="Q2" s="3032" t="s">
        <v>3249</v>
      </c>
    </row>
    <row r="3" spans="2:17" ht="26.25" thickBot="1">
      <c r="B3" s="3455"/>
      <c r="C3" s="3456"/>
      <c r="D3" s="2956" t="s">
        <v>3144</v>
      </c>
      <c r="E3" s="2956" t="s">
        <v>3145</v>
      </c>
      <c r="F3" s="2956" t="s">
        <v>3147</v>
      </c>
      <c r="G3" s="2956" t="s">
        <v>3149</v>
      </c>
      <c r="L3" s="3430"/>
      <c r="M3" s="3431"/>
      <c r="N3" s="3033" t="s">
        <v>3265</v>
      </c>
      <c r="O3" s="3033" t="s">
        <v>3267</v>
      </c>
      <c r="P3" s="3033" t="s">
        <v>3269</v>
      </c>
      <c r="Q3" s="3033" t="s">
        <v>3271</v>
      </c>
    </row>
    <row r="4" spans="2:17" ht="90" thickBot="1">
      <c r="B4" s="3457"/>
      <c r="C4" s="3458"/>
      <c r="D4" s="2957" t="s">
        <v>3151</v>
      </c>
      <c r="E4" s="2958" t="s">
        <v>3146</v>
      </c>
      <c r="F4" s="2958" t="s">
        <v>3148</v>
      </c>
      <c r="G4" s="2958" t="s">
        <v>3150</v>
      </c>
      <c r="L4" s="3432"/>
      <c r="M4" s="3433"/>
      <c r="N4" s="3033" t="s">
        <v>3266</v>
      </c>
      <c r="O4" s="3033" t="s">
        <v>3268</v>
      </c>
      <c r="P4" s="3033" t="s">
        <v>3270</v>
      </c>
      <c r="Q4" s="3033" t="s">
        <v>3272</v>
      </c>
    </row>
    <row r="5" spans="2:17" ht="14.25" thickBot="1">
      <c r="B5" s="3438" t="s">
        <v>3130</v>
      </c>
      <c r="C5" s="3439"/>
      <c r="D5" s="2959">
        <v>43191</v>
      </c>
      <c r="E5" s="2959">
        <v>43191</v>
      </c>
      <c r="F5" s="2959">
        <v>43191</v>
      </c>
      <c r="G5" s="2959">
        <v>43191</v>
      </c>
      <c r="L5" s="3434" t="s">
        <v>3130</v>
      </c>
      <c r="M5" s="3435"/>
      <c r="N5" s="3034">
        <v>43191</v>
      </c>
      <c r="O5" s="3034">
        <v>43191</v>
      </c>
      <c r="P5" s="3034">
        <v>43191</v>
      </c>
      <c r="Q5" s="3034">
        <v>43191</v>
      </c>
    </row>
    <row r="6" spans="2:17" ht="14.25" thickBot="1">
      <c r="B6" s="3459" t="s">
        <v>3131</v>
      </c>
      <c r="C6" s="3460"/>
      <c r="D6" s="2958" t="s">
        <v>3076</v>
      </c>
      <c r="E6" s="2958" t="s">
        <v>3076</v>
      </c>
      <c r="F6" s="2958" t="s">
        <v>3076</v>
      </c>
      <c r="G6" s="2958" t="s">
        <v>3076</v>
      </c>
      <c r="L6" s="3434" t="s">
        <v>3131</v>
      </c>
      <c r="M6" s="3435"/>
      <c r="N6" s="3033" t="s">
        <v>3076</v>
      </c>
      <c r="O6" s="3033" t="s">
        <v>3076</v>
      </c>
      <c r="P6" s="3033" t="s">
        <v>3076</v>
      </c>
      <c r="Q6" s="3033" t="s">
        <v>3076</v>
      </c>
    </row>
    <row r="7" spans="2:17" ht="14.25" thickBot="1">
      <c r="B7" s="3461" t="s">
        <v>3154</v>
      </c>
      <c r="C7" s="2960" t="s">
        <v>1375</v>
      </c>
      <c r="D7" s="2958" t="s">
        <v>3186</v>
      </c>
      <c r="E7" s="2958" t="s">
        <v>3186</v>
      </c>
      <c r="F7" s="2958" t="s">
        <v>3186</v>
      </c>
      <c r="G7" s="2958" t="s">
        <v>3186</v>
      </c>
      <c r="L7" s="3425" t="s">
        <v>3153</v>
      </c>
      <c r="M7" s="3033" t="s">
        <v>1375</v>
      </c>
      <c r="N7" s="3033" t="s">
        <v>1377</v>
      </c>
      <c r="O7" s="3033" t="s">
        <v>1377</v>
      </c>
      <c r="P7" s="3033" t="s">
        <v>1377</v>
      </c>
      <c r="Q7" s="3033" t="s">
        <v>1377</v>
      </c>
    </row>
    <row r="8" spans="2:17" ht="26.25" thickBot="1">
      <c r="B8" s="3462"/>
      <c r="C8" s="2960" t="s">
        <v>3132</v>
      </c>
      <c r="D8" s="2958" t="s">
        <v>3152</v>
      </c>
      <c r="E8" s="2958" t="s">
        <v>3152</v>
      </c>
      <c r="F8" s="2958" t="s">
        <v>3152</v>
      </c>
      <c r="G8" s="2958" t="s">
        <v>3152</v>
      </c>
      <c r="L8" s="3426"/>
      <c r="M8" s="3033" t="s">
        <v>3132</v>
      </c>
      <c r="N8" s="3035" t="s">
        <v>3376</v>
      </c>
      <c r="O8" s="3035" t="s">
        <v>3250</v>
      </c>
      <c r="P8" s="3035" t="s">
        <v>3250</v>
      </c>
      <c r="Q8" s="3035" t="s">
        <v>3250</v>
      </c>
    </row>
    <row r="9" spans="2:17" ht="14.25" thickBot="1">
      <c r="B9" s="3463"/>
      <c r="C9" s="2958" t="s">
        <v>3155</v>
      </c>
      <c r="D9" s="2963">
        <v>5.31</v>
      </c>
      <c r="E9" s="2963">
        <v>4</v>
      </c>
      <c r="F9" s="2963">
        <v>4.09</v>
      </c>
      <c r="G9" s="2963">
        <v>2.2999999999999998</v>
      </c>
      <c r="L9" s="3427"/>
      <c r="M9" s="3033" t="s">
        <v>3251</v>
      </c>
      <c r="N9" s="3035">
        <v>3.5</v>
      </c>
      <c r="O9" s="3035">
        <v>3.5</v>
      </c>
      <c r="P9" s="3035">
        <v>3.5</v>
      </c>
      <c r="Q9" s="3035">
        <v>3.2</v>
      </c>
    </row>
    <row r="10" spans="2:17" ht="141" thickBot="1">
      <c r="B10" s="3464" t="s">
        <v>3133</v>
      </c>
      <c r="C10" s="2961" t="s">
        <v>3156</v>
      </c>
      <c r="D10" s="2958" t="s">
        <v>3157</v>
      </c>
      <c r="E10" s="2958" t="s">
        <v>3187</v>
      </c>
      <c r="F10" s="2958" t="s">
        <v>3191</v>
      </c>
      <c r="G10" s="2958" t="s">
        <v>3192</v>
      </c>
      <c r="L10" s="3425" t="s">
        <v>3133</v>
      </c>
      <c r="M10" s="3033" t="s">
        <v>3252</v>
      </c>
      <c r="N10" s="3033" t="s">
        <v>3273</v>
      </c>
      <c r="O10" s="3033" t="s">
        <v>3274</v>
      </c>
      <c r="P10" s="3033" t="s">
        <v>3275</v>
      </c>
      <c r="Q10" s="3033" t="s">
        <v>3276</v>
      </c>
    </row>
    <row r="11" spans="2:17" ht="60.75" customHeight="1" thickBot="1">
      <c r="B11" s="3448"/>
      <c r="C11" s="2961" t="s">
        <v>3158</v>
      </c>
      <c r="D11" s="2958" t="s">
        <v>3159</v>
      </c>
      <c r="E11" s="2958" t="s">
        <v>3188</v>
      </c>
      <c r="F11" s="2958" t="s">
        <v>3188</v>
      </c>
      <c r="G11" s="2958" t="s">
        <v>3188</v>
      </c>
      <c r="L11" s="3426"/>
      <c r="M11" s="3033" t="s">
        <v>3253</v>
      </c>
      <c r="N11" s="3033" t="s">
        <v>3277</v>
      </c>
      <c r="O11" s="3033" t="s">
        <v>3373</v>
      </c>
      <c r="P11" s="3033" t="s">
        <v>3373</v>
      </c>
      <c r="Q11" s="3033" t="s">
        <v>3374</v>
      </c>
    </row>
    <row r="12" spans="2:17" ht="201" customHeight="1" thickBot="1">
      <c r="B12" s="3448"/>
      <c r="C12" s="2961" t="s">
        <v>3134</v>
      </c>
      <c r="D12" s="2958" t="s">
        <v>3160</v>
      </c>
      <c r="E12" s="2958" t="s">
        <v>3189</v>
      </c>
      <c r="F12" s="2958" t="s">
        <v>3189</v>
      </c>
      <c r="G12" s="2958" t="s">
        <v>3189</v>
      </c>
      <c r="L12" s="3426"/>
      <c r="M12" s="3033" t="s">
        <v>3134</v>
      </c>
      <c r="N12" s="3033" t="s">
        <v>3375</v>
      </c>
      <c r="O12" s="3033" t="s">
        <v>3375</v>
      </c>
      <c r="P12" s="3033" t="s">
        <v>3375</v>
      </c>
      <c r="Q12" s="3033" t="s">
        <v>3375</v>
      </c>
    </row>
    <row r="13" spans="2:17" ht="26.25" thickBot="1">
      <c r="B13" s="3448"/>
      <c r="C13" s="2961" t="s">
        <v>3135</v>
      </c>
      <c r="D13" s="2958" t="s">
        <v>3079</v>
      </c>
      <c r="E13" s="2958" t="s">
        <v>3079</v>
      </c>
      <c r="F13" s="2958" t="s">
        <v>3079</v>
      </c>
      <c r="G13" s="2958" t="s">
        <v>3079</v>
      </c>
      <c r="L13" s="3426"/>
      <c r="M13" s="3033" t="s">
        <v>3135</v>
      </c>
      <c r="N13" s="3033" t="s">
        <v>3079</v>
      </c>
      <c r="O13" s="3033" t="s">
        <v>3079</v>
      </c>
      <c r="P13" s="3033" t="s">
        <v>3079</v>
      </c>
      <c r="Q13" s="3033" t="s">
        <v>3079</v>
      </c>
    </row>
    <row r="14" spans="2:17" ht="128.25" thickBot="1">
      <c r="B14" s="3448"/>
      <c r="C14" s="2961" t="s">
        <v>3161</v>
      </c>
      <c r="D14" s="2958" t="s">
        <v>3162</v>
      </c>
      <c r="E14" s="2958" t="s">
        <v>3190</v>
      </c>
      <c r="F14" s="2958" t="s">
        <v>3190</v>
      </c>
      <c r="G14" s="2958" t="s">
        <v>3190</v>
      </c>
      <c r="L14" s="3426"/>
      <c r="M14" s="3033" t="s">
        <v>3254</v>
      </c>
      <c r="N14" s="3033" t="s">
        <v>3377</v>
      </c>
      <c r="O14" s="3033" t="s">
        <v>3377</v>
      </c>
      <c r="P14" s="3033" t="s">
        <v>3378</v>
      </c>
      <c r="Q14" s="3033" t="s">
        <v>3378</v>
      </c>
    </row>
    <row r="15" spans="2:17" ht="14.25" thickBot="1">
      <c r="B15" s="3448"/>
      <c r="C15" s="2961" t="s">
        <v>3163</v>
      </c>
      <c r="D15" s="2958" t="s">
        <v>3164</v>
      </c>
      <c r="E15" s="2958" t="s">
        <v>3164</v>
      </c>
      <c r="F15" s="2958" t="s">
        <v>3164</v>
      </c>
      <c r="G15" s="2958" t="s">
        <v>3164</v>
      </c>
      <c r="L15" s="3426"/>
      <c r="M15" s="3033" t="s">
        <v>3255</v>
      </c>
      <c r="N15" s="3033" t="s">
        <v>3082</v>
      </c>
      <c r="O15" s="3033" t="s">
        <v>3082</v>
      </c>
      <c r="P15" s="3033" t="s">
        <v>3082</v>
      </c>
      <c r="Q15" s="3033" t="s">
        <v>3082</v>
      </c>
    </row>
    <row r="16" spans="2:17" ht="14.25" thickBot="1">
      <c r="B16" s="3448"/>
      <c r="C16" s="2961" t="s">
        <v>3165</v>
      </c>
      <c r="D16" s="2958" t="s">
        <v>3166</v>
      </c>
      <c r="E16" s="2958" t="s">
        <v>3167</v>
      </c>
      <c r="F16" s="2958" t="s">
        <v>3168</v>
      </c>
      <c r="G16" s="2958" t="s">
        <v>3167</v>
      </c>
      <c r="L16" s="3426"/>
      <c r="M16" s="3033" t="s">
        <v>3256</v>
      </c>
      <c r="N16" s="3033" t="s">
        <v>3168</v>
      </c>
      <c r="O16" s="3033" t="s">
        <v>3078</v>
      </c>
      <c r="P16" s="3033" t="s">
        <v>3078</v>
      </c>
      <c r="Q16" s="3033" t="s">
        <v>3078</v>
      </c>
    </row>
    <row r="17" spans="2:17" ht="14.25" thickBot="1">
      <c r="B17" s="3448"/>
      <c r="C17" s="2961" t="s">
        <v>3169</v>
      </c>
      <c r="D17" s="2958" t="s">
        <v>3167</v>
      </c>
      <c r="E17" s="2958" t="s">
        <v>3168</v>
      </c>
      <c r="F17" s="2958" t="s">
        <v>3168</v>
      </c>
      <c r="G17" s="2958" t="s">
        <v>3168</v>
      </c>
      <c r="L17" s="3426"/>
      <c r="M17" s="3033" t="s">
        <v>3257</v>
      </c>
      <c r="N17" s="3033" t="s">
        <v>3078</v>
      </c>
      <c r="O17" s="3033" t="s">
        <v>3078</v>
      </c>
      <c r="P17" s="3033" t="s">
        <v>3078</v>
      </c>
      <c r="Q17" s="3033" t="s">
        <v>3078</v>
      </c>
    </row>
    <row r="18" spans="2:17" ht="14.25" thickBot="1">
      <c r="B18" s="3448"/>
      <c r="C18" s="2961" t="s">
        <v>3065</v>
      </c>
      <c r="D18" s="2958" t="s">
        <v>3170</v>
      </c>
      <c r="E18" s="2958" t="s">
        <v>3170</v>
      </c>
      <c r="F18" s="2958" t="s">
        <v>3170</v>
      </c>
      <c r="G18" s="2958" t="s">
        <v>3170</v>
      </c>
      <c r="L18" s="3427"/>
      <c r="M18" s="3033" t="s">
        <v>3258</v>
      </c>
      <c r="N18" s="3035" t="s">
        <v>3278</v>
      </c>
      <c r="O18" s="3035" t="s">
        <v>3259</v>
      </c>
      <c r="P18" s="3035" t="s">
        <v>3259</v>
      </c>
      <c r="Q18" s="3035" t="s">
        <v>3259</v>
      </c>
    </row>
    <row r="19" spans="2:17" ht="14.25" thickBot="1">
      <c r="B19" s="3440" t="s">
        <v>3136</v>
      </c>
      <c r="C19" s="2961" t="s">
        <v>3171</v>
      </c>
      <c r="D19" s="2956" t="s">
        <v>3172</v>
      </c>
      <c r="E19" s="2956" t="s">
        <v>3173</v>
      </c>
      <c r="F19" s="2956" t="s">
        <v>3173</v>
      </c>
      <c r="G19" s="2956" t="s">
        <v>3174</v>
      </c>
      <c r="L19" s="3425" t="s">
        <v>3136</v>
      </c>
      <c r="M19" s="3033" t="s">
        <v>3260</v>
      </c>
      <c r="N19" s="3033" t="s">
        <v>3091</v>
      </c>
      <c r="O19" s="3033" t="s">
        <v>3091</v>
      </c>
      <c r="P19" s="3033" t="s">
        <v>3091</v>
      </c>
      <c r="Q19" s="3033" t="s">
        <v>3091</v>
      </c>
    </row>
    <row r="20" spans="2:17" ht="14.25" thickBot="1">
      <c r="B20" s="3441"/>
      <c r="C20" s="2961" t="s">
        <v>3137</v>
      </c>
      <c r="D20" s="2956">
        <v>191290</v>
      </c>
      <c r="E20" s="2956">
        <v>80000</v>
      </c>
      <c r="F20" s="2956">
        <v>220000</v>
      </c>
      <c r="G20" s="2956">
        <v>1840017</v>
      </c>
      <c r="L20" s="3426"/>
      <c r="M20" s="3033" t="s">
        <v>3138</v>
      </c>
      <c r="N20" s="3033" t="s">
        <v>3071</v>
      </c>
      <c r="O20" s="3033" t="s">
        <v>3071</v>
      </c>
      <c r="P20" s="3033" t="s">
        <v>3071</v>
      </c>
      <c r="Q20" s="3033" t="s">
        <v>3071</v>
      </c>
    </row>
    <row r="21" spans="2:17" ht="26.25" thickBot="1">
      <c r="B21" s="3441"/>
      <c r="C21" s="2961" t="s">
        <v>3138</v>
      </c>
      <c r="D21" s="2956" t="s">
        <v>3071</v>
      </c>
      <c r="E21" s="2956" t="s">
        <v>3071</v>
      </c>
      <c r="F21" s="2956" t="s">
        <v>3071</v>
      </c>
      <c r="G21" s="2956" t="s">
        <v>3071</v>
      </c>
      <c r="L21" s="3426"/>
      <c r="M21" s="3033" t="s">
        <v>3139</v>
      </c>
      <c r="N21" s="3033" t="s">
        <v>3101</v>
      </c>
      <c r="O21" s="3033" t="s">
        <v>3101</v>
      </c>
      <c r="P21" s="3033" t="s">
        <v>3101</v>
      </c>
      <c r="Q21" s="3033" t="s">
        <v>3101</v>
      </c>
    </row>
    <row r="22" spans="2:17" ht="14.25" thickBot="1">
      <c r="B22" s="3441"/>
      <c r="C22" s="2961" t="s">
        <v>3139</v>
      </c>
      <c r="D22" s="2956" t="s">
        <v>3099</v>
      </c>
      <c r="E22" s="2956" t="s">
        <v>3175</v>
      </c>
      <c r="F22" s="2956" t="s">
        <v>3099</v>
      </c>
      <c r="G22" s="2956" t="s">
        <v>3099</v>
      </c>
      <c r="L22" s="3426"/>
      <c r="M22" s="3033" t="s">
        <v>3140</v>
      </c>
      <c r="N22" s="3036">
        <v>0.92</v>
      </c>
      <c r="O22" s="3036">
        <v>0.95</v>
      </c>
      <c r="P22" s="3036">
        <v>0.95</v>
      </c>
      <c r="Q22" s="3036">
        <v>0.95</v>
      </c>
    </row>
    <row r="23" spans="2:17" ht="26.25" thickBot="1">
      <c r="B23" s="3441"/>
      <c r="C23" s="2961" t="s">
        <v>3140</v>
      </c>
      <c r="D23" s="2962">
        <v>0.95</v>
      </c>
      <c r="E23" s="2962">
        <v>1</v>
      </c>
      <c r="F23" s="2962">
        <v>1</v>
      </c>
      <c r="G23" s="2962">
        <v>1</v>
      </c>
      <c r="L23" s="3426"/>
      <c r="M23" s="3033" t="s">
        <v>3141</v>
      </c>
      <c r="N23" s="3033" t="s">
        <v>3079</v>
      </c>
      <c r="O23" s="3033" t="s">
        <v>3079</v>
      </c>
      <c r="P23" s="3033" t="s">
        <v>3079</v>
      </c>
      <c r="Q23" s="3033" t="s">
        <v>3079</v>
      </c>
    </row>
    <row r="24" spans="2:17" ht="14.25" thickBot="1">
      <c r="B24" s="3441"/>
      <c r="C24" s="2961" t="s">
        <v>3141</v>
      </c>
      <c r="D24" s="2956" t="s">
        <v>3079</v>
      </c>
      <c r="E24" s="2956" t="s">
        <v>3079</v>
      </c>
      <c r="F24" s="2956" t="s">
        <v>3079</v>
      </c>
      <c r="G24" s="2956" t="s">
        <v>3079</v>
      </c>
      <c r="L24" s="3426"/>
      <c r="M24" s="3033" t="s">
        <v>3261</v>
      </c>
      <c r="N24" s="3033" t="s">
        <v>3110</v>
      </c>
      <c r="O24" s="3033" t="s">
        <v>3110</v>
      </c>
      <c r="P24" s="3033" t="s">
        <v>3110</v>
      </c>
      <c r="Q24" s="3033" t="s">
        <v>3110</v>
      </c>
    </row>
    <row r="25" spans="2:17" ht="26.25" thickBot="1">
      <c r="B25" s="3441"/>
      <c r="C25" s="2961" t="s">
        <v>3176</v>
      </c>
      <c r="D25" s="2956" t="s">
        <v>3177</v>
      </c>
      <c r="E25" s="2956" t="s">
        <v>3178</v>
      </c>
      <c r="F25" s="2956" t="s">
        <v>3177</v>
      </c>
      <c r="G25" s="2956" t="s">
        <v>3179</v>
      </c>
      <c r="L25" s="3426"/>
      <c r="M25" s="3033" t="s">
        <v>3262</v>
      </c>
      <c r="N25" s="3033" t="s">
        <v>3279</v>
      </c>
      <c r="O25" s="3033" t="s">
        <v>3114</v>
      </c>
      <c r="P25" s="3033" t="s">
        <v>3114</v>
      </c>
      <c r="Q25" s="3033" t="s">
        <v>3114</v>
      </c>
    </row>
    <row r="26" spans="2:17" ht="39" thickBot="1">
      <c r="B26" s="3441"/>
      <c r="C26" s="2961" t="s">
        <v>3180</v>
      </c>
      <c r="D26" s="2956" t="s">
        <v>3181</v>
      </c>
      <c r="E26" s="2956" t="s">
        <v>3181</v>
      </c>
      <c r="F26" s="2956" t="s">
        <v>3181</v>
      </c>
      <c r="G26" s="2956" t="s">
        <v>3181</v>
      </c>
      <c r="L26" s="3426"/>
      <c r="M26" s="3033" t="s">
        <v>3263</v>
      </c>
      <c r="N26" s="3035">
        <v>790.58</v>
      </c>
      <c r="O26" s="3035">
        <v>550</v>
      </c>
      <c r="P26" s="3035">
        <v>750</v>
      </c>
      <c r="Q26" s="3035">
        <v>690</v>
      </c>
    </row>
    <row r="27" spans="2:17" ht="14.25" thickBot="1">
      <c r="B27" s="3441"/>
      <c r="C27" s="2961" t="s">
        <v>3193</v>
      </c>
      <c r="D27" s="2956">
        <v>168.91</v>
      </c>
      <c r="E27" s="2956">
        <v>143</v>
      </c>
      <c r="F27" s="2956">
        <v>150</v>
      </c>
      <c r="G27" s="2956">
        <v>122</v>
      </c>
      <c r="L27" s="3426"/>
      <c r="M27" s="3033" t="s">
        <v>3264</v>
      </c>
      <c r="N27" s="3033" t="s">
        <v>3078</v>
      </c>
      <c r="O27" s="3033" t="s">
        <v>3078</v>
      </c>
      <c r="P27" s="3033" t="s">
        <v>3078</v>
      </c>
      <c r="Q27" s="3033" t="s">
        <v>3078</v>
      </c>
    </row>
    <row r="28" spans="2:17" ht="14.25" thickBot="1">
      <c r="B28" s="3441"/>
      <c r="C28" s="2961" t="s">
        <v>3182</v>
      </c>
      <c r="D28" s="2956" t="s">
        <v>3183</v>
      </c>
      <c r="E28" s="2956" t="s">
        <v>3183</v>
      </c>
      <c r="F28" s="2956" t="s">
        <v>3183</v>
      </c>
      <c r="G28" s="2956" t="s">
        <v>3183</v>
      </c>
      <c r="L28" s="3426"/>
      <c r="M28" s="3033" t="s">
        <v>3142</v>
      </c>
      <c r="N28" s="3033" t="s">
        <v>3103</v>
      </c>
      <c r="O28" s="3033" t="s">
        <v>3103</v>
      </c>
      <c r="P28" s="3033" t="s">
        <v>3103</v>
      </c>
      <c r="Q28" s="3033" t="s">
        <v>3103</v>
      </c>
    </row>
    <row r="29" spans="2:17" ht="26.25" thickBot="1">
      <c r="B29" s="3441"/>
      <c r="C29" s="2961" t="s">
        <v>3142</v>
      </c>
      <c r="D29" s="2956" t="s">
        <v>3184</v>
      </c>
      <c r="E29" s="2956" t="s">
        <v>3185</v>
      </c>
      <c r="F29" s="2956" t="s">
        <v>3185</v>
      </c>
      <c r="G29" s="2956" t="s">
        <v>3185</v>
      </c>
      <c r="L29" s="3427"/>
      <c r="M29" s="3033" t="s">
        <v>3143</v>
      </c>
      <c r="N29" s="3033" t="s">
        <v>3078</v>
      </c>
      <c r="O29" s="3033" t="s">
        <v>3078</v>
      </c>
      <c r="P29" s="3033" t="s">
        <v>3078</v>
      </c>
      <c r="Q29" s="3033" t="s">
        <v>3078</v>
      </c>
    </row>
    <row r="30" spans="2:17" ht="14.25" thickBot="1">
      <c r="B30" s="3442"/>
      <c r="C30" s="2961" t="s">
        <v>3143</v>
      </c>
      <c r="D30" s="2956" t="s">
        <v>3078</v>
      </c>
      <c r="E30" s="2956" t="s">
        <v>3078</v>
      </c>
      <c r="F30" s="2956" t="s">
        <v>3078</v>
      </c>
      <c r="G30" s="2956" t="s">
        <v>3078</v>
      </c>
    </row>
    <row r="34" spans="2:8">
      <c r="B34" s="3450" t="s">
        <v>3125</v>
      </c>
      <c r="C34" s="3450"/>
      <c r="D34" s="2965" t="s">
        <v>3126</v>
      </c>
      <c r="E34" s="2965" t="s">
        <v>3127</v>
      </c>
      <c r="F34" s="2965" t="s">
        <v>3128</v>
      </c>
      <c r="G34" s="2965" t="s">
        <v>3129</v>
      </c>
    </row>
    <row r="35" spans="2:8">
      <c r="B35" s="3450" t="s">
        <v>3194</v>
      </c>
      <c r="C35" s="3450"/>
      <c r="D35" s="2966">
        <v>100</v>
      </c>
      <c r="E35" s="2966">
        <v>100</v>
      </c>
      <c r="F35" s="2966">
        <v>100</v>
      </c>
      <c r="G35" s="2966">
        <v>100</v>
      </c>
    </row>
    <row r="36" spans="2:8">
      <c r="B36" s="3450" t="s">
        <v>3131</v>
      </c>
      <c r="C36" s="3450"/>
      <c r="D36" s="2966">
        <v>100</v>
      </c>
      <c r="E36" s="2966">
        <v>100</v>
      </c>
      <c r="F36" s="2966">
        <v>100</v>
      </c>
      <c r="G36" s="2966">
        <v>100</v>
      </c>
    </row>
    <row r="37" spans="2:8">
      <c r="B37" s="3451" t="s">
        <v>3153</v>
      </c>
      <c r="C37" s="2967" t="s">
        <v>1375</v>
      </c>
      <c r="D37" s="2966">
        <v>100</v>
      </c>
      <c r="E37" s="2966">
        <v>100</v>
      </c>
      <c r="F37" s="2966">
        <v>100</v>
      </c>
      <c r="G37" s="2966">
        <v>100</v>
      </c>
    </row>
    <row r="38" spans="2:8">
      <c r="B38" s="3451"/>
      <c r="C38" s="2967" t="s">
        <v>3132</v>
      </c>
      <c r="D38" s="2966">
        <v>100</v>
      </c>
      <c r="E38" s="2966">
        <v>102</v>
      </c>
      <c r="F38" s="2966">
        <v>102</v>
      </c>
      <c r="G38" s="2966">
        <v>102</v>
      </c>
    </row>
    <row r="39" spans="2:8">
      <c r="B39" s="3451"/>
      <c r="C39" s="2967" t="s">
        <v>3155</v>
      </c>
      <c r="D39" s="2966">
        <v>100</v>
      </c>
      <c r="E39" s="2966">
        <v>100</v>
      </c>
      <c r="F39" s="2966">
        <v>100</v>
      </c>
      <c r="G39" s="2966">
        <v>100</v>
      </c>
      <c r="H39" s="2966"/>
    </row>
    <row r="40" spans="2:8">
      <c r="B40" s="3452" t="s">
        <v>3133</v>
      </c>
      <c r="C40" s="2967" t="str">
        <f>C10</f>
        <v>商业繁华度</v>
      </c>
      <c r="D40" s="2966">
        <v>100</v>
      </c>
      <c r="E40" s="2966">
        <v>100</v>
      </c>
      <c r="F40" s="2966">
        <v>100</v>
      </c>
      <c r="G40" s="2966">
        <v>100</v>
      </c>
    </row>
    <row r="41" spans="2:8">
      <c r="B41" s="3452"/>
      <c r="C41" s="2967" t="str">
        <f t="shared" ref="C41:C48" si="0">C11</f>
        <v>交通便捷度</v>
      </c>
      <c r="D41" s="2966">
        <v>100</v>
      </c>
      <c r="E41" s="2966">
        <v>103</v>
      </c>
      <c r="F41" s="2966">
        <v>103</v>
      </c>
      <c r="G41" s="2966">
        <v>103</v>
      </c>
    </row>
    <row r="42" spans="2:8">
      <c r="B42" s="3452"/>
      <c r="C42" s="2967" t="str">
        <f t="shared" si="0"/>
        <v>公共配套设施</v>
      </c>
      <c r="D42" s="2966">
        <v>100</v>
      </c>
      <c r="E42" s="2966">
        <v>100</v>
      </c>
      <c r="F42" s="2966">
        <v>100</v>
      </c>
      <c r="G42" s="2966">
        <v>100</v>
      </c>
    </row>
    <row r="43" spans="2:8">
      <c r="B43" s="3452"/>
      <c r="C43" s="2967" t="str">
        <f t="shared" si="0"/>
        <v>区域基础设施水平</v>
      </c>
      <c r="D43" s="2966">
        <v>100</v>
      </c>
      <c r="E43" s="2966">
        <v>100</v>
      </c>
      <c r="F43" s="2966">
        <v>100</v>
      </c>
      <c r="G43" s="2966">
        <v>100</v>
      </c>
    </row>
    <row r="44" spans="2:8">
      <c r="B44" s="3452"/>
      <c r="C44" s="2967" t="str">
        <f t="shared" si="0"/>
        <v>自然及人文环境</v>
      </c>
      <c r="D44" s="2966">
        <v>100</v>
      </c>
      <c r="E44" s="2966">
        <v>100</v>
      </c>
      <c r="F44" s="2966">
        <v>100</v>
      </c>
      <c r="G44" s="2966">
        <v>100</v>
      </c>
    </row>
    <row r="45" spans="2:8">
      <c r="B45" s="3452"/>
      <c r="C45" s="2967" t="str">
        <f t="shared" si="0"/>
        <v>临街状况</v>
      </c>
      <c r="D45" s="2966">
        <v>100</v>
      </c>
      <c r="E45" s="2966">
        <v>100</v>
      </c>
      <c r="F45" s="2966">
        <v>100</v>
      </c>
      <c r="G45" s="2966">
        <v>100</v>
      </c>
    </row>
    <row r="46" spans="2:8">
      <c r="B46" s="3452"/>
      <c r="C46" s="2967" t="str">
        <f t="shared" si="0"/>
        <v>可视性</v>
      </c>
      <c r="D46" s="2966">
        <v>100</v>
      </c>
      <c r="E46" s="2966">
        <v>103</v>
      </c>
      <c r="F46" s="2966">
        <v>103</v>
      </c>
      <c r="G46" s="2966">
        <v>103</v>
      </c>
    </row>
    <row r="47" spans="2:8">
      <c r="B47" s="3452"/>
      <c r="C47" s="2967" t="str">
        <f t="shared" si="0"/>
        <v>人流量</v>
      </c>
      <c r="D47" s="2966">
        <v>100</v>
      </c>
      <c r="E47" s="2966">
        <v>100</v>
      </c>
      <c r="F47" s="2966">
        <v>100</v>
      </c>
      <c r="G47" s="2966">
        <v>100</v>
      </c>
    </row>
    <row r="48" spans="2:8">
      <c r="B48" s="3452"/>
      <c r="C48" s="2967" t="str">
        <f t="shared" si="0"/>
        <v>楼层</v>
      </c>
      <c r="D48" s="2966">
        <v>100</v>
      </c>
      <c r="E48" s="2966">
        <v>115</v>
      </c>
      <c r="F48" s="2966">
        <v>115</v>
      </c>
      <c r="G48" s="2966">
        <v>115</v>
      </c>
    </row>
    <row r="49" spans="2:8">
      <c r="B49" s="3451" t="s">
        <v>3136</v>
      </c>
      <c r="C49" s="2967" t="str">
        <f>C19</f>
        <v>商业类型</v>
      </c>
      <c r="D49" s="2966">
        <v>100</v>
      </c>
      <c r="E49" s="2966">
        <v>100</v>
      </c>
      <c r="F49" s="2966">
        <v>100</v>
      </c>
      <c r="G49" s="2966">
        <v>100</v>
      </c>
    </row>
    <row r="50" spans="2:8">
      <c r="B50" s="3451"/>
      <c r="C50" s="2967" t="str">
        <f t="shared" ref="C50:C59" si="1">C20</f>
        <v>项目建筑规模（㎡）</v>
      </c>
      <c r="D50" s="2966">
        <v>100</v>
      </c>
      <c r="E50" s="2966">
        <v>100</v>
      </c>
      <c r="F50" s="2966">
        <v>100</v>
      </c>
      <c r="G50" s="2966">
        <v>100</v>
      </c>
    </row>
    <row r="51" spans="2:8">
      <c r="B51" s="3451"/>
      <c r="C51" s="2967" t="str">
        <f t="shared" si="1"/>
        <v>建筑结构</v>
      </c>
      <c r="D51" s="2966">
        <v>100</v>
      </c>
      <c r="E51" s="2966">
        <v>100</v>
      </c>
      <c r="F51" s="2966">
        <v>100</v>
      </c>
      <c r="G51" s="2966">
        <v>100</v>
      </c>
    </row>
    <row r="52" spans="2:8">
      <c r="B52" s="3451"/>
      <c r="C52" s="2967" t="str">
        <f t="shared" si="1"/>
        <v>公共部分装修</v>
      </c>
      <c r="D52" s="2966">
        <v>100</v>
      </c>
      <c r="E52" s="2966">
        <v>100</v>
      </c>
      <c r="F52" s="2966">
        <v>100</v>
      </c>
      <c r="G52" s="2966">
        <v>100</v>
      </c>
    </row>
    <row r="53" spans="2:8">
      <c r="B53" s="3451"/>
      <c r="C53" s="2967" t="str">
        <f t="shared" si="1"/>
        <v>成新率</v>
      </c>
      <c r="D53" s="2966">
        <v>100</v>
      </c>
      <c r="E53" s="2966">
        <v>100</v>
      </c>
      <c r="F53" s="2966">
        <v>100</v>
      </c>
      <c r="G53" s="2966">
        <v>100</v>
      </c>
    </row>
    <row r="54" spans="2:8">
      <c r="B54" s="3451"/>
      <c r="C54" s="2967" t="str">
        <f t="shared" si="1"/>
        <v>市政基础设施</v>
      </c>
      <c r="D54" s="2966">
        <v>100</v>
      </c>
      <c r="E54" s="2966">
        <v>100</v>
      </c>
      <c r="F54" s="2966">
        <v>100</v>
      </c>
      <c r="G54" s="2966">
        <v>100</v>
      </c>
    </row>
    <row r="55" spans="2:8">
      <c r="B55" s="3451"/>
      <c r="C55" s="2967" t="str">
        <f t="shared" si="1"/>
        <v>业态</v>
      </c>
      <c r="D55" s="2966">
        <v>100</v>
      </c>
      <c r="E55" s="2966">
        <v>100</v>
      </c>
      <c r="F55" s="2966">
        <v>100</v>
      </c>
      <c r="G55" s="2966">
        <v>100</v>
      </c>
    </row>
    <row r="56" spans="2:8">
      <c r="B56" s="3451"/>
      <c r="C56" s="2967" t="str">
        <f t="shared" si="1"/>
        <v>层高</v>
      </c>
      <c r="D56" s="2966">
        <v>100</v>
      </c>
      <c r="E56" s="2966">
        <v>102</v>
      </c>
      <c r="F56" s="2966">
        <v>102</v>
      </c>
      <c r="G56" s="2966">
        <v>102</v>
      </c>
    </row>
    <row r="57" spans="2:8" ht="14.25" thickBot="1">
      <c r="B57" s="3451"/>
      <c r="C57" s="2967" t="str">
        <f t="shared" si="1"/>
        <v>单套建筑面积（平方米）</v>
      </c>
      <c r="D57" s="2966">
        <v>100</v>
      </c>
      <c r="E57" s="2966">
        <v>100</v>
      </c>
      <c r="F57" s="2966">
        <v>100</v>
      </c>
      <c r="G57" s="2966">
        <v>100</v>
      </c>
      <c r="H57" s="2964"/>
    </row>
    <row r="58" spans="2:8">
      <c r="B58" s="3451"/>
      <c r="C58" s="2967" t="str">
        <f t="shared" si="1"/>
        <v>进深比</v>
      </c>
      <c r="D58" s="2966">
        <v>100</v>
      </c>
      <c r="E58" s="2966">
        <v>100</v>
      </c>
      <c r="F58" s="2966">
        <v>100</v>
      </c>
      <c r="G58" s="2966">
        <v>100</v>
      </c>
    </row>
    <row r="59" spans="2:8">
      <c r="B59" s="3451"/>
      <c r="C59" s="2967" t="str">
        <f t="shared" si="1"/>
        <v>内部装修</v>
      </c>
      <c r="D59" s="2966">
        <v>100</v>
      </c>
      <c r="E59" s="2966">
        <v>100</v>
      </c>
      <c r="F59" s="2966">
        <v>100</v>
      </c>
      <c r="G59" s="2966">
        <v>100</v>
      </c>
    </row>
    <row r="60" spans="2:8">
      <c r="B60" s="3451"/>
      <c r="C60" s="2967" t="str">
        <f>C30</f>
        <v>内部装修维护状况</v>
      </c>
      <c r="D60" s="2966">
        <v>100</v>
      </c>
      <c r="E60" s="2966">
        <v>100</v>
      </c>
      <c r="F60" s="2966">
        <v>100</v>
      </c>
      <c r="G60" s="2966">
        <v>100</v>
      </c>
    </row>
    <row r="64" spans="2:8" ht="14.25" thickBot="1"/>
    <row r="65" spans="2:9" ht="14.25" thickBot="1">
      <c r="B65" s="3438" t="s">
        <v>3125</v>
      </c>
      <c r="C65" s="3439"/>
      <c r="D65" s="3443" t="s">
        <v>3127</v>
      </c>
      <c r="E65" s="3444"/>
      <c r="F65" s="3443" t="s">
        <v>3128</v>
      </c>
      <c r="G65" s="3444"/>
      <c r="H65" s="3443" t="s">
        <v>3129</v>
      </c>
      <c r="I65" s="3444"/>
    </row>
    <row r="66" spans="2:9" ht="14.25" thickBot="1">
      <c r="B66" s="3445" t="s">
        <v>3194</v>
      </c>
      <c r="C66" s="3446"/>
      <c r="D66" s="2968" t="s">
        <v>3195</v>
      </c>
      <c r="E66" s="2964">
        <f>E35</f>
        <v>100</v>
      </c>
      <c r="F66" s="2968" t="s">
        <v>3195</v>
      </c>
      <c r="G66" s="2964">
        <f>F35</f>
        <v>100</v>
      </c>
      <c r="H66" s="2968" t="s">
        <v>3195</v>
      </c>
      <c r="I66" s="2964">
        <f>G35</f>
        <v>100</v>
      </c>
    </row>
    <row r="67" spans="2:9" ht="14.25" thickBot="1">
      <c r="B67" s="3445" t="s">
        <v>3131</v>
      </c>
      <c r="C67" s="3446"/>
      <c r="D67" s="2968" t="s">
        <v>3195</v>
      </c>
      <c r="E67" s="2964">
        <f t="shared" ref="E67:E91" si="2">E36</f>
        <v>100</v>
      </c>
      <c r="F67" s="2968" t="s">
        <v>3195</v>
      </c>
      <c r="G67" s="2964">
        <f t="shared" ref="G67:G91" si="3">F36</f>
        <v>100</v>
      </c>
      <c r="H67" s="2968" t="s">
        <v>3195</v>
      </c>
      <c r="I67" s="2964">
        <f t="shared" ref="I67:I91" si="4">G36</f>
        <v>100</v>
      </c>
    </row>
    <row r="68" spans="2:9" ht="14.25" thickBot="1">
      <c r="B68" s="3447" t="s">
        <v>3153</v>
      </c>
      <c r="C68" s="2961" t="str">
        <f>C37</f>
        <v>用途</v>
      </c>
      <c r="D68" s="2968" t="s">
        <v>3195</v>
      </c>
      <c r="E68" s="2964">
        <f t="shared" si="2"/>
        <v>100</v>
      </c>
      <c r="F68" s="2968" t="s">
        <v>3195</v>
      </c>
      <c r="G68" s="2964">
        <f t="shared" si="3"/>
        <v>100</v>
      </c>
      <c r="H68" s="2968" t="s">
        <v>3195</v>
      </c>
      <c r="I68" s="2964">
        <f t="shared" si="4"/>
        <v>100</v>
      </c>
    </row>
    <row r="69" spans="2:9" ht="14.25" thickBot="1">
      <c r="B69" s="3448"/>
      <c r="C69" s="2961" t="str">
        <f t="shared" ref="C69:C70" si="5">C38</f>
        <v>土地使用年限（年）</v>
      </c>
      <c r="D69" s="2968" t="s">
        <v>3195</v>
      </c>
      <c r="E69" s="2964">
        <f t="shared" si="2"/>
        <v>102</v>
      </c>
      <c r="F69" s="2968" t="s">
        <v>3195</v>
      </c>
      <c r="G69" s="2964">
        <f t="shared" si="3"/>
        <v>102</v>
      </c>
      <c r="H69" s="2968" t="s">
        <v>3195</v>
      </c>
      <c r="I69" s="2964">
        <f t="shared" si="4"/>
        <v>102</v>
      </c>
    </row>
    <row r="70" spans="2:9" ht="14.25" thickBot="1">
      <c r="B70" s="3449"/>
      <c r="C70" s="2961" t="str">
        <f t="shared" si="5"/>
        <v>容积率</v>
      </c>
      <c r="D70" s="2968" t="s">
        <v>3195</v>
      </c>
      <c r="E70" s="2964">
        <f t="shared" si="2"/>
        <v>100</v>
      </c>
      <c r="F70" s="2968" t="s">
        <v>3195</v>
      </c>
      <c r="G70" s="2964">
        <f t="shared" si="3"/>
        <v>100</v>
      </c>
      <c r="H70" s="2968" t="s">
        <v>3195</v>
      </c>
      <c r="I70" s="2964">
        <f t="shared" si="4"/>
        <v>100</v>
      </c>
    </row>
    <row r="71" spans="2:9" ht="14.25" thickBot="1">
      <c r="B71" s="3440" t="s">
        <v>3133</v>
      </c>
      <c r="C71" s="2961" t="str">
        <f>C40</f>
        <v>商业繁华度</v>
      </c>
      <c r="D71" s="2968" t="s">
        <v>3195</v>
      </c>
      <c r="E71" s="2964">
        <f t="shared" si="2"/>
        <v>100</v>
      </c>
      <c r="F71" s="2968" t="s">
        <v>3195</v>
      </c>
      <c r="G71" s="2964">
        <f t="shared" si="3"/>
        <v>100</v>
      </c>
      <c r="H71" s="2968" t="s">
        <v>3195</v>
      </c>
      <c r="I71" s="2964">
        <f t="shared" si="4"/>
        <v>100</v>
      </c>
    </row>
    <row r="72" spans="2:9" ht="14.25" thickBot="1">
      <c r="B72" s="3441"/>
      <c r="C72" s="2961" t="str">
        <f t="shared" ref="C72:C79" si="6">C41</f>
        <v>交通便捷度</v>
      </c>
      <c r="D72" s="2968" t="s">
        <v>3195</v>
      </c>
      <c r="E72" s="2964">
        <f t="shared" si="2"/>
        <v>103</v>
      </c>
      <c r="F72" s="2968" t="s">
        <v>3195</v>
      </c>
      <c r="G72" s="2964">
        <f t="shared" si="3"/>
        <v>103</v>
      </c>
      <c r="H72" s="2968" t="s">
        <v>3195</v>
      </c>
      <c r="I72" s="2964">
        <f t="shared" si="4"/>
        <v>103</v>
      </c>
    </row>
    <row r="73" spans="2:9" ht="14.25" thickBot="1">
      <c r="B73" s="3441"/>
      <c r="C73" s="2961" t="str">
        <f t="shared" si="6"/>
        <v>公共配套设施</v>
      </c>
      <c r="D73" s="2968" t="s">
        <v>3195</v>
      </c>
      <c r="E73" s="2964">
        <f t="shared" si="2"/>
        <v>100</v>
      </c>
      <c r="F73" s="2968" t="s">
        <v>3195</v>
      </c>
      <c r="G73" s="2964">
        <f t="shared" si="3"/>
        <v>100</v>
      </c>
      <c r="H73" s="2968" t="s">
        <v>3195</v>
      </c>
      <c r="I73" s="2964">
        <f t="shared" si="4"/>
        <v>100</v>
      </c>
    </row>
    <row r="74" spans="2:9" ht="14.25" thickBot="1">
      <c r="B74" s="3441"/>
      <c r="C74" s="2961" t="str">
        <f t="shared" si="6"/>
        <v>区域基础设施水平</v>
      </c>
      <c r="D74" s="2968" t="s">
        <v>3195</v>
      </c>
      <c r="E74" s="2964">
        <f t="shared" si="2"/>
        <v>100</v>
      </c>
      <c r="F74" s="2968" t="s">
        <v>3195</v>
      </c>
      <c r="G74" s="2964">
        <f t="shared" si="3"/>
        <v>100</v>
      </c>
      <c r="H74" s="2968" t="s">
        <v>3195</v>
      </c>
      <c r="I74" s="2964">
        <f t="shared" si="4"/>
        <v>100</v>
      </c>
    </row>
    <row r="75" spans="2:9" ht="14.25" thickBot="1">
      <c r="B75" s="3441"/>
      <c r="C75" s="2961" t="str">
        <f t="shared" si="6"/>
        <v>自然及人文环境</v>
      </c>
      <c r="D75" s="2968" t="s">
        <v>3195</v>
      </c>
      <c r="E75" s="2964">
        <f t="shared" si="2"/>
        <v>100</v>
      </c>
      <c r="F75" s="2968" t="s">
        <v>3195</v>
      </c>
      <c r="G75" s="2964">
        <f t="shared" si="3"/>
        <v>100</v>
      </c>
      <c r="H75" s="2968" t="s">
        <v>3195</v>
      </c>
      <c r="I75" s="2964">
        <f t="shared" si="4"/>
        <v>100</v>
      </c>
    </row>
    <row r="76" spans="2:9" ht="14.25" thickBot="1">
      <c r="B76" s="3441"/>
      <c r="C76" s="2961" t="str">
        <f t="shared" si="6"/>
        <v>临街状况</v>
      </c>
      <c r="D76" s="2968" t="s">
        <v>3195</v>
      </c>
      <c r="E76" s="2964">
        <f t="shared" si="2"/>
        <v>100</v>
      </c>
      <c r="F76" s="2968" t="s">
        <v>3195</v>
      </c>
      <c r="G76" s="2964">
        <f t="shared" si="3"/>
        <v>100</v>
      </c>
      <c r="H76" s="2968" t="s">
        <v>3195</v>
      </c>
      <c r="I76" s="2964">
        <f t="shared" si="4"/>
        <v>100</v>
      </c>
    </row>
    <row r="77" spans="2:9" ht="14.25" thickBot="1">
      <c r="B77" s="3441"/>
      <c r="C77" s="2961" t="str">
        <f t="shared" si="6"/>
        <v>可视性</v>
      </c>
      <c r="D77" s="2968" t="s">
        <v>3195</v>
      </c>
      <c r="E77" s="2964">
        <f t="shared" si="2"/>
        <v>103</v>
      </c>
      <c r="F77" s="2968" t="s">
        <v>3195</v>
      </c>
      <c r="G77" s="2964">
        <f t="shared" si="3"/>
        <v>103</v>
      </c>
      <c r="H77" s="2968" t="s">
        <v>3195</v>
      </c>
      <c r="I77" s="2964">
        <f t="shared" si="4"/>
        <v>103</v>
      </c>
    </row>
    <row r="78" spans="2:9" ht="14.25" thickBot="1">
      <c r="B78" s="3441"/>
      <c r="C78" s="2961" t="str">
        <f t="shared" si="6"/>
        <v>人流量</v>
      </c>
      <c r="D78" s="2968" t="s">
        <v>3195</v>
      </c>
      <c r="E78" s="2964">
        <f t="shared" si="2"/>
        <v>100</v>
      </c>
      <c r="F78" s="2968" t="s">
        <v>3195</v>
      </c>
      <c r="G78" s="2964">
        <f t="shared" si="3"/>
        <v>100</v>
      </c>
      <c r="H78" s="2968" t="s">
        <v>3195</v>
      </c>
      <c r="I78" s="2964">
        <f t="shared" si="4"/>
        <v>100</v>
      </c>
    </row>
    <row r="79" spans="2:9" ht="14.25" thickBot="1">
      <c r="B79" s="3442"/>
      <c r="C79" s="2961" t="str">
        <f t="shared" si="6"/>
        <v>楼层</v>
      </c>
      <c r="D79" s="2968" t="s">
        <v>3195</v>
      </c>
      <c r="E79" s="2964">
        <f t="shared" si="2"/>
        <v>115</v>
      </c>
      <c r="F79" s="2968" t="s">
        <v>3195</v>
      </c>
      <c r="G79" s="2964">
        <f t="shared" si="3"/>
        <v>115</v>
      </c>
      <c r="H79" s="2968" t="s">
        <v>3195</v>
      </c>
      <c r="I79" s="2964">
        <f t="shared" si="4"/>
        <v>115</v>
      </c>
    </row>
    <row r="80" spans="2:9" ht="14.25" thickBot="1">
      <c r="B80" s="3440" t="s">
        <v>3136</v>
      </c>
      <c r="C80" s="2961" t="str">
        <f>C49</f>
        <v>商业类型</v>
      </c>
      <c r="D80" s="2968" t="s">
        <v>3195</v>
      </c>
      <c r="E80" s="2964">
        <f t="shared" si="2"/>
        <v>100</v>
      </c>
      <c r="F80" s="2968" t="s">
        <v>3195</v>
      </c>
      <c r="G80" s="2964">
        <f t="shared" si="3"/>
        <v>100</v>
      </c>
      <c r="H80" s="2968" t="s">
        <v>3195</v>
      </c>
      <c r="I80" s="2964">
        <f t="shared" si="4"/>
        <v>100</v>
      </c>
    </row>
    <row r="81" spans="2:9" ht="14.25" thickBot="1">
      <c r="B81" s="3441"/>
      <c r="C81" s="2961" t="str">
        <f t="shared" ref="C81:C91" si="7">C50</f>
        <v>项目建筑规模（㎡）</v>
      </c>
      <c r="D81" s="2968" t="s">
        <v>3195</v>
      </c>
      <c r="E81" s="2964">
        <f t="shared" si="2"/>
        <v>100</v>
      </c>
      <c r="F81" s="2968" t="s">
        <v>3195</v>
      </c>
      <c r="G81" s="2964">
        <f t="shared" si="3"/>
        <v>100</v>
      </c>
      <c r="H81" s="2968" t="s">
        <v>3195</v>
      </c>
      <c r="I81" s="2964">
        <f t="shared" si="4"/>
        <v>100</v>
      </c>
    </row>
    <row r="82" spans="2:9" ht="14.25" thickBot="1">
      <c r="B82" s="3441"/>
      <c r="C82" s="2961" t="str">
        <f t="shared" si="7"/>
        <v>建筑结构</v>
      </c>
      <c r="D82" s="2968" t="s">
        <v>3195</v>
      </c>
      <c r="E82" s="2964">
        <f t="shared" si="2"/>
        <v>100</v>
      </c>
      <c r="F82" s="2968" t="s">
        <v>3195</v>
      </c>
      <c r="G82" s="2964">
        <f t="shared" si="3"/>
        <v>100</v>
      </c>
      <c r="H82" s="2968" t="s">
        <v>3195</v>
      </c>
      <c r="I82" s="2964">
        <f t="shared" si="4"/>
        <v>100</v>
      </c>
    </row>
    <row r="83" spans="2:9" ht="14.25" thickBot="1">
      <c r="B83" s="3441"/>
      <c r="C83" s="2961" t="str">
        <f t="shared" si="7"/>
        <v>公共部分装修</v>
      </c>
      <c r="D83" s="2968" t="s">
        <v>3195</v>
      </c>
      <c r="E83" s="2964">
        <f t="shared" si="2"/>
        <v>100</v>
      </c>
      <c r="F83" s="2968" t="s">
        <v>3195</v>
      </c>
      <c r="G83" s="2964">
        <f t="shared" si="3"/>
        <v>100</v>
      </c>
      <c r="H83" s="2968" t="s">
        <v>3195</v>
      </c>
      <c r="I83" s="2964">
        <f t="shared" si="4"/>
        <v>100</v>
      </c>
    </row>
    <row r="84" spans="2:9" ht="14.25" thickBot="1">
      <c r="B84" s="3441"/>
      <c r="C84" s="2961" t="str">
        <f t="shared" si="7"/>
        <v>成新率</v>
      </c>
      <c r="D84" s="2968" t="s">
        <v>3195</v>
      </c>
      <c r="E84" s="2964">
        <f t="shared" si="2"/>
        <v>100</v>
      </c>
      <c r="F84" s="2968" t="s">
        <v>3195</v>
      </c>
      <c r="G84" s="2964">
        <f t="shared" si="3"/>
        <v>100</v>
      </c>
      <c r="H84" s="2968" t="s">
        <v>3195</v>
      </c>
      <c r="I84" s="2964">
        <f t="shared" si="4"/>
        <v>100</v>
      </c>
    </row>
    <row r="85" spans="2:9" ht="14.25" thickBot="1">
      <c r="B85" s="3441"/>
      <c r="C85" s="2961" t="str">
        <f t="shared" si="7"/>
        <v>市政基础设施</v>
      </c>
      <c r="D85" s="2968" t="s">
        <v>3195</v>
      </c>
      <c r="E85" s="2964">
        <f t="shared" si="2"/>
        <v>100</v>
      </c>
      <c r="F85" s="2968" t="s">
        <v>3195</v>
      </c>
      <c r="G85" s="2964">
        <f t="shared" si="3"/>
        <v>100</v>
      </c>
      <c r="H85" s="2968" t="s">
        <v>3195</v>
      </c>
      <c r="I85" s="2964">
        <f t="shared" si="4"/>
        <v>100</v>
      </c>
    </row>
    <row r="86" spans="2:9" ht="14.25" thickBot="1">
      <c r="B86" s="3441"/>
      <c r="C86" s="2961" t="str">
        <f t="shared" si="7"/>
        <v>业态</v>
      </c>
      <c r="D86" s="2968" t="s">
        <v>3195</v>
      </c>
      <c r="E86" s="2964">
        <f t="shared" si="2"/>
        <v>100</v>
      </c>
      <c r="F86" s="2968" t="s">
        <v>3195</v>
      </c>
      <c r="G86" s="2964">
        <f t="shared" si="3"/>
        <v>100</v>
      </c>
      <c r="H86" s="2968" t="s">
        <v>3195</v>
      </c>
      <c r="I86" s="2964">
        <f t="shared" si="4"/>
        <v>100</v>
      </c>
    </row>
    <row r="87" spans="2:9" ht="14.25" thickBot="1">
      <c r="B87" s="3441"/>
      <c r="C87" s="2961" t="str">
        <f t="shared" si="7"/>
        <v>层高</v>
      </c>
      <c r="D87" s="2968" t="s">
        <v>3195</v>
      </c>
      <c r="E87" s="2964">
        <f t="shared" si="2"/>
        <v>102</v>
      </c>
      <c r="F87" s="2968" t="s">
        <v>3195</v>
      </c>
      <c r="G87" s="2964">
        <f t="shared" si="3"/>
        <v>102</v>
      </c>
      <c r="H87" s="2968" t="s">
        <v>3195</v>
      </c>
      <c r="I87" s="2964">
        <f t="shared" si="4"/>
        <v>102</v>
      </c>
    </row>
    <row r="88" spans="2:9" ht="14.25" thickBot="1">
      <c r="B88" s="3441"/>
      <c r="C88" s="2961" t="str">
        <f t="shared" si="7"/>
        <v>单套建筑面积（平方米）</v>
      </c>
      <c r="D88" s="2968" t="s">
        <v>3195</v>
      </c>
      <c r="E88" s="2964">
        <f t="shared" si="2"/>
        <v>100</v>
      </c>
      <c r="F88" s="2968" t="s">
        <v>3195</v>
      </c>
      <c r="G88" s="2964">
        <f t="shared" si="3"/>
        <v>100</v>
      </c>
      <c r="H88" s="2968" t="s">
        <v>3195</v>
      </c>
      <c r="I88" s="2964">
        <f t="shared" si="4"/>
        <v>100</v>
      </c>
    </row>
    <row r="89" spans="2:9" ht="14.25" thickBot="1">
      <c r="B89" s="3441"/>
      <c r="C89" s="2961" t="str">
        <f t="shared" si="7"/>
        <v>进深比</v>
      </c>
      <c r="D89" s="2968" t="s">
        <v>3195</v>
      </c>
      <c r="E89" s="2964">
        <f t="shared" si="2"/>
        <v>100</v>
      </c>
      <c r="F89" s="2968" t="s">
        <v>3195</v>
      </c>
      <c r="G89" s="2964">
        <f t="shared" si="3"/>
        <v>100</v>
      </c>
      <c r="H89" s="2968" t="s">
        <v>3195</v>
      </c>
      <c r="I89" s="2964">
        <f t="shared" si="4"/>
        <v>100</v>
      </c>
    </row>
    <row r="90" spans="2:9" ht="14.25" thickBot="1">
      <c r="B90" s="3441"/>
      <c r="C90" s="2961" t="str">
        <f t="shared" si="7"/>
        <v>内部装修</v>
      </c>
      <c r="D90" s="2968" t="s">
        <v>3195</v>
      </c>
      <c r="E90" s="2964">
        <f t="shared" si="2"/>
        <v>100</v>
      </c>
      <c r="F90" s="2968" t="s">
        <v>3195</v>
      </c>
      <c r="G90" s="2964">
        <f t="shared" si="3"/>
        <v>100</v>
      </c>
      <c r="H90" s="2968" t="s">
        <v>3195</v>
      </c>
      <c r="I90" s="2964">
        <f t="shared" si="4"/>
        <v>100</v>
      </c>
    </row>
    <row r="91" spans="2:9" ht="14.25" thickBot="1">
      <c r="B91" s="3441"/>
      <c r="C91" s="2961" t="str">
        <f t="shared" si="7"/>
        <v>内部装修维护状况</v>
      </c>
      <c r="D91" s="2968" t="s">
        <v>3195</v>
      </c>
      <c r="E91" s="2964">
        <f t="shared" si="2"/>
        <v>100</v>
      </c>
      <c r="F91" s="2968" t="s">
        <v>3195</v>
      </c>
      <c r="G91" s="2964">
        <f t="shared" si="3"/>
        <v>100</v>
      </c>
      <c r="H91" s="2968" t="s">
        <v>3195</v>
      </c>
      <c r="I91" s="2964">
        <f t="shared" si="4"/>
        <v>100</v>
      </c>
    </row>
    <row r="92" spans="2:9" ht="14.25" thickBot="1">
      <c r="B92" s="3436" t="s">
        <v>3196</v>
      </c>
      <c r="C92" s="3437"/>
      <c r="D92" s="3438">
        <f>'比较法-商业'!E47</f>
        <v>37748</v>
      </c>
      <c r="E92" s="3439"/>
      <c r="F92" s="3438">
        <f>'比较法-商业'!G47</f>
        <v>36487</v>
      </c>
      <c r="G92" s="3439"/>
      <c r="H92" s="3438">
        <f>'比较法-商业'!I47</f>
        <v>38396</v>
      </c>
      <c r="I92" s="3439"/>
    </row>
    <row r="93" spans="2:9" ht="14.25" thickBot="1">
      <c r="B93" s="3436" t="s">
        <v>3197</v>
      </c>
      <c r="C93" s="3437"/>
      <c r="D93" s="3438">
        <f>'比较法-商业'!E48</f>
        <v>31550</v>
      </c>
      <c r="E93" s="3439"/>
      <c r="F93" s="3438">
        <f>'比较法-商业'!G48</f>
        <v>30496</v>
      </c>
      <c r="G93" s="3439"/>
      <c r="H93" s="3438">
        <f>'比较法-商业'!I48</f>
        <v>32091</v>
      </c>
      <c r="I93" s="3439"/>
    </row>
  </sheetData>
  <mergeCells count="35">
    <mergeCell ref="B2:C4"/>
    <mergeCell ref="B5:C5"/>
    <mergeCell ref="B6:C6"/>
    <mergeCell ref="B19:B30"/>
    <mergeCell ref="B7:B9"/>
    <mergeCell ref="B10:B18"/>
    <mergeCell ref="B34:C34"/>
    <mergeCell ref="B35:C35"/>
    <mergeCell ref="B36:C36"/>
    <mergeCell ref="B37:B39"/>
    <mergeCell ref="B49:B60"/>
    <mergeCell ref="B40:B48"/>
    <mergeCell ref="D65:E65"/>
    <mergeCell ref="F65:G65"/>
    <mergeCell ref="H65:I65"/>
    <mergeCell ref="B66:C66"/>
    <mergeCell ref="B68:B70"/>
    <mergeCell ref="B67:C67"/>
    <mergeCell ref="B65:C65"/>
    <mergeCell ref="B71:B79"/>
    <mergeCell ref="B80:B91"/>
    <mergeCell ref="B92:C92"/>
    <mergeCell ref="D92:E92"/>
    <mergeCell ref="H92:I92"/>
    <mergeCell ref="B93:C93"/>
    <mergeCell ref="D93:E93"/>
    <mergeCell ref="F93:G93"/>
    <mergeCell ref="H93:I93"/>
    <mergeCell ref="F92:G92"/>
    <mergeCell ref="L19:L29"/>
    <mergeCell ref="L2:M4"/>
    <mergeCell ref="L5:M5"/>
    <mergeCell ref="L6:M6"/>
    <mergeCell ref="L7:L9"/>
    <mergeCell ref="L10:L18"/>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096" t="str">
        <f>IF(项目基本情况!B9="房地产市场价值","估价结果一览表","结果表-2")</f>
        <v>结果表-2</v>
      </c>
      <c r="B1" s="3096"/>
      <c r="C1" s="3096"/>
      <c r="D1" s="3096"/>
      <c r="E1" s="3096"/>
      <c r="F1" s="3096"/>
      <c r="G1" s="3096"/>
      <c r="H1" s="3096"/>
      <c r="I1" s="3096"/>
    </row>
    <row r="2" spans="1:9" ht="30" customHeight="1" thickTop="1">
      <c r="A2" s="3097" t="s">
        <v>1640</v>
      </c>
      <c r="B2" s="3097" t="s">
        <v>1641</v>
      </c>
      <c r="C2" s="3097" t="s">
        <v>1642</v>
      </c>
      <c r="D2" s="3097" t="str">
        <f>结果表!D116</f>
        <v>出让国有建设用地使用权价值</v>
      </c>
      <c r="E2" s="3097"/>
      <c r="F2" s="3097" t="str">
        <f>结果表!F116</f>
        <v>在建建筑物价值</v>
      </c>
      <c r="G2" s="3097"/>
      <c r="H2" s="3097" t="str">
        <f>IF(项目基本情况!B9="房地产市场价值","房地产市场价值","房地产价值")</f>
        <v>房地产价值</v>
      </c>
      <c r="I2" s="3097"/>
    </row>
    <row r="3" spans="1:9" ht="15">
      <c r="A3" s="3098"/>
      <c r="B3" s="3098"/>
      <c r="C3" s="3098"/>
      <c r="D3" s="1041" t="s">
        <v>1637</v>
      </c>
      <c r="E3" s="1041" t="s">
        <v>1643</v>
      </c>
      <c r="F3" s="1041" t="s">
        <v>1637</v>
      </c>
      <c r="G3" s="1041" t="s">
        <v>1638</v>
      </c>
      <c r="H3" s="1041" t="s">
        <v>1637</v>
      </c>
      <c r="I3" s="1041" t="s">
        <v>1638</v>
      </c>
    </row>
    <row r="4" spans="1:9" ht="15">
      <c r="A4" s="1968" t="str">
        <f>项目基本情况!S2</f>
        <v>湖北省武汉市房地产</v>
      </c>
      <c r="B4" s="1041">
        <f>项目基本情况!C17</f>
        <v>14099.390000000001</v>
      </c>
      <c r="C4" s="1041">
        <f>项目基本情况!C18</f>
        <v>1832.22</v>
      </c>
      <c r="D4" s="1041" t="e">
        <f ca="1">结果表!D118</f>
        <v>#REF!</v>
      </c>
      <c r="E4" s="1041" t="e">
        <f ca="1">结果表!E118</f>
        <v>#REF!</v>
      </c>
      <c r="F4" s="1041" t="e">
        <f ca="1">结果表!F118</f>
        <v>#REF!</v>
      </c>
      <c r="G4" s="1041" t="e">
        <f ca="1">结果表!G118</f>
        <v>#REF!</v>
      </c>
      <c r="H4" s="1041">
        <f ca="1">结果表!H118</f>
        <v>2221</v>
      </c>
      <c r="I4" s="1041">
        <f ca="1">结果表!I118</f>
        <v>28093</v>
      </c>
    </row>
    <row r="5" spans="1:9" ht="30" customHeight="1">
      <c r="A5" s="3098" t="s">
        <v>1639</v>
      </c>
      <c r="B5" s="3098"/>
      <c r="C5" s="3098"/>
      <c r="D5" s="3099" t="e">
        <f ca="1">结果表!D119</f>
        <v>#REF!</v>
      </c>
      <c r="E5" s="3099"/>
      <c r="F5" s="3099" t="e">
        <f ca="1">结果表!F119</f>
        <v>#REF!</v>
      </c>
      <c r="G5" s="3099"/>
      <c r="H5" s="3099" t="str">
        <f ca="1">结果表!H119</f>
        <v>贰仟贰佰贰拾壹万元整</v>
      </c>
      <c r="I5" s="3099"/>
    </row>
    <row r="6" spans="1:9" ht="15.75">
      <c r="A6" s="3100" t="str">
        <f>结果表!A120</f>
        <v>估价师知悉的法定优先受偿款</v>
      </c>
      <c r="B6" s="3100"/>
      <c r="C6" s="3100"/>
      <c r="D6" s="3100">
        <f>结果表!D120</f>
        <v>0</v>
      </c>
      <c r="E6" s="3100"/>
      <c r="F6" s="3100"/>
      <c r="G6" s="3100"/>
      <c r="H6" s="3100"/>
      <c r="I6" s="3100"/>
    </row>
    <row r="7" spans="1:9" ht="15">
      <c r="A7" s="3098" t="s">
        <v>1639</v>
      </c>
      <c r="B7" s="3098"/>
      <c r="C7" s="3098"/>
      <c r="D7" s="3101" t="str">
        <f>结果表!D121</f>
        <v>零元整</v>
      </c>
      <c r="E7" s="3102"/>
      <c r="F7" s="3102"/>
      <c r="G7" s="3102"/>
      <c r="H7" s="3102"/>
      <c r="I7" s="3103"/>
    </row>
    <row r="8" spans="1:9" ht="15.75">
      <c r="A8" s="3100" t="str">
        <f>结果表!A122</f>
        <v>房地产抵押价值</v>
      </c>
      <c r="B8" s="3100"/>
      <c r="C8" s="3100"/>
      <c r="D8" s="3100">
        <f ca="1">结果表!D122</f>
        <v>2221</v>
      </c>
      <c r="E8" s="3100"/>
      <c r="F8" s="3100"/>
      <c r="G8" s="3100"/>
      <c r="H8" s="3100"/>
      <c r="I8" s="3100"/>
    </row>
    <row r="9" spans="1:9" ht="15">
      <c r="A9" s="3098" t="s">
        <v>1639</v>
      </c>
      <c r="B9" s="3098"/>
      <c r="C9" s="3098"/>
      <c r="D9" s="3099" t="str">
        <f ca="1">结果表!D123</f>
        <v>贰仟贰佰贰拾壹万元整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1639</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1639</v>
      </c>
      <c r="B13" s="3104"/>
      <c r="C13" s="3104"/>
      <c r="D13" s="3105" t="e">
        <f>结果表!D127</f>
        <v>#VALUE!</v>
      </c>
      <c r="E13" s="3105"/>
      <c r="F13" s="3105"/>
      <c r="G13" s="3105"/>
      <c r="H13" s="3105"/>
      <c r="I13" s="3105"/>
    </row>
    <row r="14" spans="1:9" ht="15" thickTop="1">
      <c r="A14" s="3106" t="s">
        <v>1644</v>
      </c>
      <c r="B14" s="3106"/>
      <c r="C14" s="3106"/>
      <c r="D14" s="3106"/>
      <c r="E14" s="3106"/>
      <c r="F14" s="3106"/>
      <c r="G14" s="3106"/>
      <c r="H14" s="3106"/>
      <c r="I14" s="3106"/>
    </row>
    <row r="16" spans="1:9" ht="18.75">
      <c r="A16" s="1969" t="s">
        <v>1627</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107" t="s">
        <v>1661</v>
      </c>
      <c r="B1" s="3107"/>
      <c r="C1" s="3107"/>
      <c r="D1" s="3107"/>
    </row>
    <row r="2" spans="1:4" ht="18">
      <c r="A2" s="3108" t="s">
        <v>1645</v>
      </c>
      <c r="B2" s="3108"/>
      <c r="C2" s="3108"/>
      <c r="D2" s="3108"/>
    </row>
    <row r="3" spans="1:4" ht="18.75">
      <c r="A3" s="1972" t="s">
        <v>1646</v>
      </c>
      <c r="B3" s="1972" t="s">
        <v>1647</v>
      </c>
      <c r="C3" s="1972" t="s">
        <v>1648</v>
      </c>
      <c r="D3" s="1972" t="s">
        <v>1649</v>
      </c>
    </row>
    <row r="4" spans="1:4" ht="56.25" customHeight="1">
      <c r="A4" s="1973" t="str">
        <f>项目基本情况!B4</f>
        <v>郑燚</v>
      </c>
      <c r="B4" s="1974">
        <f ca="1">项目基本情况!C4</f>
        <v>1120070131</v>
      </c>
      <c r="C4" s="1975"/>
      <c r="D4" s="1976" t="s">
        <v>1650</v>
      </c>
    </row>
    <row r="5" spans="1:4" ht="56.25" customHeight="1">
      <c r="A5" s="1973" t="str">
        <f>项目基本情况!D4</f>
        <v>王萌</v>
      </c>
      <c r="B5" s="1974">
        <f ca="1">项目基本情况!E4</f>
        <v>1120130048</v>
      </c>
      <c r="C5" s="1977"/>
      <c r="D5" s="1976" t="s">
        <v>1650</v>
      </c>
    </row>
    <row r="6" spans="1:4" ht="18">
      <c r="A6" s="3108" t="s">
        <v>1651</v>
      </c>
      <c r="B6" s="3108"/>
      <c r="C6" s="3108"/>
      <c r="D6" s="3108"/>
    </row>
    <row r="7" spans="1:4" ht="18.75">
      <c r="A7" s="1972" t="s">
        <v>1646</v>
      </c>
      <c r="B7" s="1974" t="s">
        <v>1652</v>
      </c>
      <c r="C7" s="1972" t="s">
        <v>1648</v>
      </c>
      <c r="D7" s="1972" t="s">
        <v>1649</v>
      </c>
    </row>
    <row r="8" spans="1:4" ht="56.25" customHeight="1">
      <c r="A8" s="1978" t="s">
        <v>869</v>
      </c>
      <c r="B8" s="1978" t="s">
        <v>1</v>
      </c>
      <c r="C8" s="1975"/>
      <c r="D8" s="1976" t="s">
        <v>1650</v>
      </c>
    </row>
    <row r="9" spans="1:4">
      <c r="A9" s="722"/>
      <c r="B9" s="722"/>
      <c r="C9" s="722"/>
      <c r="D9" s="722"/>
    </row>
    <row r="10" spans="1:4" ht="18.75">
      <c r="A10" s="1979" t="s">
        <v>1653</v>
      </c>
      <c r="B10" s="722"/>
      <c r="C10" s="722"/>
      <c r="D10" s="722"/>
    </row>
    <row r="11" spans="1:4" ht="30" customHeight="1">
      <c r="A11" s="3109" t="s">
        <v>1654</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（1）根据估价对象《房屋所有权证》原件、《国有土地使用权》原件，截至价值时点，估价对象抵押权未见登记。</v>
      </c>
      <c r="B15" s="3110"/>
      <c r="C15" s="3110"/>
      <c r="D15" s="3110"/>
    </row>
    <row r="16" spans="1:4" ht="30" customHeight="1">
      <c r="A16" s="3113" t="s">
        <v>1655</v>
      </c>
      <c r="B16" s="3113"/>
      <c r="C16" s="3113"/>
      <c r="D16" s="3113"/>
    </row>
    <row r="17" spans="1:4" ht="144" customHeight="1">
      <c r="A17" s="3113" t="s">
        <v>1656</v>
      </c>
      <c r="B17" s="3113"/>
      <c r="C17" s="3113"/>
      <c r="D17" s="3113"/>
    </row>
    <row r="18" spans="1:4" ht="15.75" customHeight="1">
      <c r="A18" s="3110" t="str">
        <f>IF(项目基本情况!B8="抵押",结果表!K120,"——")</f>
        <v>故，本次评估不存在估价师知悉的法定优先受偿款</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1657</v>
      </c>
      <c r="B22" s="3115"/>
      <c r="C22" s="3115"/>
      <c r="D22" s="3115"/>
    </row>
    <row r="23" spans="1:4">
      <c r="A23" s="1980"/>
      <c r="B23" s="1952"/>
      <c r="C23" s="1952"/>
      <c r="D23" s="1952"/>
    </row>
    <row r="24" spans="1:4">
      <c r="A24" s="1980"/>
      <c r="B24" s="1952"/>
      <c r="C24" s="1952"/>
      <c r="D24" s="1952"/>
    </row>
    <row r="25" spans="1:4" ht="18.75">
      <c r="A25" s="1981" t="s">
        <v>1658</v>
      </c>
    </row>
    <row r="26" spans="1:4" ht="18">
      <c r="A26" s="1950"/>
    </row>
    <row r="27" spans="1:4" ht="18.75">
      <c r="A27" s="1950" t="s">
        <v>1659</v>
      </c>
    </row>
    <row r="30" spans="1:4" ht="18.75">
      <c r="D30" s="1981" t="s">
        <v>1660</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1662</v>
      </c>
    </row>
    <row r="3" spans="1:7">
      <c r="A3" s="1986" t="s">
        <v>82</v>
      </c>
      <c r="B3" s="1970" t="s">
        <v>1663</v>
      </c>
      <c r="G3" s="1987"/>
    </row>
    <row r="4" spans="1:7">
      <c r="G4" s="1987"/>
    </row>
    <row r="5" spans="1:7">
      <c r="A5" s="1989" t="s">
        <v>73</v>
      </c>
      <c r="B5" s="1970" t="s">
        <v>1664</v>
      </c>
      <c r="G5" s="1987"/>
    </row>
    <row r="6" spans="1:7">
      <c r="G6" s="1987"/>
    </row>
    <row r="7" spans="1:7">
      <c r="A7" s="1990" t="s">
        <v>135</v>
      </c>
      <c r="B7" s="1970" t="s">
        <v>1665</v>
      </c>
      <c r="G7" s="1987"/>
    </row>
    <row r="8" spans="1:7">
      <c r="G8" s="1987"/>
    </row>
    <row r="9" spans="1:7">
      <c r="A9" s="1991" t="s">
        <v>74</v>
      </c>
      <c r="B9" s="1970" t="s">
        <v>1666</v>
      </c>
    </row>
    <row r="11" spans="1:7">
      <c r="A11" s="1992" t="s">
        <v>75</v>
      </c>
      <c r="B11" s="1993" t="s">
        <v>72</v>
      </c>
    </row>
    <row r="13" spans="1:7">
      <c r="A13" s="1994" t="s">
        <v>1667</v>
      </c>
    </row>
    <row r="15" spans="1:7" ht="13.5">
      <c r="A15" s="3121" t="s">
        <v>1668</v>
      </c>
      <c r="B15" s="3116" t="s">
        <v>136</v>
      </c>
      <c r="C15" s="3117"/>
    </row>
    <row r="16" spans="1:7" ht="13.5">
      <c r="A16" s="3122"/>
      <c r="B16" s="3116" t="s">
        <v>69</v>
      </c>
      <c r="C16" s="3117"/>
    </row>
    <row r="17" spans="1:3" ht="13.5">
      <c r="A17" s="3122"/>
      <c r="B17" s="3119" t="s">
        <v>1669</v>
      </c>
      <c r="C17" s="1995" t="s">
        <v>1668</v>
      </c>
    </row>
    <row r="18" spans="1:3" ht="13.5">
      <c r="A18" s="3122"/>
      <c r="B18" s="3119"/>
      <c r="C18" s="1995" t="s">
        <v>1670</v>
      </c>
    </row>
    <row r="19" spans="1:3" ht="13.5">
      <c r="A19" s="3122"/>
      <c r="B19" s="3119"/>
      <c r="C19" s="1995" t="s">
        <v>1671</v>
      </c>
    </row>
    <row r="20" spans="1:3" ht="13.5">
      <c r="A20" s="3123"/>
      <c r="B20" s="3118" t="s">
        <v>1672</v>
      </c>
      <c r="C20" s="3117"/>
    </row>
    <row r="21" spans="1:3" ht="13.5">
      <c r="A21" s="1996" t="s">
        <v>1673</v>
      </c>
      <c r="B21" s="1997"/>
      <c r="C21" s="1998"/>
    </row>
    <row r="22" spans="1:3" ht="13.5">
      <c r="A22" s="3120" t="s">
        <v>1674</v>
      </c>
      <c r="B22" s="3118" t="s">
        <v>1675</v>
      </c>
      <c r="C22" s="3117"/>
    </row>
    <row r="23" spans="1:3" ht="13.5">
      <c r="A23" s="3120"/>
      <c r="B23" s="3118" t="s">
        <v>1676</v>
      </c>
      <c r="C23" s="3117"/>
    </row>
    <row r="24" spans="1:3" ht="13.5">
      <c r="A24" s="3120"/>
      <c r="B24" s="3118" t="s">
        <v>1677</v>
      </c>
      <c r="C24" s="3117"/>
    </row>
    <row r="25" spans="1:3" ht="13.5">
      <c r="A25" s="3120"/>
      <c r="B25" s="3119" t="s">
        <v>1678</v>
      </c>
      <c r="C25" s="1995" t="s">
        <v>1679</v>
      </c>
    </row>
    <row r="26" spans="1:3" ht="13.5">
      <c r="A26" s="3120"/>
      <c r="B26" s="3119"/>
      <c r="C26" s="1995" t="s">
        <v>1680</v>
      </c>
    </row>
    <row r="27" spans="1:3" ht="13.5">
      <c r="A27" s="3120"/>
      <c r="B27" s="3119"/>
      <c r="C27" s="1995" t="s">
        <v>1681</v>
      </c>
    </row>
    <row r="28" spans="1:3" ht="13.5">
      <c r="A28" s="3120"/>
      <c r="B28" s="3119"/>
      <c r="C28" s="1995" t="s">
        <v>1682</v>
      </c>
    </row>
    <row r="29" spans="1:3" ht="13.5">
      <c r="A29" s="3120"/>
      <c r="B29" s="3119"/>
      <c r="C29" s="1995" t="s">
        <v>1683</v>
      </c>
    </row>
    <row r="30" spans="1:3" ht="13.5">
      <c r="A30" s="3120"/>
      <c r="B30" s="3119"/>
      <c r="C30" s="1995" t="s">
        <v>1684</v>
      </c>
    </row>
    <row r="31" spans="1:3" ht="13.5">
      <c r="A31" s="3120"/>
      <c r="B31" s="3119"/>
      <c r="C31" s="1995" t="s">
        <v>1685</v>
      </c>
    </row>
    <row r="32" spans="1:3" ht="13.5">
      <c r="A32" s="3120"/>
      <c r="B32" s="3119"/>
      <c r="C32" s="1995" t="s">
        <v>1686</v>
      </c>
    </row>
    <row r="33" spans="1:3" ht="13.5">
      <c r="A33" s="3120"/>
      <c r="B33" s="3119"/>
      <c r="C33" s="1995" t="s">
        <v>1687</v>
      </c>
    </row>
    <row r="34" spans="1:3">
      <c r="A34" s="1999" t="s">
        <v>76</v>
      </c>
    </row>
    <row r="37" spans="1:3">
      <c r="A37" s="1999" t="s">
        <v>1688</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43249</v>
      </c>
      <c r="C2" s="1016" t="s">
        <v>826</v>
      </c>
      <c r="D2" s="1016"/>
    </row>
    <row r="3" spans="1:6" ht="24" customHeight="1">
      <c r="A3" s="1017" t="s">
        <v>827</v>
      </c>
      <c r="B3" s="1018" t="s">
        <v>828</v>
      </c>
      <c r="C3" s="2337" t="s">
        <v>829</v>
      </c>
      <c r="D3" s="2340" t="s">
        <v>830</v>
      </c>
      <c r="E3" s="1019" t="s">
        <v>831</v>
      </c>
      <c r="F3" s="1018" t="s">
        <v>829</v>
      </c>
    </row>
    <row r="4" spans="1:6" ht="24" customHeight="1">
      <c r="A4" s="1697" t="s">
        <v>832</v>
      </c>
      <c r="B4" s="1019">
        <f ca="1">IF(C4&lt;B2,"已过期",1119970066)</f>
        <v>1119970066</v>
      </c>
      <c r="C4" s="2338">
        <v>43849</v>
      </c>
      <c r="D4" s="2341" t="s">
        <v>832</v>
      </c>
      <c r="E4" s="1019">
        <f ca="1">IF(F4&lt;B2,"已过期",96010014)</f>
        <v>96010014</v>
      </c>
      <c r="F4" s="1027">
        <v>47118</v>
      </c>
    </row>
    <row r="5" spans="1:6" ht="24" customHeight="1">
      <c r="A5" s="1697" t="s">
        <v>833</v>
      </c>
      <c r="B5" s="1019">
        <f ca="1">IF(C5&lt;B2,"已过期",1119970074)</f>
        <v>1119970074</v>
      </c>
      <c r="C5" s="2338">
        <v>43849</v>
      </c>
      <c r="D5" s="2341" t="s">
        <v>833</v>
      </c>
      <c r="E5" s="1019">
        <f ca="1">IF(F5&lt;B2,"已过期",2002110027)</f>
        <v>2002110027</v>
      </c>
      <c r="F5" s="1027">
        <v>46752</v>
      </c>
    </row>
    <row r="6" spans="1:6" ht="24" customHeight="1">
      <c r="A6" s="1697" t="s">
        <v>834</v>
      </c>
      <c r="B6" s="1019">
        <f ca="1">IF(C6&lt;B2,"已过期",1119970111)</f>
        <v>1119970111</v>
      </c>
      <c r="C6" s="2338">
        <v>43849</v>
      </c>
      <c r="D6" s="2341" t="s">
        <v>834</v>
      </c>
      <c r="E6" s="1019">
        <f ca="1">IF(F6&lt;B2,"已过期",94010078)</f>
        <v>94010078</v>
      </c>
      <c r="F6" s="1027">
        <v>46387</v>
      </c>
    </row>
    <row r="7" spans="1:6" ht="24" customHeight="1">
      <c r="A7" s="1697" t="s">
        <v>835</v>
      </c>
      <c r="B7" s="1019">
        <f ca="1">IF(C7&lt;B2,"已过期",1120050019)</f>
        <v>1120050019</v>
      </c>
      <c r="C7" s="2338">
        <v>43359</v>
      </c>
      <c r="D7" s="2341" t="s">
        <v>835</v>
      </c>
      <c r="E7" s="1019">
        <f ca="1">IF(F7&lt;B2,"已过期",2002110030)</f>
        <v>2002110030</v>
      </c>
      <c r="F7" s="1027">
        <v>46387</v>
      </c>
    </row>
    <row r="8" spans="1:6" ht="24" customHeight="1">
      <c r="A8" s="1697" t="s">
        <v>836</v>
      </c>
      <c r="B8" s="1019">
        <f ca="1">IF(C8&lt;B2,"已过期",1120000080)</f>
        <v>1120000080</v>
      </c>
      <c r="C8" s="2338">
        <v>43849</v>
      </c>
      <c r="D8" s="2341" t="s">
        <v>836</v>
      </c>
      <c r="E8" s="1019">
        <f ca="1">IF(F8&lt;B2,"已过期",2000110082)</f>
        <v>2000110082</v>
      </c>
      <c r="F8" s="1027">
        <v>46387</v>
      </c>
    </row>
    <row r="9" spans="1:6" ht="24" customHeight="1">
      <c r="A9" s="1697" t="s">
        <v>837</v>
      </c>
      <c r="B9" s="1019">
        <f ca="1">IF(C9&lt;B2,"已过期",1419970001)</f>
        <v>1419970001</v>
      </c>
      <c r="C9" s="2338">
        <v>43867</v>
      </c>
      <c r="D9" s="2341" t="s">
        <v>837</v>
      </c>
      <c r="E9" s="1019">
        <f ca="1">IF(F9&lt;B2,"已过期",2002110125)</f>
        <v>2002110125</v>
      </c>
      <c r="F9" s="1027">
        <v>47118</v>
      </c>
    </row>
    <row r="10" spans="1:6" ht="24" customHeight="1">
      <c r="A10" s="1697" t="s">
        <v>838</v>
      </c>
      <c r="B10" s="1019">
        <f ca="1">IF(C10&lt;B2,"已过期",1120060040)</f>
        <v>1120060040</v>
      </c>
      <c r="C10" s="2338">
        <v>43483</v>
      </c>
      <c r="D10" s="2341" t="s">
        <v>838</v>
      </c>
      <c r="E10" s="1019">
        <f ca="1">IF(F10&lt;B2,"已过期",2004110096)</f>
        <v>2004110096</v>
      </c>
      <c r="F10" s="1027">
        <v>47118</v>
      </c>
    </row>
    <row r="11" spans="1:6" ht="24" customHeight="1">
      <c r="A11" s="1697" t="s">
        <v>839</v>
      </c>
      <c r="B11" s="1019">
        <f ca="1">IF(C11&lt;B2,"已过期",1120100036)</f>
        <v>1120100036</v>
      </c>
      <c r="C11" s="2338">
        <v>43622</v>
      </c>
      <c r="D11" s="2341" t="s">
        <v>839</v>
      </c>
      <c r="E11" s="1019">
        <f ca="1">IF(F11&lt;B2,"已过期",2010110070)</f>
        <v>2010110070</v>
      </c>
      <c r="F11" s="1027">
        <v>47907</v>
      </c>
    </row>
    <row r="12" spans="1:6" ht="24" customHeight="1">
      <c r="A12" s="1697"/>
      <c r="B12" s="1019"/>
      <c r="C12" s="2338"/>
      <c r="D12" s="2341"/>
      <c r="E12" s="1019"/>
      <c r="F12" s="1019"/>
    </row>
    <row r="13" spans="1:6" ht="24" customHeight="1">
      <c r="A13" s="1697" t="s">
        <v>840</v>
      </c>
      <c r="B13" s="1019">
        <f ca="1">IF(C13&lt;B2,"已过期",1120070131)</f>
        <v>1120070131</v>
      </c>
      <c r="C13" s="2338">
        <v>43814</v>
      </c>
      <c r="D13" s="2341" t="s">
        <v>840</v>
      </c>
      <c r="E13" s="1019">
        <v>2014110011</v>
      </c>
      <c r="F13" s="1027">
        <v>49302</v>
      </c>
    </row>
    <row r="14" spans="1:6" ht="24" customHeight="1">
      <c r="A14" s="1697" t="s">
        <v>841</v>
      </c>
      <c r="B14" s="1019">
        <f ca="1">IF(C14&lt;B2,"已过期",1120130020)</f>
        <v>1120130020</v>
      </c>
      <c r="C14" s="2338">
        <v>43622</v>
      </c>
      <c r="D14" s="2341"/>
      <c r="E14" s="1019"/>
      <c r="F14" s="1019"/>
    </row>
    <row r="15" spans="1:6" ht="24" customHeight="1">
      <c r="A15" s="1698" t="s">
        <v>1149</v>
      </c>
      <c r="B15" s="1019">
        <v>1120070085</v>
      </c>
      <c r="C15" s="2338">
        <v>43814</v>
      </c>
      <c r="D15" s="2342" t="s">
        <v>1149</v>
      </c>
      <c r="E15" s="1019">
        <v>2004110128</v>
      </c>
      <c r="F15" s="1020">
        <v>47118</v>
      </c>
    </row>
    <row r="16" spans="1:6" ht="24" customHeight="1">
      <c r="A16" s="1697" t="s">
        <v>842</v>
      </c>
      <c r="B16" s="1019">
        <f ca="1">IF(C16&lt;B2,"已过期",1120140022)</f>
        <v>1120140022</v>
      </c>
      <c r="C16" s="2338">
        <v>44029</v>
      </c>
      <c r="D16" s="2341" t="s">
        <v>842</v>
      </c>
      <c r="E16" s="1019">
        <f ca="1">IF(F16&lt;B2,"已过期",2008110059)</f>
        <v>2008110059</v>
      </c>
      <c r="F16" s="1027">
        <v>47177</v>
      </c>
    </row>
    <row r="17" spans="1:7" ht="24" customHeight="1">
      <c r="A17" s="1697"/>
      <c r="B17" s="1019"/>
      <c r="C17" s="2338"/>
      <c r="D17" s="2341"/>
      <c r="E17" s="1019"/>
      <c r="F17" s="1027"/>
    </row>
    <row r="18" spans="1:7" ht="24" customHeight="1">
      <c r="A18" s="1697"/>
      <c r="B18" s="1019"/>
      <c r="C18" s="2338"/>
      <c r="D18" s="2341"/>
      <c r="E18" s="1019"/>
      <c r="F18" s="1027"/>
    </row>
    <row r="19" spans="1:7" ht="24" customHeight="1">
      <c r="A19" s="1697"/>
      <c r="B19" s="1019"/>
      <c r="C19" s="2338"/>
      <c r="D19" s="2341"/>
      <c r="E19" s="1019"/>
      <c r="F19" s="1019"/>
    </row>
    <row r="20" spans="1:7" ht="24" customHeight="1">
      <c r="A20" s="1697"/>
      <c r="B20" s="1019"/>
      <c r="C20" s="2338"/>
      <c r="D20" s="2341"/>
      <c r="E20" s="1019"/>
      <c r="F20" s="1019"/>
    </row>
    <row r="21" spans="1:7" ht="24" customHeight="1">
      <c r="A21" s="1697"/>
      <c r="B21" s="1019"/>
      <c r="C21" s="2338"/>
      <c r="D21" s="2341" t="s">
        <v>843</v>
      </c>
      <c r="E21" s="1019">
        <f ca="1">IF(F21&lt;B2,"已过期",2011110090)</f>
        <v>2011110090</v>
      </c>
      <c r="F21" s="1027">
        <v>48302</v>
      </c>
    </row>
    <row r="22" spans="1:7" ht="24" customHeight="1">
      <c r="A22" s="1697" t="s">
        <v>844</v>
      </c>
      <c r="B22" s="1019">
        <f ca="1">IF(C22&lt;B2,"已过期",1120020033)</f>
        <v>1120020033</v>
      </c>
      <c r="C22" s="2338">
        <v>43304</v>
      </c>
      <c r="D22" s="2341" t="s">
        <v>844</v>
      </c>
      <c r="E22" s="1019">
        <f ca="1">IF(F22&lt;B2,"已过期",2000110137)</f>
        <v>2000110137</v>
      </c>
      <c r="F22" s="1027">
        <v>46387</v>
      </c>
    </row>
    <row r="23" spans="1:7" ht="24" customHeight="1">
      <c r="A23" s="1697" t="s">
        <v>845</v>
      </c>
      <c r="B23" s="1019">
        <f ca="1">IF(C23&lt;B2,"已过期",1120130048)</f>
        <v>1120130048</v>
      </c>
      <c r="C23" s="2338">
        <v>43686</v>
      </c>
      <c r="D23" s="2341"/>
      <c r="E23" s="1019"/>
      <c r="F23" s="1019"/>
    </row>
    <row r="24" spans="1:7" s="1021" customFormat="1" ht="24" customHeight="1">
      <c r="A24" s="1698" t="s">
        <v>1333</v>
      </c>
      <c r="B24" s="1698" t="s">
        <v>1333</v>
      </c>
      <c r="C24" s="2339" t="s">
        <v>1333</v>
      </c>
      <c r="D24" s="2342" t="s">
        <v>1333</v>
      </c>
      <c r="E24" s="1698" t="s">
        <v>1333</v>
      </c>
      <c r="F24" s="1698" t="s">
        <v>1333</v>
      </c>
    </row>
    <row r="25" spans="1:7" ht="24" customHeight="1">
      <c r="A25" s="3124" t="s">
        <v>846</v>
      </c>
      <c r="B25" s="3124"/>
      <c r="C25" s="3124"/>
      <c r="D25" s="3124"/>
      <c r="E25" s="3124"/>
      <c r="F25" s="3124"/>
      <c r="G25" s="3124"/>
    </row>
    <row r="26" spans="1:7" s="1022" customFormat="1" ht="24" customHeight="1">
      <c r="A26" s="3125" t="s">
        <v>847</v>
      </c>
      <c r="B26" s="3125"/>
      <c r="C26" s="3126"/>
      <c r="D26" s="3127" t="s">
        <v>848</v>
      </c>
      <c r="E26" s="3125"/>
      <c r="F26" s="3125"/>
    </row>
    <row r="27" spans="1:7" s="1024" customFormat="1" ht="24" customHeight="1">
      <c r="A27" s="1023" t="s">
        <v>849</v>
      </c>
      <c r="B27" s="1018" t="s">
        <v>850</v>
      </c>
      <c r="C27" s="2337" t="s">
        <v>851</v>
      </c>
      <c r="D27" s="2345" t="s">
        <v>849</v>
      </c>
      <c r="E27" s="1018" t="s">
        <v>850</v>
      </c>
      <c r="F27" s="1018" t="s">
        <v>851</v>
      </c>
    </row>
    <row r="28" spans="1:7" s="1024" customFormat="1" ht="24" customHeight="1">
      <c r="A28" s="1025" t="s">
        <v>852</v>
      </c>
      <c r="B28" s="1026" t="s">
        <v>853</v>
      </c>
      <c r="C28" s="2343">
        <v>43725</v>
      </c>
      <c r="D28" s="2346" t="s">
        <v>854</v>
      </c>
      <c r="E28" s="1025" t="s">
        <v>855</v>
      </c>
      <c r="F28" s="1055">
        <v>44377</v>
      </c>
    </row>
    <row r="29" spans="1:7" s="1024" customFormat="1" ht="24" customHeight="1">
      <c r="A29" s="1025"/>
      <c r="B29" s="1025"/>
      <c r="C29" s="2344"/>
      <c r="D29" s="2346"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2018-05-29T07:15:11Z</dcterms:modified>
</cp:coreProperties>
</file>