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120" windowWidth="11805" windowHeight="10905" tabRatio="885" firstSheet="9" activeTab="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商业" sheetId="33" r:id="rId19"/>
    <sheet name="收益法" sheetId="15" r:id="rId20"/>
    <sheet name="收益法-酒店模型" sheetId="63" state="hidden" r:id="rId21"/>
    <sheet name="典型户型修正" sheetId="31"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8"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8">'比较法-商业'!$A$1:$K$54,'比较法-商业'!$A$57:$M$131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62" l="1"/>
  <c r="E47" i="33" l="1"/>
  <c r="I33" i="33"/>
  <c r="G33" i="33"/>
  <c r="E33" i="33"/>
  <c r="E20" i="1"/>
  <c r="H20" i="1"/>
  <c r="E13" i="1"/>
  <c r="C12" i="4"/>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A14" i="55" l="1"/>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c r="E23" i="59" s="1"/>
  <c r="E22" i="59"/>
  <c r="E21" i="59" s="1"/>
  <c r="E20" i="59" s="1"/>
  <c r="E19" i="59" s="1"/>
  <c r="E18" i="59" s="1"/>
  <c r="E17" i="59" s="1"/>
  <c r="F25" i="59"/>
  <c r="C25" i="59"/>
  <c r="C24" i="59" s="1"/>
  <c r="T25" i="59"/>
  <c r="A2" i="50"/>
  <c r="B16" i="60" s="1"/>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Y38" i="59"/>
  <c r="Z38" i="59" s="1"/>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E81" i="59"/>
  <c r="U81" i="59" s="1"/>
  <c r="C81" i="59"/>
  <c r="T81" i="59" s="1"/>
  <c r="B81" i="59"/>
  <c r="Q80" i="59"/>
  <c r="P80" i="59"/>
  <c r="O80" i="59"/>
  <c r="N80"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s="1"/>
  <c r="B76" i="59"/>
  <c r="B75" i="59" s="1"/>
  <c r="Q75" i="59"/>
  <c r="P75" i="59"/>
  <c r="O75" i="59"/>
  <c r="N75" i="59"/>
  <c r="Q74" i="59"/>
  <c r="P74" i="59"/>
  <c r="O74" i="59"/>
  <c r="N74" i="59"/>
  <c r="D74" i="59"/>
  <c r="Q73" i="59"/>
  <c r="P73" i="59"/>
  <c r="O73" i="59"/>
  <c r="N73" i="59"/>
  <c r="F73" i="59"/>
  <c r="E73" i="59"/>
  <c r="C73" i="59"/>
  <c r="B73" i="59"/>
  <c r="Q72" i="59"/>
  <c r="P72" i="59"/>
  <c r="O72" i="59"/>
  <c r="N72" i="59"/>
  <c r="Q71" i="59"/>
  <c r="P71" i="59"/>
  <c r="O71" i="59"/>
  <c r="N71" i="59"/>
  <c r="Q70" i="59"/>
  <c r="P70" i="59"/>
  <c r="O70" i="59"/>
  <c r="N70" i="59"/>
  <c r="D70" i="59"/>
  <c r="F69" i="59"/>
  <c r="E69" i="59"/>
  <c r="E68" i="59" s="1"/>
  <c r="E67" i="59" s="1"/>
  <c r="P67" i="59" s="1"/>
  <c r="C69" i="59"/>
  <c r="B69" i="59"/>
  <c r="B68" i="59"/>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s="1"/>
  <c r="B65" i="59" s="1"/>
  <c r="S65" i="59" s="1"/>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c r="D51" i="59" s="1"/>
  <c r="N50" i="59"/>
  <c r="B51" i="59"/>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c r="C48" i="59" s="1"/>
  <c r="D48" i="59" s="1"/>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C44" i="59" s="1"/>
  <c r="N42" i="59"/>
  <c r="B43" i="59"/>
  <c r="B44" i="59" s="1"/>
  <c r="B45" i="59" s="1"/>
  <c r="S45" i="59" s="1"/>
  <c r="D42" i="59"/>
  <c r="Q41" i="59"/>
  <c r="P41" i="59"/>
  <c r="O41" i="59"/>
  <c r="N41" i="59"/>
  <c r="Q40" i="59"/>
  <c r="P40" i="59"/>
  <c r="AA40" i="59"/>
  <c r="O40" i="59"/>
  <c r="Y40" i="59"/>
  <c r="Z40" i="59" s="1"/>
  <c r="N40" i="59"/>
  <c r="Q39" i="59"/>
  <c r="P39" i="59"/>
  <c r="AA39" i="59" s="1"/>
  <c r="O39" i="59"/>
  <c r="Y39" i="59" s="1"/>
  <c r="Z39" i="59" s="1"/>
  <c r="N39" i="59"/>
  <c r="Q38" i="59"/>
  <c r="P38" i="59"/>
  <c r="O38" i="59"/>
  <c r="C39" i="59"/>
  <c r="N38" i="59"/>
  <c r="B39" i="59"/>
  <c r="B40" i="59" s="1"/>
  <c r="B41" i="59"/>
  <c r="S41" i="59" s="1"/>
  <c r="D38" i="59"/>
  <c r="Q37" i="59"/>
  <c r="AB37" i="59" s="1"/>
  <c r="P37" i="59"/>
  <c r="AA37" i="59" s="1"/>
  <c r="O37" i="59"/>
  <c r="Y37" i="59" s="1"/>
  <c r="Z37" i="59" s="1"/>
  <c r="N37" i="59"/>
  <c r="Q36" i="59"/>
  <c r="AB36" i="59" s="1"/>
  <c r="P36" i="59"/>
  <c r="AA36" i="59" s="1"/>
  <c r="O36" i="59"/>
  <c r="Y36" i="59" s="1"/>
  <c r="Z36" i="59" s="1"/>
  <c r="N36" i="59"/>
  <c r="Q35" i="59"/>
  <c r="AB35" i="59" s="1"/>
  <c r="P35" i="59"/>
  <c r="AA35" i="59" s="1"/>
  <c r="O35" i="59"/>
  <c r="Y35" i="59" s="1"/>
  <c r="Z35" i="59" s="1"/>
  <c r="N35" i="59"/>
  <c r="X35" i="59" s="1"/>
  <c r="Q34" i="59"/>
  <c r="AB34" i="59" s="1"/>
  <c r="P34" i="59"/>
  <c r="AA34" i="59" s="1"/>
  <c r="E35" i="59"/>
  <c r="E36" i="59" s="1"/>
  <c r="E37" i="59" s="1"/>
  <c r="U37" i="59" s="1"/>
  <c r="O34" i="59"/>
  <c r="Y34" i="59" s="1"/>
  <c r="Z34" i="59" s="1"/>
  <c r="N34" i="59"/>
  <c r="X34" i="59" s="1"/>
  <c r="D34" i="59"/>
  <c r="Q33" i="59"/>
  <c r="AB33" i="59" s="1"/>
  <c r="P33" i="59"/>
  <c r="AA33" i="59" s="1"/>
  <c r="O33" i="59"/>
  <c r="Y33" i="59" s="1"/>
  <c r="Z33" i="59" s="1"/>
  <c r="N33" i="59"/>
  <c r="Q32" i="59"/>
  <c r="AB32" i="59" s="1"/>
  <c r="P32" i="59"/>
  <c r="AA32" i="59" s="1"/>
  <c r="O32" i="59"/>
  <c r="Y32" i="59" s="1"/>
  <c r="Z32" i="59" s="1"/>
  <c r="N32" i="59"/>
  <c r="Q31" i="59"/>
  <c r="AB31" i="59" s="1"/>
  <c r="P31" i="59"/>
  <c r="AA31" i="59" s="1"/>
  <c r="O31" i="59"/>
  <c r="Y31" i="59" s="1"/>
  <c r="Z31" i="59" s="1"/>
  <c r="N31" i="59"/>
  <c r="X31" i="59" s="1"/>
  <c r="Q30" i="59"/>
  <c r="AB30" i="59" s="1"/>
  <c r="P30" i="59"/>
  <c r="AA30" i="59" s="1"/>
  <c r="E31" i="59"/>
  <c r="E32" i="59" s="1"/>
  <c r="E33" i="59" s="1"/>
  <c r="U33" i="59" s="1"/>
  <c r="O30" i="59"/>
  <c r="C31" i="59" s="1"/>
  <c r="N30" i="59"/>
  <c r="X30" i="59" s="1"/>
  <c r="D30" i="59"/>
  <c r="O29" i="59"/>
  <c r="N29" i="59"/>
  <c r="C29" i="59"/>
  <c r="T29" i="59" s="1"/>
  <c r="Y26" i="59"/>
  <c r="Z26" i="59" s="1"/>
  <c r="Y27" i="59"/>
  <c r="Z27" i="59" s="1"/>
  <c r="Y29" i="59"/>
  <c r="Z29" i="59" s="1"/>
  <c r="Y28" i="59"/>
  <c r="Z28" i="59" s="1"/>
  <c r="B29" i="59"/>
  <c r="B28" i="59" s="1"/>
  <c r="B27" i="59" s="1"/>
  <c r="X28" i="59"/>
  <c r="X27" i="59"/>
  <c r="C40" i="59"/>
  <c r="D39" i="59"/>
  <c r="D43" i="59"/>
  <c r="C52" i="59"/>
  <c r="C53" i="59" s="1"/>
  <c r="P29" i="59"/>
  <c r="AA27" i="59" s="1"/>
  <c r="E56" i="59"/>
  <c r="E57" i="59"/>
  <c r="U57" i="59" s="1"/>
  <c r="E64" i="59"/>
  <c r="E65" i="59"/>
  <c r="U65" i="59" s="1"/>
  <c r="U73" i="59"/>
  <c r="E72" i="59"/>
  <c r="E71" i="59"/>
  <c r="Q29" i="59"/>
  <c r="C60" i="59"/>
  <c r="D60" i="59" s="1"/>
  <c r="D59" i="59"/>
  <c r="N68" i="59"/>
  <c r="B67" i="59"/>
  <c r="T69" i="59"/>
  <c r="O69" i="59"/>
  <c r="D69" i="59"/>
  <c r="C68" i="59"/>
  <c r="C67" i="59" s="1"/>
  <c r="T73" i="59"/>
  <c r="D73" i="59"/>
  <c r="C72" i="59"/>
  <c r="Q69" i="59"/>
  <c r="C76" i="59"/>
  <c r="E76" i="59"/>
  <c r="E75" i="59" s="1"/>
  <c r="D77" i="59"/>
  <c r="E80" i="59"/>
  <c r="E79" i="59" s="1"/>
  <c r="D81" i="59"/>
  <c r="C84" i="59"/>
  <c r="C88" i="59"/>
  <c r="D88" i="59" s="1"/>
  <c r="F29" i="59"/>
  <c r="AB26" i="59"/>
  <c r="AB28" i="59"/>
  <c r="E29" i="59"/>
  <c r="E28" i="59" s="1"/>
  <c r="E27" i="59" s="1"/>
  <c r="AA28" i="59"/>
  <c r="AA3" i="59"/>
  <c r="C28" i="59"/>
  <c r="C27" i="59" s="1"/>
  <c r="D27" i="59" s="1"/>
  <c r="D84" i="59"/>
  <c r="C83" i="59"/>
  <c r="D83" i="59"/>
  <c r="D76" i="59"/>
  <c r="C75" i="59"/>
  <c r="D75" i="59" s="1"/>
  <c r="C71" i="59"/>
  <c r="D71" i="59" s="1"/>
  <c r="D72" i="59"/>
  <c r="D52" i="59"/>
  <c r="C87" i="59"/>
  <c r="D87" i="59" s="1"/>
  <c r="O68" i="59"/>
  <c r="C61" i="59"/>
  <c r="D61" i="59" s="1"/>
  <c r="N66" i="59"/>
  <c r="N67" i="59"/>
  <c r="C41" i="59"/>
  <c r="D41" i="59" s="1"/>
  <c r="D40" i="59"/>
  <c r="D28" i="59"/>
  <c r="F28" i="59"/>
  <c r="F27" i="59" s="1"/>
  <c r="V29" i="59"/>
  <c r="T41" i="59"/>
  <c r="T61" i="59"/>
  <c r="Q25" i="40"/>
  <c r="Z25" i="40" s="1"/>
  <c r="D93" i="40"/>
  <c r="E93" i="40" s="1"/>
  <c r="F93" i="40" s="1"/>
  <c r="G93" i="40" s="1"/>
  <c r="H25" i="40"/>
  <c r="U25" i="40" s="1"/>
  <c r="F25" i="40"/>
  <c r="AA25" i="40" s="1"/>
  <c r="Q27" i="39"/>
  <c r="Z27" i="39" s="1"/>
  <c r="D100" i="39"/>
  <c r="E100" i="39" s="1"/>
  <c r="F100" i="39" s="1"/>
  <c r="G100"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75" i="43" s="1"/>
  <c r="AB25" i="40"/>
  <c r="S18" i="36"/>
  <c r="W18" i="35"/>
  <c r="U18" i="35"/>
  <c r="S18" i="35"/>
  <c r="U21" i="37"/>
  <c r="S21" i="37"/>
  <c r="S21" i="34"/>
  <c r="U21" i="33"/>
  <c r="S21" i="33"/>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H103"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B103" i="57" s="1"/>
  <c r="D17" i="57"/>
  <c r="C17" i="57"/>
  <c r="M4" i="57"/>
  <c r="L4" i="57"/>
  <c r="B32" i="9"/>
  <c r="C23" i="31"/>
  <c r="C2" i="36"/>
  <c r="F2" i="36" s="1"/>
  <c r="C2" i="35"/>
  <c r="F2" i="35" s="1"/>
  <c r="C2" i="37"/>
  <c r="F2" i="37" s="1"/>
  <c r="C2" i="34"/>
  <c r="F2" i="34" s="1"/>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S37" i="31" s="1"/>
  <c r="R38" i="31"/>
  <c r="R39" i="31"/>
  <c r="T39" i="31" s="1"/>
  <c r="R40" i="31"/>
  <c r="R41" i="31"/>
  <c r="S41" i="31" s="1"/>
  <c r="R42" i="31"/>
  <c r="R43" i="31"/>
  <c r="R44" i="31"/>
  <c r="R45" i="31"/>
  <c r="S45" i="31" s="1"/>
  <c r="R46" i="31"/>
  <c r="R47" i="31"/>
  <c r="T47" i="31" s="1"/>
  <c r="R48" i="31"/>
  <c r="R49" i="31"/>
  <c r="S49" i="31" s="1"/>
  <c r="R50" i="31"/>
  <c r="R51" i="31"/>
  <c r="T51" i="31" s="1"/>
  <c r="R52" i="31"/>
  <c r="R53" i="31"/>
  <c r="S53" i="31" s="1"/>
  <c r="R54" i="31"/>
  <c r="R55" i="31"/>
  <c r="T55" i="31" s="1"/>
  <c r="R56" i="31"/>
  <c r="R57" i="31"/>
  <c r="S57" i="31" s="1"/>
  <c r="R58" i="31"/>
  <c r="T58" i="31" s="1"/>
  <c r="R59" i="31"/>
  <c r="S59" i="31" s="1"/>
  <c r="R60" i="31"/>
  <c r="T60" i="31" s="1"/>
  <c r="R61" i="31"/>
  <c r="S61" i="31" s="1"/>
  <c r="R62" i="31"/>
  <c r="T62" i="31" s="1"/>
  <c r="R63" i="31"/>
  <c r="S63" i="31" s="1"/>
  <c r="R64" i="31"/>
  <c r="T64" i="31" s="1"/>
  <c r="R65" i="31"/>
  <c r="S65" i="31" s="1"/>
  <c r="R66" i="31"/>
  <c r="T66" i="31" s="1"/>
  <c r="R67" i="31"/>
  <c r="S67" i="31" s="1"/>
  <c r="R68" i="31"/>
  <c r="T68" i="31" s="1"/>
  <c r="R69" i="31"/>
  <c r="S69" i="31" s="1"/>
  <c r="R70" i="31"/>
  <c r="T70" i="31" s="1"/>
  <c r="R71" i="31"/>
  <c r="S71" i="31" s="1"/>
  <c r="R72" i="31"/>
  <c r="T72" i="31" s="1"/>
  <c r="R73" i="31"/>
  <c r="S73" i="31" s="1"/>
  <c r="R74" i="31"/>
  <c r="T74" i="31" s="1"/>
  <c r="R75" i="31"/>
  <c r="S75" i="31" s="1"/>
  <c r="R76" i="31"/>
  <c r="R77" i="31"/>
  <c r="T77" i="31" s="1"/>
  <c r="R78" i="31"/>
  <c r="R79" i="31"/>
  <c r="S79" i="31" s="1"/>
  <c r="R80" i="31"/>
  <c r="R81" i="31"/>
  <c r="R82" i="31"/>
  <c r="T82" i="31" s="1"/>
  <c r="R83" i="31"/>
  <c r="T83" i="31" s="1"/>
  <c r="R84" i="31"/>
  <c r="T84" i="31" s="1"/>
  <c r="R85" i="31"/>
  <c r="T85" i="31" s="1"/>
  <c r="R86" i="31"/>
  <c r="T86" i="31" s="1"/>
  <c r="R87" i="31"/>
  <c r="T87" i="31" s="1"/>
  <c r="R88" i="31"/>
  <c r="T88" i="31" s="1"/>
  <c r="R89" i="31"/>
  <c r="R90" i="31"/>
  <c r="T90" i="31" s="1"/>
  <c r="R91" i="31"/>
  <c r="T91" i="31" s="1"/>
  <c r="R92" i="31"/>
  <c r="T92" i="31" s="1"/>
  <c r="R93" i="31"/>
  <c r="T93" i="31" s="1"/>
  <c r="R94" i="31"/>
  <c r="T94" i="31" s="1"/>
  <c r="R95" i="31"/>
  <c r="T95" i="31" s="1"/>
  <c r="R96" i="31"/>
  <c r="T96" i="31" s="1"/>
  <c r="R97" i="31"/>
  <c r="R98" i="31"/>
  <c r="T98" i="31" s="1"/>
  <c r="R99" i="31"/>
  <c r="T99" i="31" s="1"/>
  <c r="R100" i="31"/>
  <c r="T100" i="31" s="1"/>
  <c r="R101" i="31"/>
  <c r="T101" i="31" s="1"/>
  <c r="R102" i="31"/>
  <c r="T102" i="31" s="1"/>
  <c r="R103" i="31"/>
  <c r="T103" i="31" s="1"/>
  <c r="R104" i="31"/>
  <c r="T104" i="31" s="1"/>
  <c r="R105" i="31"/>
  <c r="R106" i="31"/>
  <c r="T106" i="31" s="1"/>
  <c r="R107" i="31"/>
  <c r="T107" i="31" s="1"/>
  <c r="R108" i="31"/>
  <c r="T108" i="31" s="1"/>
  <c r="R109" i="31"/>
  <c r="T109" i="31" s="1"/>
  <c r="R110" i="31"/>
  <c r="T110" i="31" s="1"/>
  <c r="R111" i="31"/>
  <c r="T111" i="31" s="1"/>
  <c r="R112" i="31"/>
  <c r="T112" i="31" s="1"/>
  <c r="R113" i="3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R132" i="31"/>
  <c r="T132" i="31" s="1"/>
  <c r="R133" i="31"/>
  <c r="T133" i="31" s="1"/>
  <c r="R134" i="31"/>
  <c r="T134" i="31" s="1"/>
  <c r="R135" i="31"/>
  <c r="T135" i="31" s="1"/>
  <c r="R136" i="31"/>
  <c r="T136" i="31" s="1"/>
  <c r="R137" i="31"/>
  <c r="T137" i="31" s="1"/>
  <c r="R138" i="31"/>
  <c r="T138" i="31" s="1"/>
  <c r="R139" i="31"/>
  <c r="R140" i="31"/>
  <c r="T140" i="31" s="1"/>
  <c r="R141" i="31"/>
  <c r="T141" i="31" s="1"/>
  <c r="R142" i="31"/>
  <c r="T142" i="31" s="1"/>
  <c r="R143" i="31"/>
  <c r="T143" i="31" s="1"/>
  <c r="R144" i="31"/>
  <c r="T144" i="31" s="1"/>
  <c r="R145" i="31"/>
  <c r="T145" i="31" s="1"/>
  <c r="R146" i="31"/>
  <c r="T146" i="31" s="1"/>
  <c r="R147" i="31"/>
  <c r="R148" i="31"/>
  <c r="T148" i="31" s="1"/>
  <c r="R149" i="31"/>
  <c r="T149" i="31" s="1"/>
  <c r="R150" i="31"/>
  <c r="T150" i="31" s="1"/>
  <c r="R151" i="31"/>
  <c r="T151" i="31" s="1"/>
  <c r="R152" i="31"/>
  <c r="T152" i="31" s="1"/>
  <c r="R153" i="31"/>
  <c r="T153" i="31" s="1"/>
  <c r="R154" i="31"/>
  <c r="T154" i="31" s="1"/>
  <c r="R155" i="31"/>
  <c r="R156" i="31"/>
  <c r="T156" i="31" s="1"/>
  <c r="R157" i="31"/>
  <c r="T157" i="31" s="1"/>
  <c r="R158" i="31"/>
  <c r="T158" i="31" s="1"/>
  <c r="R159" i="31"/>
  <c r="T159" i="31" s="1"/>
  <c r="R160" i="31"/>
  <c r="T160" i="31" s="1"/>
  <c r="R161" i="31"/>
  <c r="R162" i="31"/>
  <c r="T162" i="31" s="1"/>
  <c r="R163" i="31"/>
  <c r="R164" i="3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R266" i="31"/>
  <c r="T266" i="31" s="1"/>
  <c r="R267" i="31"/>
  <c r="S267" i="31" s="1"/>
  <c r="R268" i="31"/>
  <c r="T268" i="31" s="1"/>
  <c r="R269" i="31"/>
  <c r="R270" i="31"/>
  <c r="R271" i="31"/>
  <c r="S271" i="31" s="1"/>
  <c r="R272" i="31"/>
  <c r="T272" i="31" s="1"/>
  <c r="R273" i="31"/>
  <c r="R274" i="31"/>
  <c r="T274" i="31" s="1"/>
  <c r="R275" i="31"/>
  <c r="S275" i="31" s="1"/>
  <c r="R276" i="31"/>
  <c r="T276" i="31" s="1"/>
  <c r="R277" i="31"/>
  <c r="R278" i="31"/>
  <c r="R279" i="31"/>
  <c r="S279" i="31" s="1"/>
  <c r="R280" i="31"/>
  <c r="T280" i="31" s="1"/>
  <c r="R281" i="31"/>
  <c r="R282" i="31"/>
  <c r="T282" i="31" s="1"/>
  <c r="R283" i="31"/>
  <c r="S283" i="31" s="1"/>
  <c r="R284" i="31"/>
  <c r="T284" i="31" s="1"/>
  <c r="R285" i="31"/>
  <c r="R286" i="31"/>
  <c r="R287" i="31"/>
  <c r="S287" i="31" s="1"/>
  <c r="R288" i="31"/>
  <c r="T288" i="31" s="1"/>
  <c r="R289" i="31"/>
  <c r="R290" i="31"/>
  <c r="T290" i="31" s="1"/>
  <c r="R291" i="31"/>
  <c r="S291" i="31" s="1"/>
  <c r="R292" i="31"/>
  <c r="T292" i="31" s="1"/>
  <c r="R293" i="31"/>
  <c r="R294" i="31"/>
  <c r="R295" i="31"/>
  <c r="S295" i="31" s="1"/>
  <c r="R296" i="31"/>
  <c r="T296" i="31" s="1"/>
  <c r="R297" i="31"/>
  <c r="R298" i="31"/>
  <c r="T298" i="31" s="1"/>
  <c r="R299" i="31"/>
  <c r="S299" i="31" s="1"/>
  <c r="R300" i="31"/>
  <c r="T300" i="31" s="1"/>
  <c r="R301" i="31"/>
  <c r="R302" i="31"/>
  <c r="R303" i="31"/>
  <c r="S303" i="31" s="1"/>
  <c r="R304" i="31"/>
  <c r="T304" i="31" s="1"/>
  <c r="R305" i="31"/>
  <c r="R306" i="31"/>
  <c r="T306" i="31" s="1"/>
  <c r="R307" i="31"/>
  <c r="S307" i="31" s="1"/>
  <c r="R308" i="31"/>
  <c r="T308" i="31" s="1"/>
  <c r="R309" i="31"/>
  <c r="R310" i="31"/>
  <c r="R311" i="31"/>
  <c r="S311" i="31" s="1"/>
  <c r="R312" i="31"/>
  <c r="T312" i="31" s="1"/>
  <c r="R313" i="31"/>
  <c r="R314" i="31"/>
  <c r="T314" i="31" s="1"/>
  <c r="R315" i="31"/>
  <c r="S315" i="31" s="1"/>
  <c r="R316" i="31"/>
  <c r="T316" i="31" s="1"/>
  <c r="R317" i="31"/>
  <c r="R318" i="31"/>
  <c r="R319" i="31"/>
  <c r="S319" i="31" s="1"/>
  <c r="R320" i="31"/>
  <c r="T320" i="31" s="1"/>
  <c r="R321" i="31"/>
  <c r="R322" i="31"/>
  <c r="T322" i="31" s="1"/>
  <c r="R323" i="31"/>
  <c r="S323" i="31" s="1"/>
  <c r="R324" i="31"/>
  <c r="R325" i="31"/>
  <c r="T325" i="31" s="1"/>
  <c r="R326" i="31"/>
  <c r="T326" i="31" s="1"/>
  <c r="R327" i="3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T339" i="31" s="1"/>
  <c r="R340" i="31"/>
  <c r="R341" i="31"/>
  <c r="T341" i="31" s="1"/>
  <c r="R342" i="31"/>
  <c r="T342" i="31" s="1"/>
  <c r="R343" i="3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T355" i="31" s="1"/>
  <c r="R356" i="31"/>
  <c r="R357" i="31"/>
  <c r="T357" i="31" s="1"/>
  <c r="R358" i="31"/>
  <c r="T358" i="31" s="1"/>
  <c r="R359" i="3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T371" i="31" s="1"/>
  <c r="R372" i="31"/>
  <c r="R373" i="31"/>
  <c r="T373" i="31" s="1"/>
  <c r="R374" i="31"/>
  <c r="T374" i="31" s="1"/>
  <c r="R375" i="3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T387" i="31" s="1"/>
  <c r="R388" i="31"/>
  <c r="R389" i="31"/>
  <c r="T389" i="31" s="1"/>
  <c r="R390" i="31"/>
  <c r="T390" i="31" s="1"/>
  <c r="R391" i="3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T403" i="31" s="1"/>
  <c r="R404" i="31"/>
  <c r="R405" i="31"/>
  <c r="T405" i="31" s="1"/>
  <c r="R406" i="31"/>
  <c r="T406" i="31" s="1"/>
  <c r="R407" i="3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T419" i="31" s="1"/>
  <c r="R420" i="31"/>
  <c r="R421" i="31"/>
  <c r="T421" i="31" s="1"/>
  <c r="R422" i="31"/>
  <c r="T422" i="31" s="1"/>
  <c r="R423" i="31"/>
  <c r="R424" i="31"/>
  <c r="T424" i="31" s="1"/>
  <c r="R425" i="31"/>
  <c r="T425" i="31" s="1"/>
  <c r="R426" i="31"/>
  <c r="T426" i="31" s="1"/>
  <c r="R427" i="31"/>
  <c r="T427" i="31" s="1"/>
  <c r="R428" i="31"/>
  <c r="T428" i="31" s="1"/>
  <c r="R429" i="31"/>
  <c r="R430" i="31"/>
  <c r="R431" i="31"/>
  <c r="T431" i="31" s="1"/>
  <c r="R432" i="31"/>
  <c r="T432" i="31" s="1"/>
  <c r="R433" i="31"/>
  <c r="T433" i="31" s="1"/>
  <c r="R434" i="31"/>
  <c r="R435" i="31"/>
  <c r="T435" i="31" s="1"/>
  <c r="R436" i="31"/>
  <c r="T436" i="31" s="1"/>
  <c r="R437" i="31"/>
  <c r="R438" i="31"/>
  <c r="R439" i="31"/>
  <c r="T439" i="31" s="1"/>
  <c r="R440" i="31"/>
  <c r="T440" i="31" s="1"/>
  <c r="R441" i="31"/>
  <c r="T441" i="31" s="1"/>
  <c r="R442" i="31"/>
  <c r="R443" i="31"/>
  <c r="T443" i="31" s="1"/>
  <c r="R444" i="31"/>
  <c r="T444" i="31" s="1"/>
  <c r="R445" i="31"/>
  <c r="R446" i="31"/>
  <c r="R447" i="31"/>
  <c r="T447" i="31" s="1"/>
  <c r="R448" i="31"/>
  <c r="T448" i="31" s="1"/>
  <c r="R449" i="31"/>
  <c r="S449" i="31" s="1"/>
  <c r="R450" i="31"/>
  <c r="T450" i="31" s="1"/>
  <c r="R451" i="31"/>
  <c r="S451" i="31" s="1"/>
  <c r="R452" i="31"/>
  <c r="T452" i="31" s="1"/>
  <c r="R453" i="31"/>
  <c r="T453" i="31" s="1"/>
  <c r="R454" i="31"/>
  <c r="R455" i="31"/>
  <c r="T455" i="31" s="1"/>
  <c r="R456" i="31"/>
  <c r="T456" i="31" s="1"/>
  <c r="R457" i="31"/>
  <c r="R458" i="31"/>
  <c r="R459" i="31"/>
  <c r="T459" i="31" s="1"/>
  <c r="R460" i="31"/>
  <c r="T460" i="31" s="1"/>
  <c r="R461" i="31"/>
  <c r="T461" i="31" s="1"/>
  <c r="R462" i="31"/>
  <c r="R463" i="31"/>
  <c r="T463" i="31" s="1"/>
  <c r="R464" i="31"/>
  <c r="T464" i="31" s="1"/>
  <c r="R465" i="31"/>
  <c r="R466" i="31"/>
  <c r="R467" i="31"/>
  <c r="T467" i="31" s="1"/>
  <c r="R468" i="31"/>
  <c r="T468" i="31" s="1"/>
  <c r="R469" i="31"/>
  <c r="T469" i="31" s="1"/>
  <c r="R470" i="31"/>
  <c r="R471" i="31"/>
  <c r="T471" i="31" s="1"/>
  <c r="R472" i="31"/>
  <c r="R473" i="31"/>
  <c r="S473" i="31" s="1"/>
  <c r="R474" i="31"/>
  <c r="R475" i="31"/>
  <c r="T475" i="31" s="1"/>
  <c r="R476" i="31"/>
  <c r="R477" i="31"/>
  <c r="S477" i="31" s="1"/>
  <c r="R478" i="31"/>
  <c r="R479" i="31"/>
  <c r="T479" i="31" s="1"/>
  <c r="R480" i="31"/>
  <c r="R481" i="31"/>
  <c r="S481" i="31" s="1"/>
  <c r="R482" i="31"/>
  <c r="R483" i="31"/>
  <c r="R484" i="31"/>
  <c r="R485" i="31"/>
  <c r="S485" i="31" s="1"/>
  <c r="R486" i="31"/>
  <c r="R487" i="31"/>
  <c r="T487" i="31" s="1"/>
  <c r="R488" i="31"/>
  <c r="R489" i="31"/>
  <c r="S489" i="31" s="1"/>
  <c r="R490" i="31"/>
  <c r="R491" i="31"/>
  <c r="T491" i="31" s="1"/>
  <c r="R492" i="31"/>
  <c r="R493" i="31"/>
  <c r="S493" i="31" s="1"/>
  <c r="R494" i="31"/>
  <c r="R495" i="31"/>
  <c r="T495" i="31" s="1"/>
  <c r="R496" i="31"/>
  <c r="R497" i="31"/>
  <c r="S497" i="31" s="1"/>
  <c r="R498" i="31"/>
  <c r="R499" i="31"/>
  <c r="R500" i="31"/>
  <c r="R501" i="31"/>
  <c r="T501" i="31" s="1"/>
  <c r="R502" i="31"/>
  <c r="T502" i="31" s="1"/>
  <c r="R503" i="31"/>
  <c r="R504" i="31"/>
  <c r="T504" i="31" s="1"/>
  <c r="R505" i="31"/>
  <c r="R506" i="31"/>
  <c r="T506" i="31" s="1"/>
  <c r="R507" i="31"/>
  <c r="S507" i="31" s="1"/>
  <c r="R508" i="31"/>
  <c r="T508" i="31" s="1"/>
  <c r="R509" i="31"/>
  <c r="T509" i="31" s="1"/>
  <c r="R510" i="31"/>
  <c r="T510" i="31" s="1"/>
  <c r="R511" i="31"/>
  <c r="T511" i="31" s="1"/>
  <c r="R512" i="31"/>
  <c r="T512" i="31" s="1"/>
  <c r="R513" i="31"/>
  <c r="T513" i="31" s="1"/>
  <c r="R514" i="31"/>
  <c r="T514" i="31" s="1"/>
  <c r="R515" i="31"/>
  <c r="T515" i="31" s="1"/>
  <c r="R516" i="31"/>
  <c r="T516" i="31" s="1"/>
  <c r="R517" i="3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0" i="31"/>
  <c r="S248" i="31"/>
  <c r="S246" i="31"/>
  <c r="S244" i="31"/>
  <c r="S242" i="31"/>
  <c r="S240" i="31"/>
  <c r="S238" i="31"/>
  <c r="S236" i="31"/>
  <c r="S234" i="31"/>
  <c r="S232" i="31"/>
  <c r="S230" i="31"/>
  <c r="S228"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2" i="31"/>
  <c r="S160" i="31"/>
  <c r="S158" i="31"/>
  <c r="S156" i="31"/>
  <c r="S154" i="31"/>
  <c r="S152" i="31"/>
  <c r="S150" i="31"/>
  <c r="S148" i="31"/>
  <c r="S146" i="31"/>
  <c r="S144" i="31"/>
  <c r="S142" i="31"/>
  <c r="S140" i="31"/>
  <c r="S138" i="31"/>
  <c r="S136" i="31"/>
  <c r="S134" i="31"/>
  <c r="S132" i="31"/>
  <c r="S130" i="31"/>
  <c r="S128" i="31"/>
  <c r="S126" i="31"/>
  <c r="S444" i="31"/>
  <c r="S440" i="31"/>
  <c r="S436" i="31"/>
  <c r="S124" i="31"/>
  <c r="S122" i="31"/>
  <c r="S120" i="31"/>
  <c r="S118" i="31"/>
  <c r="S116" i="31"/>
  <c r="S468" i="31"/>
  <c r="S464" i="31"/>
  <c r="S460" i="31"/>
  <c r="S456"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09" i="39"/>
  <c r="F35" i="39"/>
  <c r="S35" i="39" s="1"/>
  <c r="B111" i="39"/>
  <c r="J30" i="36"/>
  <c r="AC30" i="36" s="1"/>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S518" i="31"/>
  <c r="S520" i="31"/>
  <c r="S522" i="31"/>
  <c r="S524" i="31"/>
  <c r="S526" i="31"/>
  <c r="F41" i="21"/>
  <c r="S41" i="21" s="1"/>
  <c r="J41" i="21"/>
  <c r="AC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J40" i="40" s="1"/>
  <c r="B117" i="40"/>
  <c r="B115" i="40"/>
  <c r="F38" i="40" s="1"/>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F89" i="40" s="1"/>
  <c r="G89" i="40" s="1"/>
  <c r="D87" i="40"/>
  <c r="E87" i="40" s="1"/>
  <c r="F87" i="40" s="1"/>
  <c r="G87" i="40" s="1"/>
  <c r="D85" i="40"/>
  <c r="E85" i="40" s="1"/>
  <c r="D83" i="40"/>
  <c r="E83" i="40" s="1"/>
  <c r="B80" i="40"/>
  <c r="B78" i="40"/>
  <c r="B76" i="40"/>
  <c r="J12" i="40" s="1"/>
  <c r="W12" i="40" s="1"/>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H39" i="37" s="1"/>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c r="L96" i="37" s="1"/>
  <c r="M96" i="37" s="1"/>
  <c r="D94" i="37"/>
  <c r="E94" i="37"/>
  <c r="F94" i="37" s="1"/>
  <c r="G94" i="37"/>
  <c r="H94" i="37" s="1"/>
  <c r="I94" i="37" s="1"/>
  <c r="J94" i="37" s="1"/>
  <c r="K94" i="37"/>
  <c r="L94" i="37" s="1"/>
  <c r="M94" i="37" s="1"/>
  <c r="M90" i="37"/>
  <c r="L90" i="37"/>
  <c r="K90" i="37"/>
  <c r="J90" i="37"/>
  <c r="I90" i="37"/>
  <c r="H90" i="37"/>
  <c r="G90" i="37"/>
  <c r="F90" i="37"/>
  <c r="E90" i="37"/>
  <c r="D90" i="37"/>
  <c r="C90" i="37"/>
  <c r="D89" i="37"/>
  <c r="E89" i="37" s="1"/>
  <c r="F89" i="37"/>
  <c r="G89" i="37" s="1"/>
  <c r="H89" i="37" s="1"/>
  <c r="I89" i="37" s="1"/>
  <c r="J89" i="37"/>
  <c r="K89" i="37" s="1"/>
  <c r="L89" i="37" s="1"/>
  <c r="M89" i="37" s="1"/>
  <c r="B86" i="37"/>
  <c r="B84" i="37"/>
  <c r="B82" i="37"/>
  <c r="D79" i="37"/>
  <c r="E79" i="37"/>
  <c r="F79" i="37" s="1"/>
  <c r="G79" i="37" s="1"/>
  <c r="D75" i="37"/>
  <c r="E75" i="37"/>
  <c r="F75" i="37" s="1"/>
  <c r="D73" i="37"/>
  <c r="E73" i="37" s="1"/>
  <c r="F73" i="37" s="1"/>
  <c r="G73" i="37" s="1"/>
  <c r="J17" i="37"/>
  <c r="D71" i="37"/>
  <c r="E71" i="37"/>
  <c r="F71" i="37" s="1"/>
  <c r="G71" i="37"/>
  <c r="B68" i="37"/>
  <c r="H14" i="37"/>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S32" i="36" s="1"/>
  <c r="B95" i="36"/>
  <c r="H34" i="36" s="1"/>
  <c r="AB34" i="36" s="1"/>
  <c r="U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H23" i="36"/>
  <c r="AB23" i="36" s="1"/>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s="1"/>
  <c r="G126" i="34" s="1"/>
  <c r="D124" i="34"/>
  <c r="E124" i="34"/>
  <c r="F124" i="34" s="1"/>
  <c r="G124" i="34" s="1"/>
  <c r="H124" i="34" s="1"/>
  <c r="I124" i="34" s="1"/>
  <c r="J124" i="34" s="1"/>
  <c r="K124" i="34" s="1"/>
  <c r="L124" i="34" s="1"/>
  <c r="M124" i="34" s="1"/>
  <c r="D118" i="34"/>
  <c r="E118" i="34"/>
  <c r="F118" i="34" s="1"/>
  <c r="G118" i="34" s="1"/>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S11"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c r="G121" i="33" s="1"/>
  <c r="H121" i="33" s="1"/>
  <c r="I121" i="33" s="1"/>
  <c r="J121" i="33" s="1"/>
  <c r="K121" i="33" s="1"/>
  <c r="L121" i="33" s="1"/>
  <c r="M121" i="33" s="1"/>
  <c r="G109" i="33"/>
  <c r="F109" i="33"/>
  <c r="E109" i="33"/>
  <c r="D109" i="33"/>
  <c r="C109" i="33"/>
  <c r="D91" i="33"/>
  <c r="B88" i="33"/>
  <c r="C23" i="33"/>
  <c r="C19" i="33"/>
  <c r="C17" i="33"/>
  <c r="C15" i="33"/>
  <c r="C15" i="21"/>
  <c r="D125" i="33"/>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U9" i="33" s="1"/>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s="1"/>
  <c r="Q38" i="33"/>
  <c r="Z38" i="33" s="1"/>
  <c r="J38" i="33"/>
  <c r="AC38" i="33" s="1"/>
  <c r="H38" i="33"/>
  <c r="AB38" i="33"/>
  <c r="F38" i="33"/>
  <c r="Q37" i="33"/>
  <c r="Z37" i="33" s="1"/>
  <c r="Q36" i="33"/>
  <c r="Z36" i="33" s="1"/>
  <c r="Q35" i="33"/>
  <c r="Z35" i="33" s="1"/>
  <c r="H35" i="33"/>
  <c r="AB35" i="33" s="1"/>
  <c r="F35" i="33"/>
  <c r="S35" i="33" s="1"/>
  <c r="Q34" i="33"/>
  <c r="Z34" i="33" s="1"/>
  <c r="H34" i="33"/>
  <c r="AB34" i="33" s="1"/>
  <c r="F34" i="33"/>
  <c r="AA34" i="33" s="1"/>
  <c r="Q33" i="33"/>
  <c r="Z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c r="D77" i="21"/>
  <c r="E77" i="21"/>
  <c r="F77" i="21" s="1"/>
  <c r="G77" i="21" s="1"/>
  <c r="H15" i="21"/>
  <c r="B130" i="21"/>
  <c r="B128" i="21"/>
  <c r="B126" i="21"/>
  <c r="B98" i="21"/>
  <c r="B96" i="21"/>
  <c r="B94" i="21"/>
  <c r="B92" i="21"/>
  <c r="B90" i="21"/>
  <c r="B74" i="2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W41" i="21"/>
  <c r="F45" i="39"/>
  <c r="J45" i="39"/>
  <c r="W45" i="39"/>
  <c r="J44" i="39"/>
  <c r="F36" i="39"/>
  <c r="S36" i="39" s="1"/>
  <c r="H36" i="39"/>
  <c r="AB36" i="39" s="1"/>
  <c r="J36" i="39"/>
  <c r="AC36" i="39" s="1"/>
  <c r="S8" i="39"/>
  <c r="U38" i="39"/>
  <c r="H32" i="37"/>
  <c r="AB32" i="37" s="1"/>
  <c r="U8" i="37"/>
  <c r="W30" i="37"/>
  <c r="F29" i="36"/>
  <c r="AA29" i="36"/>
  <c r="F16" i="36"/>
  <c r="S16" i="36"/>
  <c r="U22" i="36"/>
  <c r="S23" i="36"/>
  <c r="W22" i="36"/>
  <c r="AC31" i="36"/>
  <c r="W31" i="36"/>
  <c r="U31" i="36"/>
  <c r="J33" i="36"/>
  <c r="W33" i="36"/>
  <c r="H22" i="35"/>
  <c r="AB22" i="35" s="1"/>
  <c r="U9" i="35"/>
  <c r="U31" i="35"/>
  <c r="S32" i="35"/>
  <c r="W31" i="35"/>
  <c r="F36" i="34"/>
  <c r="AA36" i="34" s="1"/>
  <c r="U39" i="34"/>
  <c r="H39" i="33"/>
  <c r="AB39" i="33"/>
  <c r="W8" i="21"/>
  <c r="S27" i="35"/>
  <c r="F11" i="40"/>
  <c r="AA11" i="40" s="1"/>
  <c r="S8" i="40"/>
  <c r="H11" i="40"/>
  <c r="AB11" i="40"/>
  <c r="U9" i="40"/>
  <c r="U34" i="40"/>
  <c r="W39" i="40"/>
  <c r="F42" i="39"/>
  <c r="AA42" i="39" s="1"/>
  <c r="F41" i="39"/>
  <c r="AA41" i="39" s="1"/>
  <c r="H40" i="39"/>
  <c r="AB40" i="39" s="1"/>
  <c r="H39" i="39"/>
  <c r="S38" i="39"/>
  <c r="H34" i="39"/>
  <c r="AB34" i="39" s="1"/>
  <c r="E108" i="39"/>
  <c r="F108" i="39" s="1"/>
  <c r="G108" i="39" s="1"/>
  <c r="H108" i="39" s="1"/>
  <c r="I108" i="39" s="1"/>
  <c r="J108" i="39" s="1"/>
  <c r="K108" i="39" s="1"/>
  <c r="L108" i="39" s="1"/>
  <c r="M108" i="39" s="1"/>
  <c r="H31" i="39"/>
  <c r="AB31" i="39" s="1"/>
  <c r="F31" i="39"/>
  <c r="AA31" i="39" s="1"/>
  <c r="E102" i="39"/>
  <c r="H19" i="39"/>
  <c r="AB19" i="39" s="1"/>
  <c r="F19" i="39"/>
  <c r="S19" i="39" s="1"/>
  <c r="H17" i="39"/>
  <c r="U17" i="39" s="1"/>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C25" i="39"/>
  <c r="C21" i="39"/>
  <c r="H11" i="39"/>
  <c r="AB11" i="39" s="1"/>
  <c r="H11" i="21"/>
  <c r="U11" i="21" s="1"/>
  <c r="J11" i="21"/>
  <c r="AC11" i="21" s="1"/>
  <c r="U33" i="21"/>
  <c r="H36" i="40"/>
  <c r="U36" i="40"/>
  <c r="F35" i="40"/>
  <c r="S35" i="40"/>
  <c r="J30" i="40"/>
  <c r="W30" i="40"/>
  <c r="F30" i="40"/>
  <c r="AA30" i="40"/>
  <c r="H27" i="40"/>
  <c r="U27" i="40"/>
  <c r="H23" i="40"/>
  <c r="AB23" i="40"/>
  <c r="J11" i="40"/>
  <c r="W11" i="40"/>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U20" i="36" s="1"/>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W34" i="33" s="1"/>
  <c r="F36" i="33"/>
  <c r="S36" i="33" s="1"/>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U40" i="33"/>
  <c r="U8" i="33"/>
  <c r="F37" i="40"/>
  <c r="AA37" i="40" s="1"/>
  <c r="F36" i="40"/>
  <c r="AA36" i="40" s="1"/>
  <c r="J27" i="40"/>
  <c r="W27" i="40" s="1"/>
  <c r="F27" i="40"/>
  <c r="S27" i="40" s="1"/>
  <c r="F23" i="40"/>
  <c r="AA23" i="40" s="1"/>
  <c r="AC11" i="40"/>
  <c r="AB30" i="36"/>
  <c r="W32" i="35"/>
  <c r="F29" i="35"/>
  <c r="S29" i="35"/>
  <c r="AB42" i="34"/>
  <c r="H38" i="34"/>
  <c r="U15" i="34"/>
  <c r="F113" i="33"/>
  <c r="G113" i="33"/>
  <c r="H113" i="33" s="1"/>
  <c r="I113" i="33" s="1"/>
  <c r="J113" i="33" s="1"/>
  <c r="K113" i="33" s="1"/>
  <c r="L113" i="33" s="1"/>
  <c r="M113" i="33" s="1"/>
  <c r="H37" i="33"/>
  <c r="AB37" i="33"/>
  <c r="H36" i="33"/>
  <c r="U36" i="33" s="1"/>
  <c r="S25" i="33"/>
  <c r="F17" i="33"/>
  <c r="AA17" i="33"/>
  <c r="H15" i="33"/>
  <c r="AB15" i="33"/>
  <c r="AB11" i="33"/>
  <c r="AC42" i="34"/>
  <c r="W42" i="34"/>
  <c r="AA42" i="34"/>
  <c r="S42" i="34"/>
  <c r="W38" i="34"/>
  <c r="J37" i="33"/>
  <c r="AC37" i="33"/>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S14" i="34" s="1"/>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B14" i="33"/>
  <c r="W28" i="37"/>
  <c r="W30" i="33"/>
  <c r="AC32" i="34"/>
  <c r="J10" i="36"/>
  <c r="AC10" i="36" s="1"/>
  <c r="AB46" i="21"/>
  <c r="U14" i="21"/>
  <c r="AC14" i="21"/>
  <c r="AC13" i="36"/>
  <c r="U32" i="36"/>
  <c r="U31" i="33"/>
  <c r="AC29" i="33"/>
  <c r="W29"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c r="F25" i="21"/>
  <c r="S25" i="21"/>
  <c r="J25" i="21"/>
  <c r="AC25" i="21"/>
  <c r="H17" i="37"/>
  <c r="U17"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H31" i="40"/>
  <c r="U31" i="40" s="1"/>
  <c r="F32" i="40"/>
  <c r="S32" i="40" s="1"/>
  <c r="H32" i="40"/>
  <c r="U32" i="40" s="1"/>
  <c r="J36" i="40"/>
  <c r="W36" i="40" s="1"/>
  <c r="AB32" i="40"/>
  <c r="U23" i="37"/>
  <c r="H42" i="33"/>
  <c r="U42" i="33" s="1"/>
  <c r="J23" i="37"/>
  <c r="W23" i="37" s="1"/>
  <c r="S30" i="31"/>
  <c r="U11" i="40"/>
  <c r="AC33" i="36"/>
  <c r="AB20" i="35"/>
  <c r="AA11" i="35"/>
  <c r="S28" i="37"/>
  <c r="S25" i="37"/>
  <c r="AB8" i="34"/>
  <c r="AA13" i="33"/>
  <c r="AA30" i="33"/>
  <c r="AB10" i="33"/>
  <c r="S11" i="33"/>
  <c r="AC33" i="21"/>
  <c r="AB38" i="21"/>
  <c r="AA23" i="37"/>
  <c r="W10" i="36"/>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F37" i="47" s="1"/>
  <c r="B35" i="47" s="1"/>
  <c r="D39" i="47"/>
  <c r="D41" i="47"/>
  <c r="D43" i="47"/>
  <c r="D16" i="47"/>
  <c r="F15" i="47" s="1"/>
  <c r="B13" i="47" s="1"/>
  <c r="D18" i="47"/>
  <c r="D20" i="47"/>
  <c r="D22" i="47"/>
  <c r="D26" i="47"/>
  <c r="F26" i="47" s="1"/>
  <c r="B24" i="47" s="1"/>
  <c r="D28" i="47"/>
  <c r="D30" i="47"/>
  <c r="D32" i="47"/>
  <c r="D34" i="47"/>
  <c r="D38" i="47"/>
  <c r="D40" i="47"/>
  <c r="D42" i="47"/>
  <c r="D44" i="47"/>
  <c r="D9" i="47"/>
  <c r="D8" i="47"/>
  <c r="D6" i="47"/>
  <c r="H19" i="40"/>
  <c r="AB19" i="40" s="1"/>
  <c r="F19" i="40"/>
  <c r="S19" i="40" s="1"/>
  <c r="S13" i="40"/>
  <c r="S17" i="39"/>
  <c r="AC43" i="39"/>
  <c r="W43" i="39"/>
  <c r="U45" i="39"/>
  <c r="AB45" i="39"/>
  <c r="AB44" i="39"/>
  <c r="U44" i="39"/>
  <c r="G102"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19" i="39"/>
  <c r="U34" i="39"/>
  <c r="S42" i="39"/>
  <c r="S41" i="39"/>
  <c r="W39" i="39"/>
  <c r="W8" i="39"/>
  <c r="AB25" i="39"/>
  <c r="W21" i="39"/>
  <c r="J11" i="39"/>
  <c r="W11" i="39" s="1"/>
  <c r="J32" i="39"/>
  <c r="AC32" i="39" s="1"/>
  <c r="E65" i="39"/>
  <c r="E60" i="40"/>
  <c r="F34" i="43"/>
  <c r="C21" i="1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F23" i="21"/>
  <c r="AA23" i="21" s="1"/>
  <c r="J23" i="21"/>
  <c r="AC23" i="21" s="1"/>
  <c r="H23" i="21"/>
  <c r="U23" i="21" s="1"/>
  <c r="F17" i="21"/>
  <c r="AA17" i="21" s="1"/>
  <c r="J17" i="21"/>
  <c r="AC17" i="21" s="1"/>
  <c r="H17" i="21"/>
  <c r="AB17" i="21" s="1"/>
  <c r="J15" i="21"/>
  <c r="W15" i="21" s="1"/>
  <c r="U35" i="21"/>
  <c r="A135" i="57"/>
  <c r="A14" i="52" s="1"/>
  <c r="B61" i="60" s="1"/>
  <c r="D128" i="57"/>
  <c r="S23" i="21"/>
  <c r="AC15" i="2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T261" i="31"/>
  <c r="T259" i="31"/>
  <c r="C18" i="57"/>
  <c r="D18" i="57" s="1"/>
  <c r="D47" i="15"/>
  <c r="AB12" i="37"/>
  <c r="J37" i="37"/>
  <c r="W37" i="37"/>
  <c r="AB40" i="37"/>
  <c r="U40" i="37"/>
  <c r="U15" i="21"/>
  <c r="AB15" i="21"/>
  <c r="AA16" i="35"/>
  <c r="S14" i="39"/>
  <c r="AB29" i="35"/>
  <c r="U29" i="35"/>
  <c r="AB21" i="39"/>
  <c r="W44" i="33"/>
  <c r="AB46" i="34"/>
  <c r="AA14" i="34"/>
  <c r="W44" i="21"/>
  <c r="AB38" i="34"/>
  <c r="U38" i="34"/>
  <c r="F40" i="34"/>
  <c r="AA40" i="34" s="1"/>
  <c r="AB20" i="36"/>
  <c r="AA16" i="36"/>
  <c r="AC44" i="39"/>
  <c r="W44" i="39"/>
  <c r="H13" i="21"/>
  <c r="U13" i="21" s="1"/>
  <c r="J13" i="21"/>
  <c r="W13" i="21" s="1"/>
  <c r="F13" i="21"/>
  <c r="AA13" i="21"/>
  <c r="J45" i="21"/>
  <c r="F45" i="21"/>
  <c r="AA45" i="21" s="1"/>
  <c r="S42" i="21"/>
  <c r="B41" i="47"/>
  <c r="C23" i="40"/>
  <c r="AC8" i="34"/>
  <c r="W8" i="34"/>
  <c r="W12" i="34"/>
  <c r="AC12" i="34"/>
  <c r="AA19" i="34"/>
  <c r="S19" i="34"/>
  <c r="U23" i="36"/>
  <c r="J12" i="36"/>
  <c r="W12" i="36"/>
  <c r="H12" i="36"/>
  <c r="AB12" i="36"/>
  <c r="AA9" i="39"/>
  <c r="S9" i="39"/>
  <c r="AB12" i="39"/>
  <c r="U12" i="39"/>
  <c r="J12" i="39"/>
  <c r="F12" i="39"/>
  <c r="S12" i="39" s="1"/>
  <c r="R29" i="31"/>
  <c r="T29" i="31" s="1"/>
  <c r="F15" i="21"/>
  <c r="S15" i="21" s="1"/>
  <c r="AA30" i="21"/>
  <c r="J36" i="34"/>
  <c r="W36" i="34" s="1"/>
  <c r="S8" i="34"/>
  <c r="J19" i="40"/>
  <c r="AC19" i="40"/>
  <c r="W9" i="39"/>
  <c r="U14" i="39"/>
  <c r="H32" i="39"/>
  <c r="U32" i="39" s="1"/>
  <c r="F21" i="39"/>
  <c r="AA21" i="39" s="1"/>
  <c r="F31" i="37"/>
  <c r="AA31" i="37" s="1"/>
  <c r="U25" i="36"/>
  <c r="S44" i="21"/>
  <c r="AC36" i="40"/>
  <c r="F17" i="37"/>
  <c r="AA17" i="37"/>
  <c r="AB28" i="36"/>
  <c r="U33" i="40"/>
  <c r="U44" i="33"/>
  <c r="AB11" i="35"/>
  <c r="U32" i="34"/>
  <c r="AB32" i="34"/>
  <c r="AA30" i="34"/>
  <c r="H45" i="21"/>
  <c r="AB45" i="21" s="1"/>
  <c r="J14" i="36"/>
  <c r="AC14" i="36" s="1"/>
  <c r="AC30" i="21"/>
  <c r="J40" i="34"/>
  <c r="AC40" i="34" s="1"/>
  <c r="S37" i="40"/>
  <c r="H19" i="33"/>
  <c r="AB19" i="33"/>
  <c r="AB23" i="33"/>
  <c r="U23" i="33"/>
  <c r="W23" i="33"/>
  <c r="AA41" i="33"/>
  <c r="J23" i="34"/>
  <c r="W23" i="34"/>
  <c r="AC30" i="40"/>
  <c r="AB17" i="39"/>
  <c r="W22" i="35"/>
  <c r="S30" i="36"/>
  <c r="AA38" i="21"/>
  <c r="F34" i="21"/>
  <c r="S34" i="21" s="1"/>
  <c r="H34" i="21"/>
  <c r="U34" i="21" s="1"/>
  <c r="J34" i="21"/>
  <c r="AC34" i="21" s="1"/>
  <c r="AC36" i="21"/>
  <c r="W36" i="21"/>
  <c r="E101" i="33"/>
  <c r="F32" i="33"/>
  <c r="AA32" i="33"/>
  <c r="W27" i="34"/>
  <c r="AC27" i="34"/>
  <c r="H28" i="34"/>
  <c r="U28" i="34"/>
  <c r="E116" i="34"/>
  <c r="F116" i="34"/>
  <c r="G116" i="34" s="1"/>
  <c r="H116" i="34" s="1"/>
  <c r="I116" i="34" s="1"/>
  <c r="J116" i="34" s="1"/>
  <c r="K116" i="34" s="1"/>
  <c r="L116" i="34" s="1"/>
  <c r="M116" i="34" s="1"/>
  <c r="J39" i="34"/>
  <c r="W39" i="34" s="1"/>
  <c r="J27" i="36"/>
  <c r="AC27" i="36" s="1"/>
  <c r="F37" i="34"/>
  <c r="AA37" i="34"/>
  <c r="H37" i="34"/>
  <c r="U37" i="34"/>
  <c r="AA32" i="37"/>
  <c r="AC46" i="34"/>
  <c r="S31" i="33"/>
  <c r="U10" i="36"/>
  <c r="AC34" i="33"/>
  <c r="AA14" i="35"/>
  <c r="S14" i="35"/>
  <c r="W11" i="21"/>
  <c r="S45" i="39"/>
  <c r="AA45" i="39"/>
  <c r="H27" i="21"/>
  <c r="AB27" i="21" s="1"/>
  <c r="J27" i="21"/>
  <c r="W27" i="21" s="1"/>
  <c r="F27" i="21"/>
  <c r="AA27" i="21" s="1"/>
  <c r="J29" i="21"/>
  <c r="AC29" i="21" s="1"/>
  <c r="H29" i="21"/>
  <c r="U29" i="21" s="1"/>
  <c r="F29" i="21"/>
  <c r="AA29" i="21" s="1"/>
  <c r="J31" i="21"/>
  <c r="W31" i="21"/>
  <c r="H31" i="21"/>
  <c r="F31" i="21"/>
  <c r="AA31" i="21" s="1"/>
  <c r="H39" i="21"/>
  <c r="U39" i="21" s="1"/>
  <c r="F117" i="21"/>
  <c r="G117" i="21" s="1"/>
  <c r="S9" i="21"/>
  <c r="AA15" i="33"/>
  <c r="S15" i="33"/>
  <c r="AA35" i="33"/>
  <c r="E117" i="33"/>
  <c r="F117" i="33"/>
  <c r="G117" i="33" s="1"/>
  <c r="J39" i="33"/>
  <c r="AC39" i="33" s="1"/>
  <c r="E125" i="33"/>
  <c r="F125" i="33" s="1"/>
  <c r="G125" i="33" s="1"/>
  <c r="H43" i="33"/>
  <c r="U43" i="33"/>
  <c r="E91" i="33"/>
  <c r="F91" i="33"/>
  <c r="G91" i="33" s="1"/>
  <c r="H91" i="33" s="1"/>
  <c r="I91" i="33" s="1"/>
  <c r="J91" i="33" s="1"/>
  <c r="K91" i="33" s="1"/>
  <c r="L91" i="33" s="1"/>
  <c r="M91" i="33" s="1"/>
  <c r="F27" i="33"/>
  <c r="S27" i="33" s="1"/>
  <c r="H41" i="33"/>
  <c r="U41" i="33" s="1"/>
  <c r="S12" i="34"/>
  <c r="AA12" i="34"/>
  <c r="AA11" i="34"/>
  <c r="F80" i="34"/>
  <c r="H17" i="34"/>
  <c r="U17" i="34"/>
  <c r="H16" i="35"/>
  <c r="U16" i="35"/>
  <c r="J24" i="35"/>
  <c r="AC24" i="35"/>
  <c r="F24" i="35"/>
  <c r="AA24" i="35"/>
  <c r="H24" i="35"/>
  <c r="U24" i="35"/>
  <c r="H34" i="35"/>
  <c r="U34" i="35"/>
  <c r="F34" i="35"/>
  <c r="G60" i="37"/>
  <c r="H60" i="37" s="1"/>
  <c r="I60" i="37" s="1"/>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S34" i="33"/>
  <c r="AA38" i="33"/>
  <c r="S38" i="33"/>
  <c r="W38" i="33"/>
  <c r="AA10" i="34"/>
  <c r="S10" i="34"/>
  <c r="F25" i="34"/>
  <c r="S25" i="34"/>
  <c r="H44" i="34"/>
  <c r="U44" i="34" s="1"/>
  <c r="AB26" i="36"/>
  <c r="U26" i="36"/>
  <c r="F20" i="36"/>
  <c r="AA20" i="36" s="1"/>
  <c r="J24" i="36"/>
  <c r="W24" i="36" s="1"/>
  <c r="H24" i="36"/>
  <c r="U24" i="36" s="1"/>
  <c r="F24" i="36"/>
  <c r="AA24" i="36" s="1"/>
  <c r="AA32" i="36"/>
  <c r="J26" i="37"/>
  <c r="AC26" i="37" s="1"/>
  <c r="H26" i="37"/>
  <c r="AB26" i="37" s="1"/>
  <c r="F26" i="37"/>
  <c r="AA26" i="37" s="1"/>
  <c r="J23" i="39"/>
  <c r="W23" i="39" s="1"/>
  <c r="E96" i="39"/>
  <c r="H15" i="37"/>
  <c r="AB15" i="37"/>
  <c r="F15" i="37"/>
  <c r="AA15" i="37"/>
  <c r="N6" i="43"/>
  <c r="M1" i="43"/>
  <c r="F101" i="9"/>
  <c r="F33" i="9"/>
  <c r="C25" i="57"/>
  <c r="N102" i="43"/>
  <c r="F59" i="43"/>
  <c r="H63" i="43" s="1"/>
  <c r="G15" i="47"/>
  <c r="U15" i="37"/>
  <c r="AB24" i="36"/>
  <c r="H25" i="34"/>
  <c r="U25" i="34"/>
  <c r="AB35" i="39"/>
  <c r="AC40" i="37"/>
  <c r="S27" i="37"/>
  <c r="AA12" i="37"/>
  <c r="AA34" i="35"/>
  <c r="S34" i="35"/>
  <c r="AB24" i="35"/>
  <c r="J17" i="34"/>
  <c r="AC17" i="34" s="1"/>
  <c r="G80" i="34"/>
  <c r="F17" i="34"/>
  <c r="AA17" i="34"/>
  <c r="H27" i="33"/>
  <c r="AB27" i="33"/>
  <c r="F43" i="33"/>
  <c r="S43" i="33"/>
  <c r="J43" i="33"/>
  <c r="AC43" i="33"/>
  <c r="AB31" i="21"/>
  <c r="U31" i="21"/>
  <c r="S29" i="21"/>
  <c r="AC27" i="21"/>
  <c r="S37" i="34"/>
  <c r="H27" i="36"/>
  <c r="AB27" i="36" s="1"/>
  <c r="F27" i="36"/>
  <c r="AA27" i="36" s="1"/>
  <c r="J28" i="34"/>
  <c r="W28" i="34" s="1"/>
  <c r="AB34" i="21"/>
  <c r="H11" i="34"/>
  <c r="U11" i="34"/>
  <c r="S17" i="37"/>
  <c r="J11" i="37"/>
  <c r="AC11" i="37" s="1"/>
  <c r="AC36" i="34"/>
  <c r="W12" i="39"/>
  <c r="AC12" i="39"/>
  <c r="S45" i="21"/>
  <c r="AC37" i="37"/>
  <c r="F23" i="39"/>
  <c r="AA23" i="39" s="1"/>
  <c r="F96" i="39"/>
  <c r="G96" i="39" s="1"/>
  <c r="S26" i="37"/>
  <c r="F44" i="34"/>
  <c r="AA44" i="34" s="1"/>
  <c r="J44" i="34"/>
  <c r="AC44" i="34"/>
  <c r="U31" i="37"/>
  <c r="W27" i="37"/>
  <c r="AB27" i="37"/>
  <c r="H10" i="37"/>
  <c r="U10" i="37" s="1"/>
  <c r="S24" i="35"/>
  <c r="AB43" i="33"/>
  <c r="AB29" i="21"/>
  <c r="W27" i="36"/>
  <c r="F101" i="33"/>
  <c r="G101" i="33" s="1"/>
  <c r="H101" i="33" s="1"/>
  <c r="I101" i="33" s="1"/>
  <c r="J101" i="33" s="1"/>
  <c r="K101" i="33" s="1"/>
  <c r="L101" i="33" s="1"/>
  <c r="M101" i="33" s="1"/>
  <c r="J32" i="33"/>
  <c r="W32" i="33" s="1"/>
  <c r="H32" i="33"/>
  <c r="AB32" i="33" s="1"/>
  <c r="W40" i="34"/>
  <c r="U12" i="36"/>
  <c r="AC45" i="21"/>
  <c r="W45" i="21"/>
  <c r="AC13" i="21"/>
  <c r="S44" i="34"/>
  <c r="AB25" i="34"/>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M29" i="15"/>
  <c r="P51" i="15"/>
  <c r="D10" i="11"/>
  <c r="C2" i="31"/>
  <c r="I23" i="31" s="1"/>
  <c r="P60" i="15"/>
  <c r="D3" i="34"/>
  <c r="A16" i="55"/>
  <c r="B46" i="60" s="1"/>
  <c r="D3" i="37"/>
  <c r="C14" i="12"/>
  <c r="AB36" i="40"/>
  <c r="AC9" i="40"/>
  <c r="S9" i="40"/>
  <c r="AA27" i="40"/>
  <c r="W33" i="40"/>
  <c r="W34" i="40"/>
  <c r="AB39" i="40"/>
  <c r="J37" i="40"/>
  <c r="H35" i="40"/>
  <c r="U35" i="40" s="1"/>
  <c r="H37" i="40"/>
  <c r="H28" i="40"/>
  <c r="U28" i="40" s="1"/>
  <c r="F28" i="40"/>
  <c r="J28" i="40"/>
  <c r="AC28" i="40" s="1"/>
  <c r="G97" i="40"/>
  <c r="H97" i="40" s="1"/>
  <c r="I97" i="40"/>
  <c r="J97" i="40" s="1"/>
  <c r="K97" i="40" s="1"/>
  <c r="L97" i="40" s="1"/>
  <c r="M97" i="40" s="1"/>
  <c r="F21" i="40"/>
  <c r="H21" i="40"/>
  <c r="AB21" i="40" s="1"/>
  <c r="J21" i="40"/>
  <c r="W21" i="40"/>
  <c r="W19" i="40"/>
  <c r="F85" i="40"/>
  <c r="G85" i="40" s="1"/>
  <c r="H17" i="40"/>
  <c r="U17" i="40" s="1"/>
  <c r="J17" i="40"/>
  <c r="W17" i="40" s="1"/>
  <c r="F17" i="40"/>
  <c r="S17" i="40"/>
  <c r="F83" i="40"/>
  <c r="G83" i="40"/>
  <c r="F15" i="40"/>
  <c r="J15" i="40"/>
  <c r="AC15" i="40" s="1"/>
  <c r="H15" i="40"/>
  <c r="AB15" i="40" s="1"/>
  <c r="AC25" i="40"/>
  <c r="W25" i="40"/>
  <c r="U19" i="40"/>
  <c r="U8" i="40"/>
  <c r="AA19" i="40"/>
  <c r="S36" i="40"/>
  <c r="AA35" i="40"/>
  <c r="AC38" i="39"/>
  <c r="AC17" i="39"/>
  <c r="AA37" i="39"/>
  <c r="AB29" i="39"/>
  <c r="AC25" i="39"/>
  <c r="AC23" i="39"/>
  <c r="W27" i="39"/>
  <c r="AC27" i="39"/>
  <c r="U41" i="39"/>
  <c r="U42" i="39"/>
  <c r="AB13" i="39"/>
  <c r="AB27" i="39"/>
  <c r="U27" i="39"/>
  <c r="AA27" i="39"/>
  <c r="S27" i="39"/>
  <c r="S40" i="39"/>
  <c r="AC11" i="39"/>
  <c r="S13" i="39"/>
  <c r="AC24" i="36"/>
  <c r="S12" i="36"/>
  <c r="S22" i="36"/>
  <c r="AC16" i="36"/>
  <c r="S26" i="36"/>
  <c r="AC26" i="36"/>
  <c r="S14" i="36"/>
  <c r="U14" i="36"/>
  <c r="S10" i="36"/>
  <c r="W18" i="36"/>
  <c r="AC18" i="36"/>
  <c r="AC12" i="36"/>
  <c r="W25" i="36"/>
  <c r="AC20" i="36"/>
  <c r="W28" i="36"/>
  <c r="AB16" i="36"/>
  <c r="AB18" i="36"/>
  <c r="U18" i="36"/>
  <c r="S28" i="36"/>
  <c r="S29" i="36"/>
  <c r="W35" i="35"/>
  <c r="W24" i="35"/>
  <c r="AC25" i="35"/>
  <c r="S23" i="35"/>
  <c r="W11" i="35"/>
  <c r="W10" i="35"/>
  <c r="AB16" i="35"/>
  <c r="W14" i="35"/>
  <c r="W34" i="35"/>
  <c r="AC26" i="35"/>
  <c r="W28" i="35"/>
  <c r="AC27" i="35"/>
  <c r="U35" i="35"/>
  <c r="AB10" i="35"/>
  <c r="U8" i="35"/>
  <c r="AB12" i="35"/>
  <c r="AA13" i="35"/>
  <c r="S20" i="35"/>
  <c r="AB13" i="35"/>
  <c r="S10" i="35"/>
  <c r="S34" i="37"/>
  <c r="W32" i="37"/>
  <c r="W26"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AB10" i="37"/>
  <c r="AC21" i="37"/>
  <c r="W21" i="37"/>
  <c r="W14" i="37"/>
  <c r="AC19" i="37"/>
  <c r="AB11" i="37"/>
  <c r="S37" i="37"/>
  <c r="AA38" i="37"/>
  <c r="W35" i="34"/>
  <c r="AB11" i="34"/>
  <c r="AC28" i="34"/>
  <c r="AB41" i="34"/>
  <c r="S38" i="34"/>
  <c r="S36" i="34"/>
  <c r="S43" i="34"/>
  <c r="S17" i="34"/>
  <c r="AB17" i="34"/>
  <c r="W15" i="34"/>
  <c r="W31" i="34"/>
  <c r="U36" i="34"/>
  <c r="U21" i="34"/>
  <c r="AB21" i="34"/>
  <c r="AA25" i="34"/>
  <c r="AA41" i="34"/>
  <c r="W42" i="33"/>
  <c r="U25" i="33"/>
  <c r="W11" i="33"/>
  <c r="W25" i="33"/>
  <c r="U27" i="33"/>
  <c r="U34" i="33"/>
  <c r="U38" i="33"/>
  <c r="W37" i="33"/>
  <c r="W43" i="33"/>
  <c r="AC41" i="33"/>
  <c r="AA45" i="33"/>
  <c r="S23" i="33"/>
  <c r="S17" i="33"/>
  <c r="W17" i="33"/>
  <c r="U15" i="33"/>
  <c r="AB9" i="33"/>
  <c r="S10" i="33"/>
  <c r="W39" i="33"/>
  <c r="W13" i="33"/>
  <c r="AC19" i="33"/>
  <c r="W21" i="33"/>
  <c r="AC21" i="33"/>
  <c r="AB42" i="33"/>
  <c r="U13" i="33"/>
  <c r="U39" i="33"/>
  <c r="S42" i="33"/>
  <c r="W42" i="21"/>
  <c r="AA39" i="21"/>
  <c r="AA34" i="21"/>
  <c r="AC26" i="21"/>
  <c r="AB39" i="21"/>
  <c r="AC37" i="21"/>
  <c r="AC28" i="21"/>
  <c r="AB23" i="21"/>
  <c r="U19" i="21"/>
  <c r="U43" i="21"/>
  <c r="U26" i="21"/>
  <c r="AB44" i="21"/>
  <c r="U30" i="21"/>
  <c r="AB36" i="21"/>
  <c r="AA36" i="21"/>
  <c r="AA43" i="21"/>
  <c r="AB32" i="21"/>
  <c r="S28" i="21"/>
  <c r="AB21" i="21"/>
  <c r="U21" i="21"/>
  <c r="AC19" i="21"/>
  <c r="S13" i="21"/>
  <c r="AB11" i="21"/>
  <c r="U10" i="21"/>
  <c r="U9" i="21"/>
  <c r="AB8" i="21"/>
  <c r="AA11" i="21"/>
  <c r="AA14" i="21"/>
  <c r="S8" i="21"/>
  <c r="D33" i="50"/>
  <c r="D12" i="50"/>
  <c r="B26" i="60" s="1"/>
  <c r="D34" i="50"/>
  <c r="D13" i="50"/>
  <c r="B27" i="60" s="1"/>
  <c r="D31" i="50"/>
  <c r="D32" i="50" s="1"/>
  <c r="D10" i="50"/>
  <c r="D11" i="50" s="1"/>
  <c r="B25" i="60" s="1"/>
  <c r="D112" i="57"/>
  <c r="D35" i="50"/>
  <c r="D14" i="50"/>
  <c r="B28" i="60" s="1"/>
  <c r="C18" i="9"/>
  <c r="D18" i="9" s="1"/>
  <c r="D22" i="15"/>
  <c r="Y25" i="31"/>
  <c r="C37" i="57" s="1"/>
  <c r="F125" i="57" s="1"/>
  <c r="G125" i="57" s="1"/>
  <c r="V25" i="31"/>
  <c r="C36" i="57" s="1"/>
  <c r="D125" i="57" s="1"/>
  <c r="H102" i="43"/>
  <c r="M6" i="43"/>
  <c r="M5" i="43"/>
  <c r="F81" i="43"/>
  <c r="H85" i="43" s="1"/>
  <c r="H13" i="44"/>
  <c r="H11" i="44"/>
  <c r="C51" i="10"/>
  <c r="A8" i="54"/>
  <c r="B8" i="60" s="1"/>
  <c r="F2" i="21"/>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s="1"/>
  <c r="C20" i="12"/>
  <c r="C19" i="12"/>
  <c r="G22" i="11"/>
  <c r="G41" i="11"/>
  <c r="E48" i="43"/>
  <c r="H113"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53" i="10"/>
  <c r="D123" i="9"/>
  <c r="D6" i="52" s="1"/>
  <c r="D124" i="9"/>
  <c r="D7" i="52"/>
  <c r="N49" i="57"/>
  <c r="L109" i="43"/>
  <c r="C104" i="43"/>
  <c r="A125" i="57"/>
  <c r="N104" i="46"/>
  <c r="J17" i="43"/>
  <c r="C7" i="21"/>
  <c r="C58" i="21" s="1"/>
  <c r="D58" i="21" s="1"/>
  <c r="C7" i="37"/>
  <c r="C52" i="37" s="1"/>
  <c r="D52" i="37" s="1"/>
  <c r="E52" i="37" s="1"/>
  <c r="F52" i="37" s="1"/>
  <c r="L104" i="43"/>
  <c r="D105" i="43"/>
  <c r="K103" i="43"/>
  <c r="C105" i="43"/>
  <c r="B117" i="43"/>
  <c r="C117" i="43" s="1"/>
  <c r="N106" i="43"/>
  <c r="G37" i="47"/>
  <c r="G19" i="43"/>
  <c r="O19" i="43" s="1"/>
  <c r="F36" i="43"/>
  <c r="C17" i="43"/>
  <c r="F35" i="43"/>
  <c r="F37" i="43"/>
  <c r="F39" i="43"/>
  <c r="K17" i="43"/>
  <c r="C7" i="36"/>
  <c r="C46" i="36" s="1"/>
  <c r="F38" i="43"/>
  <c r="K86" i="43"/>
  <c r="J86" i="43"/>
  <c r="D86" i="43"/>
  <c r="M87" i="43"/>
  <c r="N87" i="43" s="1"/>
  <c r="K82" i="43"/>
  <c r="J82" i="43" s="1"/>
  <c r="D82" i="43"/>
  <c r="M83" i="43"/>
  <c r="N83" i="43"/>
  <c r="D117" i="43"/>
  <c r="E117" i="43" s="1"/>
  <c r="F117" i="43" s="1"/>
  <c r="G117" i="43" s="1"/>
  <c r="H117" i="43" s="1"/>
  <c r="E105" i="43"/>
  <c r="F106" i="43"/>
  <c r="M12" i="43"/>
  <c r="M8" i="43"/>
  <c r="N7" i="43"/>
  <c r="M3" i="43"/>
  <c r="M11" i="43"/>
  <c r="N8" i="43"/>
  <c r="H8" i="44"/>
  <c r="H12" i="44"/>
  <c r="C62" i="39"/>
  <c r="M85" i="43"/>
  <c r="N85" i="43"/>
  <c r="K85" i="43"/>
  <c r="J85" i="43"/>
  <c r="D85" i="43"/>
  <c r="M82" i="43"/>
  <c r="N82" i="43" s="1"/>
  <c r="K83" i="43"/>
  <c r="J83" i="43" s="1"/>
  <c r="D83" i="43"/>
  <c r="F103" i="43"/>
  <c r="J107" i="43"/>
  <c r="J104" i="43"/>
  <c r="N109" i="43"/>
  <c r="N105" i="43"/>
  <c r="E102" i="43"/>
  <c r="E106" i="43"/>
  <c r="I103" i="43"/>
  <c r="M107" i="43"/>
  <c r="M104" i="43"/>
  <c r="B115" i="43"/>
  <c r="C115" i="43" s="1"/>
  <c r="D118" i="43"/>
  <c r="E118" i="43" s="1"/>
  <c r="F118" i="43" s="1"/>
  <c r="M7" i="15"/>
  <c r="J6" i="15" s="1"/>
  <c r="F35" i="15"/>
  <c r="F64" i="15" s="1"/>
  <c r="E18" i="1"/>
  <c r="C34" i="11" s="1"/>
  <c r="A2" i="9"/>
  <c r="W23" i="40"/>
  <c r="U23" i="40"/>
  <c r="AB31" i="40"/>
  <c r="AC13" i="40"/>
  <c r="S11" i="40"/>
  <c r="AB32" i="39"/>
  <c r="W42" i="39"/>
  <c r="W34" i="39"/>
  <c r="W32" i="39"/>
  <c r="AA32" i="39"/>
  <c r="AA25" i="39"/>
  <c r="S29" i="39"/>
  <c r="AB43" i="39"/>
  <c r="AC41" i="39"/>
  <c r="U11" i="39"/>
  <c r="W36" i="39"/>
  <c r="S34" i="39"/>
  <c r="S39" i="39"/>
  <c r="U9" i="39"/>
  <c r="AA13" i="36"/>
  <c r="AA33" i="36"/>
  <c r="S8" i="36"/>
  <c r="AB34" i="35"/>
  <c r="W29" i="35"/>
  <c r="W33" i="35"/>
  <c r="U22" i="35"/>
  <c r="AA29" i="35"/>
  <c r="S22" i="35"/>
  <c r="U28" i="35"/>
  <c r="AB27" i="35"/>
  <c r="U36" i="35"/>
  <c r="S35" i="35"/>
  <c r="S26" i="35"/>
  <c r="AB26" i="35"/>
  <c r="AA25" i="35"/>
  <c r="S28" i="35"/>
  <c r="AC34" i="37"/>
  <c r="U29" i="37"/>
  <c r="U30" i="37"/>
  <c r="AC29" i="37"/>
  <c r="AC13" i="37"/>
  <c r="AA13" i="37"/>
  <c r="W25" i="37"/>
  <c r="S9" i="37"/>
  <c r="G84" i="34"/>
  <c r="J21" i="34"/>
  <c r="W21" i="34" s="1"/>
  <c r="AC19" i="34"/>
  <c r="AC23" i="34"/>
  <c r="AB28" i="34"/>
  <c r="AB37" i="34"/>
  <c r="W41" i="34"/>
  <c r="AA45" i="34"/>
  <c r="AB35" i="34"/>
  <c r="AB27" i="34"/>
  <c r="W29" i="34"/>
  <c r="U34" i="34"/>
  <c r="S34" i="34"/>
  <c r="AC25" i="34"/>
  <c r="W44" i="34"/>
  <c r="AB44" i="34"/>
  <c r="AA33" i="34"/>
  <c r="AB47" i="34"/>
  <c r="AB14" i="34"/>
  <c r="AA29" i="34"/>
  <c r="AB13" i="34"/>
  <c r="U10" i="34"/>
  <c r="S13" i="34"/>
  <c r="AB29" i="34"/>
  <c r="U37" i="33"/>
  <c r="U19" i="33"/>
  <c r="AA43" i="33"/>
  <c r="S32" i="33"/>
  <c r="U30" i="33"/>
  <c r="S39" i="33"/>
  <c r="AB26" i="33"/>
  <c r="W35" i="33"/>
  <c r="W40" i="33"/>
  <c r="U35" i="33"/>
  <c r="AC45" i="33"/>
  <c r="AB36" i="33"/>
  <c r="AA19" i="33"/>
  <c r="G83" i="21"/>
  <c r="J21" i="21"/>
  <c r="S27" i="21"/>
  <c r="AC31" i="21"/>
  <c r="AA32" i="21"/>
  <c r="AB25" i="21"/>
  <c r="AA25" i="21"/>
  <c r="U40" i="21"/>
  <c r="S46" i="21"/>
  <c r="AC46" i="21"/>
  <c r="AA26" i="21"/>
  <c r="W10" i="21"/>
  <c r="S35" i="21"/>
  <c r="C15" i="39"/>
  <c r="C17" i="39"/>
  <c r="C19" i="39"/>
  <c r="C15" i="40"/>
  <c r="C17" i="40"/>
  <c r="B54" i="43"/>
  <c r="B65" i="43"/>
  <c r="U30" i="40"/>
  <c r="B49" i="43"/>
  <c r="B52" i="43"/>
  <c r="B56" i="43"/>
  <c r="B60" i="43"/>
  <c r="B63" i="43"/>
  <c r="B67" i="43"/>
  <c r="AC21" i="40"/>
  <c r="AB35" i="40"/>
  <c r="U37" i="40"/>
  <c r="AB37" i="40"/>
  <c r="W37" i="40"/>
  <c r="AC37" i="40"/>
  <c r="AA28" i="40"/>
  <c r="S28" i="40"/>
  <c r="W28" i="40"/>
  <c r="AB28" i="40"/>
  <c r="U21" i="40"/>
  <c r="S21" i="40"/>
  <c r="AA21" i="40"/>
  <c r="AB17" i="40"/>
  <c r="AA17" i="40"/>
  <c r="AC17" i="40"/>
  <c r="AA15" i="40"/>
  <c r="S15" i="40"/>
  <c r="W15" i="40"/>
  <c r="U33" i="37"/>
  <c r="S33" i="37"/>
  <c r="S35" i="37"/>
  <c r="W33" i="37"/>
  <c r="AA19" i="37"/>
  <c r="S19" i="37"/>
  <c r="AB19" i="37"/>
  <c r="AC15" i="37"/>
  <c r="W15" i="37"/>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59" i="43"/>
  <c r="H67" i="43"/>
  <c r="H84" i="43"/>
  <c r="H9" i="44"/>
  <c r="H7" i="44"/>
  <c r="H10" i="44"/>
  <c r="N12" i="43"/>
  <c r="N4" i="43"/>
  <c r="F70" i="43" s="1"/>
  <c r="M7" i="43"/>
  <c r="N1" i="43"/>
  <c r="M10" i="43"/>
  <c r="M2" i="43"/>
  <c r="H15" i="44"/>
  <c r="H87" i="43"/>
  <c r="H61" i="43"/>
  <c r="H5" i="44"/>
  <c r="N10" i="43"/>
  <c r="N2" i="43"/>
  <c r="N11" i="43"/>
  <c r="N9" i="43"/>
  <c r="M4" i="43"/>
  <c r="C6" i="43" s="1"/>
  <c r="N5" i="43"/>
  <c r="N3" i="43"/>
  <c r="M9" i="43"/>
  <c r="E17" i="43"/>
  <c r="N17" i="43"/>
  <c r="L17" i="43"/>
  <c r="O17" i="43"/>
  <c r="M17" i="43"/>
  <c r="J1" i="61"/>
  <c r="C23" i="59"/>
  <c r="D23" i="59"/>
  <c r="D24" i="59"/>
  <c r="B25" i="59"/>
  <c r="S25" i="59" s="1"/>
  <c r="AB25" i="59"/>
  <c r="U25" i="59"/>
  <c r="AA24" i="59"/>
  <c r="X24" i="59"/>
  <c r="AB24" i="59"/>
  <c r="AA23" i="59"/>
  <c r="Y23" i="59"/>
  <c r="Z23" i="59"/>
  <c r="Y21" i="59"/>
  <c r="Z21" i="59"/>
  <c r="AB21" i="59"/>
  <c r="AB19" i="59"/>
  <c r="X21" i="59"/>
  <c r="X19" i="59"/>
  <c r="AA21" i="59"/>
  <c r="AA19" i="59"/>
  <c r="AB20" i="59"/>
  <c r="X20" i="59"/>
  <c r="U21" i="59"/>
  <c r="J30" i="35"/>
  <c r="W30" i="35" s="1"/>
  <c r="H30" i="35"/>
  <c r="AB30" i="35" s="1"/>
  <c r="N56" i="9"/>
  <c r="O56" i="9"/>
  <c r="O58" i="57"/>
  <c r="K58" i="57"/>
  <c r="K59" i="57" s="1"/>
  <c r="K61" i="57" s="1"/>
  <c r="K63" i="57" s="1"/>
  <c r="N58" i="57"/>
  <c r="K56" i="9"/>
  <c r="K57" i="9" s="1"/>
  <c r="K59" i="9" s="1"/>
  <c r="K61" i="9" s="1"/>
  <c r="L58" i="57"/>
  <c r="C22" i="59"/>
  <c r="C21" i="59"/>
  <c r="C20" i="59" s="1"/>
  <c r="C19" i="59" s="1"/>
  <c r="C18" i="59" s="1"/>
  <c r="D18" i="59" s="1"/>
  <c r="X3" i="59"/>
  <c r="Y3" i="59"/>
  <c r="Z3" i="59" s="1"/>
  <c r="D22" i="59"/>
  <c r="F48" i="43"/>
  <c r="H50" i="43" s="1"/>
  <c r="G4" i="47"/>
  <c r="B24" i="59"/>
  <c r="B23" i="59" s="1"/>
  <c r="B22" i="59" s="1"/>
  <c r="B21" i="59" s="1"/>
  <c r="AC30" i="35"/>
  <c r="U30" i="35"/>
  <c r="D20" i="59"/>
  <c r="I116" i="57"/>
  <c r="D133" i="57" s="1"/>
  <c r="D120" i="57"/>
  <c r="I114" i="9"/>
  <c r="D129" i="9" s="1"/>
  <c r="I112" i="9"/>
  <c r="D116" i="9"/>
  <c r="D114" i="9"/>
  <c r="D115" i="9"/>
  <c r="I113" i="9" s="1"/>
  <c r="D19" i="9"/>
  <c r="E2" i="33"/>
  <c r="H23" i="31"/>
  <c r="D4" i="61"/>
  <c r="D20" i="9"/>
  <c r="E2" i="35"/>
  <c r="E2" i="21"/>
  <c r="E2" i="37"/>
  <c r="C20" i="9"/>
  <c r="D3" i="61"/>
  <c r="D7" i="61"/>
  <c r="E2" i="36"/>
  <c r="C19" i="9"/>
  <c r="E2" i="11"/>
  <c r="F5" i="61"/>
  <c r="F6" i="61"/>
  <c r="E2" i="34"/>
  <c r="F4" i="61"/>
  <c r="D5" i="61"/>
  <c r="F7" i="61"/>
  <c r="D6" i="61"/>
  <c r="F3" i="61"/>
  <c r="W28" i="33" l="1"/>
  <c r="AA36" i="33"/>
  <c r="W36" i="33"/>
  <c r="W8" i="33"/>
  <c r="S8" i="33"/>
  <c r="S385" i="31"/>
  <c r="T477" i="31"/>
  <c r="S129" i="31"/>
  <c r="S513" i="31"/>
  <c r="S125" i="31"/>
  <c r="S515" i="31"/>
  <c r="S213" i="31"/>
  <c r="S187" i="31"/>
  <c r="T323" i="31"/>
  <c r="S417" i="31"/>
  <c r="S353" i="31"/>
  <c r="S463" i="31"/>
  <c r="S181" i="31"/>
  <c r="T61" i="31"/>
  <c r="S219" i="31"/>
  <c r="S127" i="31"/>
  <c r="T291" i="31"/>
  <c r="S403" i="31"/>
  <c r="S495" i="31"/>
  <c r="S39" i="31"/>
  <c r="S401" i="31"/>
  <c r="S369" i="31"/>
  <c r="S337" i="31"/>
  <c r="S87" i="31"/>
  <c r="S435" i="31"/>
  <c r="S165" i="31"/>
  <c r="S197" i="31"/>
  <c r="S431" i="31"/>
  <c r="T79" i="31"/>
  <c r="T493" i="31"/>
  <c r="S203" i="31"/>
  <c r="S171" i="31"/>
  <c r="S461" i="31"/>
  <c r="T275" i="31"/>
  <c r="T307" i="31"/>
  <c r="S355" i="31"/>
  <c r="S35" i="31"/>
  <c r="S479" i="31"/>
  <c r="S117" i="31"/>
  <c r="S425" i="31"/>
  <c r="S409" i="31"/>
  <c r="S393" i="31"/>
  <c r="S377" i="31"/>
  <c r="S361" i="31"/>
  <c r="S345" i="31"/>
  <c r="S329" i="31"/>
  <c r="S107" i="31"/>
  <c r="S455" i="31"/>
  <c r="S501" i="31"/>
  <c r="S443" i="31"/>
  <c r="S145" i="31"/>
  <c r="S173" i="31"/>
  <c r="S189" i="31"/>
  <c r="S205" i="31"/>
  <c r="S221" i="31"/>
  <c r="T49" i="31"/>
  <c r="T69" i="31"/>
  <c r="T451" i="31"/>
  <c r="T485" i="31"/>
  <c r="T507" i="31"/>
  <c r="S211" i="31"/>
  <c r="S195" i="31"/>
  <c r="S179" i="31"/>
  <c r="S159" i="31"/>
  <c r="S433" i="31"/>
  <c r="S93" i="31"/>
  <c r="T267" i="31"/>
  <c r="T283" i="31"/>
  <c r="T299" i="31"/>
  <c r="T315" i="31"/>
  <c r="S339" i="31"/>
  <c r="S387" i="31"/>
  <c r="S419" i="31"/>
  <c r="S491" i="31"/>
  <c r="S371" i="31"/>
  <c r="S487" i="31"/>
  <c r="S471" i="31"/>
  <c r="S121" i="31"/>
  <c r="S55" i="31"/>
  <c r="S31" i="31"/>
  <c r="S421" i="31"/>
  <c r="S413" i="31"/>
  <c r="S405" i="31"/>
  <c r="S397" i="31"/>
  <c r="S389" i="31"/>
  <c r="S381" i="31"/>
  <c r="S373" i="31"/>
  <c r="S365" i="31"/>
  <c r="S357" i="31"/>
  <c r="S349" i="31"/>
  <c r="S341" i="31"/>
  <c r="S333" i="31"/>
  <c r="S325" i="31"/>
  <c r="S511" i="31"/>
  <c r="S33" i="31"/>
  <c r="S95" i="31"/>
  <c r="S459" i="31"/>
  <c r="S467" i="31"/>
  <c r="S509" i="31"/>
  <c r="S439" i="31"/>
  <c r="S447" i="31"/>
  <c r="S137" i="31"/>
  <c r="S153" i="31"/>
  <c r="S169" i="31"/>
  <c r="S177" i="31"/>
  <c r="S185" i="31"/>
  <c r="S193" i="31"/>
  <c r="S201" i="31"/>
  <c r="S209" i="31"/>
  <c r="S217" i="31"/>
  <c r="S225" i="31"/>
  <c r="T41" i="31"/>
  <c r="T57" i="31"/>
  <c r="T65" i="31"/>
  <c r="T73" i="31"/>
  <c r="T449" i="31"/>
  <c r="T473" i="31"/>
  <c r="T481" i="31"/>
  <c r="T489" i="31"/>
  <c r="T497" i="31"/>
  <c r="S223" i="31"/>
  <c r="S215" i="31"/>
  <c r="S207" i="31"/>
  <c r="S199" i="31"/>
  <c r="S191" i="31"/>
  <c r="S183" i="31"/>
  <c r="S175" i="31"/>
  <c r="S167" i="31"/>
  <c r="S143" i="31"/>
  <c r="S441" i="31"/>
  <c r="S469" i="31"/>
  <c r="S453" i="31"/>
  <c r="S101" i="31"/>
  <c r="T263" i="31"/>
  <c r="T271" i="31"/>
  <c r="T279" i="31"/>
  <c r="T287" i="31"/>
  <c r="T295" i="31"/>
  <c r="T303" i="31"/>
  <c r="T311" i="31"/>
  <c r="T319" i="31"/>
  <c r="S331" i="31"/>
  <c r="S347" i="31"/>
  <c r="S363" i="31"/>
  <c r="S379" i="31"/>
  <c r="S395" i="31"/>
  <c r="S411" i="31"/>
  <c r="S427" i="31"/>
  <c r="S475" i="31"/>
  <c r="S227" i="31"/>
  <c r="S229" i="31"/>
  <c r="S231" i="31"/>
  <c r="S233" i="31"/>
  <c r="S235" i="31"/>
  <c r="S237" i="31"/>
  <c r="S239" i="31"/>
  <c r="S241" i="31"/>
  <c r="S243" i="31"/>
  <c r="S245" i="31"/>
  <c r="S247" i="31"/>
  <c r="S249" i="31"/>
  <c r="S251" i="31"/>
  <c r="T163" i="31"/>
  <c r="S163" i="31"/>
  <c r="T161" i="31"/>
  <c r="S161" i="31"/>
  <c r="T155" i="31"/>
  <c r="S155" i="31"/>
  <c r="T147" i="31"/>
  <c r="S147" i="31"/>
  <c r="T139" i="31"/>
  <c r="S139" i="31"/>
  <c r="T131" i="31"/>
  <c r="S131" i="31"/>
  <c r="T113" i="31"/>
  <c r="S113" i="31"/>
  <c r="T105" i="31"/>
  <c r="S105" i="31"/>
  <c r="T97" i="31"/>
  <c r="S97" i="31"/>
  <c r="T89" i="31"/>
  <c r="S89" i="31"/>
  <c r="T81" i="31"/>
  <c r="S81" i="31"/>
  <c r="T43" i="31"/>
  <c r="S43" i="31"/>
  <c r="S123" i="31"/>
  <c r="S119" i="31"/>
  <c r="S115" i="31"/>
  <c r="S47" i="31"/>
  <c r="S77" i="31"/>
  <c r="S111" i="31"/>
  <c r="S103" i="31"/>
  <c r="S83" i="31"/>
  <c r="S91" i="31"/>
  <c r="S99" i="31"/>
  <c r="S133" i="31"/>
  <c r="S141" i="31"/>
  <c r="S149" i="31"/>
  <c r="S157" i="31"/>
  <c r="T37" i="31"/>
  <c r="T45" i="31"/>
  <c r="T53" i="31"/>
  <c r="T59" i="31"/>
  <c r="T63" i="31"/>
  <c r="T67" i="31"/>
  <c r="T71" i="31"/>
  <c r="T75" i="31"/>
  <c r="S151" i="31"/>
  <c r="S135" i="31"/>
  <c r="S85" i="31"/>
  <c r="S109" i="31"/>
  <c r="S51" i="31"/>
  <c r="T527" i="31"/>
  <c r="S527" i="31"/>
  <c r="T525" i="31"/>
  <c r="S525" i="31"/>
  <c r="T523" i="31"/>
  <c r="S523" i="31"/>
  <c r="T521" i="31"/>
  <c r="S521" i="31"/>
  <c r="T519" i="31"/>
  <c r="S519" i="31"/>
  <c r="T517" i="31"/>
  <c r="S517" i="31"/>
  <c r="T505" i="31"/>
  <c r="S505" i="31"/>
  <c r="T503" i="31"/>
  <c r="S503" i="31"/>
  <c r="T499" i="31"/>
  <c r="S499" i="31"/>
  <c r="T483" i="31"/>
  <c r="S483" i="31"/>
  <c r="T465" i="31"/>
  <c r="S465" i="31"/>
  <c r="T457" i="31"/>
  <c r="S457" i="31"/>
  <c r="T445" i="31"/>
  <c r="S445" i="31"/>
  <c r="T437" i="31"/>
  <c r="S437" i="31"/>
  <c r="T429" i="31"/>
  <c r="S429"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S273" i="31"/>
  <c r="T273" i="31"/>
  <c r="S269" i="31"/>
  <c r="T269" i="31"/>
  <c r="S265" i="31"/>
  <c r="T265" i="31"/>
  <c r="T164" i="31"/>
  <c r="S164" i="31"/>
  <c r="D80" i="57"/>
  <c r="D78" i="9"/>
  <c r="D95" i="57"/>
  <c r="D93" i="9"/>
  <c r="C29" i="11"/>
  <c r="D27" i="11" s="1"/>
  <c r="C112" i="57"/>
  <c r="H107" i="57" s="1"/>
  <c r="B107" i="57"/>
  <c r="C110" i="57"/>
  <c r="H104" i="57" s="1"/>
  <c r="C120" i="57"/>
  <c r="H116" i="57" s="1"/>
  <c r="D32" i="9"/>
  <c r="C114" i="57"/>
  <c r="H109" i="57" s="1"/>
  <c r="A131" i="9"/>
  <c r="B101" i="9"/>
  <c r="B58" i="60"/>
  <c r="D42" i="50"/>
  <c r="D43" i="50" s="1"/>
  <c r="C17" i="15"/>
  <c r="D19" i="11"/>
  <c r="C19" i="11" s="1"/>
  <c r="C20" i="11" s="1"/>
  <c r="C28" i="11" s="1"/>
  <c r="C27" i="11" s="1"/>
  <c r="D3" i="21"/>
  <c r="D3" i="36"/>
  <c r="D3" i="33"/>
  <c r="C33" i="33" s="1"/>
  <c r="D3" i="35"/>
  <c r="D37" i="11"/>
  <c r="C37" i="11" s="1"/>
  <c r="F43" i="15"/>
  <c r="F72" i="15" s="1"/>
  <c r="J52" i="15"/>
  <c r="M60" i="15" s="1"/>
  <c r="C7" i="34"/>
  <c r="C59" i="34" s="1"/>
  <c r="D59" i="34" s="1"/>
  <c r="C7" i="33"/>
  <c r="N47" i="9"/>
  <c r="C7" i="39"/>
  <c r="C67" i="39" s="1"/>
  <c r="C69" i="39" s="1"/>
  <c r="C7" i="35"/>
  <c r="C48" i="35" s="1"/>
  <c r="D48" i="35" s="1"/>
  <c r="E48" i="35" s="1"/>
  <c r="F48" i="35" s="1"/>
  <c r="G48" i="35" s="1"/>
  <c r="H48" i="35" s="1"/>
  <c r="C7" i="40"/>
  <c r="C62" i="40" s="1"/>
  <c r="W9" i="34"/>
  <c r="AC9" i="34"/>
  <c r="B20" i="59"/>
  <c r="B19" i="59" s="1"/>
  <c r="B18" i="59" s="1"/>
  <c r="B17" i="59" s="1"/>
  <c r="S21" i="59"/>
  <c r="AB39" i="37"/>
  <c r="U39" i="37"/>
  <c r="AA38" i="40"/>
  <c r="S38" i="40"/>
  <c r="AC40" i="40"/>
  <c r="W40" i="40"/>
  <c r="AA31" i="35"/>
  <c r="S31" i="35"/>
  <c r="D39" i="50"/>
  <c r="D40" i="50" s="1"/>
  <c r="D19" i="59"/>
  <c r="I14" i="62"/>
  <c r="B8" i="62" s="1"/>
  <c r="C8" i="62" s="1"/>
  <c r="D21" i="59"/>
  <c r="T21" i="59"/>
  <c r="AA30" i="35"/>
  <c r="H86" i="43"/>
  <c r="H64" i="43"/>
  <c r="H66" i="43"/>
  <c r="H60" i="43"/>
  <c r="AC21" i="34"/>
  <c r="U35" i="37"/>
  <c r="B23" i="60"/>
  <c r="W23" i="21"/>
  <c r="W15" i="33"/>
  <c r="AB29" i="33"/>
  <c r="U32" i="33"/>
  <c r="AA28" i="33"/>
  <c r="AC32" i="33"/>
  <c r="AA31" i="34"/>
  <c r="AC13" i="34"/>
  <c r="AC45" i="34"/>
  <c r="U31" i="34"/>
  <c r="S35" i="34"/>
  <c r="AC33" i="34"/>
  <c r="W43" i="34"/>
  <c r="AB45" i="34"/>
  <c r="AA27" i="34"/>
  <c r="AB40" i="34"/>
  <c r="U38" i="37"/>
  <c r="U26" i="37"/>
  <c r="S40" i="37"/>
  <c r="AC16" i="35"/>
  <c r="W36" i="35"/>
  <c r="AA33" i="35"/>
  <c r="S36" i="35"/>
  <c r="U33" i="35"/>
  <c r="S20" i="36"/>
  <c r="U40" i="39"/>
  <c r="S43" i="39"/>
  <c r="AB37" i="39"/>
  <c r="S14" i="40"/>
  <c r="AC14" i="40"/>
  <c r="S33" i="40"/>
  <c r="S23" i="40"/>
  <c r="D116" i="43"/>
  <c r="E116" i="43" s="1"/>
  <c r="F116" i="43" s="1"/>
  <c r="G116" i="43" s="1"/>
  <c r="H116" i="43" s="1"/>
  <c r="H81" i="43"/>
  <c r="B116" i="43"/>
  <c r="C116" i="43" s="1"/>
  <c r="H65" i="43"/>
  <c r="D115" i="43"/>
  <c r="E115" i="43" s="1"/>
  <c r="F115" i="43" s="1"/>
  <c r="G104" i="43"/>
  <c r="D102" i="43"/>
  <c r="H104" i="43"/>
  <c r="K106" i="43"/>
  <c r="U17" i="21"/>
  <c r="S17" i="21"/>
  <c r="U27" i="21"/>
  <c r="W34" i="21"/>
  <c r="W40" i="21"/>
  <c r="AC32" i="21"/>
  <c r="AA15" i="21"/>
  <c r="W39" i="21"/>
  <c r="AB41" i="33"/>
  <c r="AC46" i="33"/>
  <c r="AC12" i="33"/>
  <c r="U46" i="33"/>
  <c r="AC27" i="33"/>
  <c r="U17" i="33"/>
  <c r="AA46" i="34"/>
  <c r="U23" i="34"/>
  <c r="AB19" i="34"/>
  <c r="U43" i="34"/>
  <c r="S40" i="34"/>
  <c r="AC39" i="34"/>
  <c r="AA14" i="37"/>
  <c r="W11" i="37"/>
  <c r="U9" i="37"/>
  <c r="AB28" i="37"/>
  <c r="U14" i="35"/>
  <c r="AA12" i="35"/>
  <c r="AB23" i="35"/>
  <c r="U13" i="36"/>
  <c r="W8" i="36"/>
  <c r="W29" i="36"/>
  <c r="AC32" i="36"/>
  <c r="AA25" i="36"/>
  <c r="U27" i="36"/>
  <c r="W14" i="36"/>
  <c r="S11" i="36"/>
  <c r="S34" i="36"/>
  <c r="AA12" i="39"/>
  <c r="S31" i="39"/>
  <c r="U19" i="39"/>
  <c r="W35" i="39"/>
  <c r="S23" i="39"/>
  <c r="U14" i="40"/>
  <c r="W35" i="40"/>
  <c r="W31" i="40"/>
  <c r="U23" i="39"/>
  <c r="S27" i="36"/>
  <c r="U45" i="21"/>
  <c r="S31" i="21"/>
  <c r="AA27" i="33"/>
  <c r="S40" i="21"/>
  <c r="S24" i="36"/>
  <c r="AB13" i="21"/>
  <c r="W29" i="21"/>
  <c r="G103" i="43"/>
  <c r="F40" i="40"/>
  <c r="H40" i="40"/>
  <c r="H38" i="40"/>
  <c r="J38" i="40"/>
  <c r="F9" i="33"/>
  <c r="J9" i="33"/>
  <c r="AA32" i="34"/>
  <c r="AC14" i="39"/>
  <c r="H9" i="34"/>
  <c r="S15" i="34"/>
  <c r="U11" i="36"/>
  <c r="AB13" i="37"/>
  <c r="AB13" i="40"/>
  <c r="AA29" i="33"/>
  <c r="F9" i="34"/>
  <c r="U36" i="37"/>
  <c r="U25" i="35"/>
  <c r="AA35" i="39"/>
  <c r="W17" i="21"/>
  <c r="AC35" i="21"/>
  <c r="W29" i="39"/>
  <c r="AC13" i="39"/>
  <c r="AC9" i="37"/>
  <c r="W38" i="37"/>
  <c r="AC31" i="33"/>
  <c r="W14" i="33"/>
  <c r="W47" i="34"/>
  <c r="AC12" i="35"/>
  <c r="F31" i="40"/>
  <c r="AB28" i="33"/>
  <c r="AB45" i="33"/>
  <c r="AC11" i="36"/>
  <c r="S46" i="33"/>
  <c r="AC14" i="34"/>
  <c r="S14" i="33"/>
  <c r="S47" i="34"/>
  <c r="AB37" i="37"/>
  <c r="AA44" i="33"/>
  <c r="H12" i="40"/>
  <c r="AA37" i="33"/>
  <c r="U34" i="37"/>
  <c r="AC34" i="36"/>
  <c r="AA12" i="33"/>
  <c r="U39" i="39"/>
  <c r="AB39" i="39"/>
  <c r="AA41" i="21"/>
  <c r="F12" i="21"/>
  <c r="J12" i="21"/>
  <c r="H12" i="21"/>
  <c r="U12" i="33"/>
  <c r="AB12" i="33"/>
  <c r="J23" i="35"/>
  <c r="AC23" i="36"/>
  <c r="W23" i="36"/>
  <c r="H9" i="36"/>
  <c r="J9" i="36"/>
  <c r="F9" i="36"/>
  <c r="W38" i="21"/>
  <c r="AC38" i="21"/>
  <c r="J26" i="33"/>
  <c r="F26" i="33"/>
  <c r="AB32" i="35"/>
  <c r="U32" i="35"/>
  <c r="S31" i="36"/>
  <c r="AA31" i="36"/>
  <c r="AB14" i="37"/>
  <c r="U14" i="37"/>
  <c r="J39" i="37"/>
  <c r="F39" i="37"/>
  <c r="AA40" i="33"/>
  <c r="S40" i="33"/>
  <c r="D4" i="47"/>
  <c r="F4" i="47" s="1"/>
  <c r="B2" i="47" s="1"/>
  <c r="O67" i="59"/>
  <c r="O66" i="59"/>
  <c r="D67" i="59"/>
  <c r="D44" i="59"/>
  <c r="C45" i="59"/>
  <c r="D55" i="59"/>
  <c r="C56" i="59"/>
  <c r="D63" i="59"/>
  <c r="C64" i="59"/>
  <c r="D53" i="59"/>
  <c r="T53" i="59"/>
  <c r="C32" i="59"/>
  <c r="D31" i="59"/>
  <c r="S21" i="21"/>
  <c r="C29" i="39"/>
  <c r="C25" i="40"/>
  <c r="B66" i="43"/>
  <c r="F31" i="59"/>
  <c r="F32" i="59" s="1"/>
  <c r="F33" i="59" s="1"/>
  <c r="V33" i="59" s="1"/>
  <c r="F35" i="59"/>
  <c r="F36" i="59" s="1"/>
  <c r="F37" i="59" s="1"/>
  <c r="V37" i="59" s="1"/>
  <c r="X7" i="59"/>
  <c r="X5" i="59"/>
  <c r="X6" i="59"/>
  <c r="X8" i="59"/>
  <c r="X11" i="59"/>
  <c r="X10" i="59"/>
  <c r="X9" i="59"/>
  <c r="X12" i="59"/>
  <c r="X40" i="59"/>
  <c r="P69" i="59"/>
  <c r="V73" i="59"/>
  <c r="F72" i="59"/>
  <c r="F71" i="59" s="1"/>
  <c r="V81" i="59"/>
  <c r="F80" i="59"/>
  <c r="F79" i="59" s="1"/>
  <c r="Y30" i="59"/>
  <c r="Z30" i="59" s="1"/>
  <c r="AB23" i="59"/>
  <c r="B55" i="43"/>
  <c r="U29" i="59"/>
  <c r="D68" i="59"/>
  <c r="D29" i="59"/>
  <c r="AA26" i="59"/>
  <c r="AA29" i="59"/>
  <c r="AB29" i="59"/>
  <c r="AB27" i="59"/>
  <c r="AB3" i="59"/>
  <c r="S29" i="59"/>
  <c r="C80" i="59"/>
  <c r="D47" i="59"/>
  <c r="X26" i="59"/>
  <c r="X29" i="59"/>
  <c r="B31" i="59"/>
  <c r="B32" i="59" s="1"/>
  <c r="B33" i="59" s="1"/>
  <c r="S33" i="59" s="1"/>
  <c r="X32" i="59"/>
  <c r="X33" i="59"/>
  <c r="B35" i="59"/>
  <c r="B36" i="59" s="1"/>
  <c r="B37" i="59" s="1"/>
  <c r="S37" i="59" s="1"/>
  <c r="C35" i="59"/>
  <c r="X36" i="59"/>
  <c r="X37" i="59"/>
  <c r="AA38" i="59"/>
  <c r="E39" i="59"/>
  <c r="E40" i="59" s="1"/>
  <c r="E41" i="59" s="1"/>
  <c r="X39" i="59"/>
  <c r="AB5" i="59"/>
  <c r="AB8" i="59"/>
  <c r="AB6" i="59"/>
  <c r="AB7" i="59"/>
  <c r="AB10" i="59"/>
  <c r="AB9" i="59"/>
  <c r="AB11" i="59"/>
  <c r="AB40" i="59"/>
  <c r="F60" i="59"/>
  <c r="F61" i="59" s="1"/>
  <c r="V61" i="59" s="1"/>
  <c r="S69" i="59"/>
  <c r="N69" i="59"/>
  <c r="P68" i="59"/>
  <c r="V69" i="59"/>
  <c r="F68" i="59"/>
  <c r="U69" i="59"/>
  <c r="S73" i="59"/>
  <c r="B72" i="59"/>
  <c r="B71" i="59" s="1"/>
  <c r="S81" i="59"/>
  <c r="B80" i="59"/>
  <c r="B79" i="59" s="1"/>
  <c r="AB39" i="59"/>
  <c r="AA22" i="59"/>
  <c r="X38" i="59"/>
  <c r="AB38" i="59"/>
  <c r="F39" i="59"/>
  <c r="F40" i="59" s="1"/>
  <c r="F41" i="59" s="1"/>
  <c r="V41" i="59" s="1"/>
  <c r="Y8" i="59"/>
  <c r="Z8" i="59" s="1"/>
  <c r="Y7" i="59"/>
  <c r="Z7" i="59" s="1"/>
  <c r="Y5" i="59"/>
  <c r="Z5" i="59" s="1"/>
  <c r="Y6" i="59"/>
  <c r="Z6" i="59" s="1"/>
  <c r="Y10" i="59"/>
  <c r="Z10" i="59" s="1"/>
  <c r="Y9" i="59"/>
  <c r="Z9" i="59" s="1"/>
  <c r="Y12" i="59"/>
  <c r="Z12" i="59" s="1"/>
  <c r="AA6" i="59"/>
  <c r="AA9" i="59"/>
  <c r="AA5" i="59"/>
  <c r="AA8" i="59"/>
  <c r="AA7" i="59"/>
  <c r="AA11" i="59"/>
  <c r="AA10" i="59"/>
  <c r="AA25" i="59"/>
  <c r="E16" i="59"/>
  <c r="E15" i="59" s="1"/>
  <c r="E14" i="59" s="1"/>
  <c r="E13" i="59" s="1"/>
  <c r="U13" i="59" s="1"/>
  <c r="U17" i="59"/>
  <c r="X23" i="59"/>
  <c r="X25" i="59"/>
  <c r="AA20" i="59"/>
  <c r="AB22" i="59"/>
  <c r="Y22" i="59"/>
  <c r="Z22" i="59" s="1"/>
  <c r="Y20" i="59"/>
  <c r="Z20" i="59" s="1"/>
  <c r="AB18" i="59"/>
  <c r="AA18" i="59"/>
  <c r="AA17" i="59"/>
  <c r="F24" i="59"/>
  <c r="F23" i="59" s="1"/>
  <c r="F22" i="59" s="1"/>
  <c r="F21" i="59" s="1"/>
  <c r="V25" i="59"/>
  <c r="Y25" i="59"/>
  <c r="Z25" i="59" s="1"/>
  <c r="Y24" i="59"/>
  <c r="Z24" i="59" s="1"/>
  <c r="X22" i="59"/>
  <c r="X18" i="59"/>
  <c r="AB17" i="59"/>
  <c r="Y19" i="59"/>
  <c r="Z19" i="59" s="1"/>
  <c r="Y14" i="59"/>
  <c r="Z14" i="59" s="1"/>
  <c r="AB15" i="59"/>
  <c r="X16" i="59"/>
  <c r="AA16" i="59"/>
  <c r="AB12" i="59"/>
  <c r="Y13" i="59"/>
  <c r="Z13" i="59" s="1"/>
  <c r="AA12" i="59"/>
  <c r="AA14" i="59"/>
  <c r="X14" i="59"/>
  <c r="B15" i="50"/>
  <c r="B56" i="60" s="1"/>
  <c r="Y18" i="59"/>
  <c r="Z18" i="59" s="1"/>
  <c r="Y16" i="59"/>
  <c r="Z16" i="59" s="1"/>
  <c r="AB16" i="59"/>
  <c r="AB13" i="59"/>
  <c r="AB14" i="59"/>
  <c r="Y11" i="59"/>
  <c r="Z11" i="59" s="1"/>
  <c r="Y15" i="59"/>
  <c r="Z15" i="59" s="1"/>
  <c r="AA13" i="59"/>
  <c r="AA15" i="59"/>
  <c r="X13" i="59"/>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B105" i="57"/>
  <c r="C118" i="57"/>
  <c r="H114" i="57" s="1"/>
  <c r="S29" i="31"/>
  <c r="C116" i="57"/>
  <c r="H112" i="57" s="1"/>
  <c r="C17" i="12"/>
  <c r="B36" i="50"/>
  <c r="H53" i="43"/>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F7" i="37"/>
  <c r="S7" i="37" s="1"/>
  <c r="B13" i="1"/>
  <c r="I48" i="35"/>
  <c r="J48" i="35" s="1"/>
  <c r="K48" i="35" s="1"/>
  <c r="L48" i="35" s="1"/>
  <c r="M48" i="35" s="1"/>
  <c r="N48" i="35" s="1"/>
  <c r="O48" i="35" s="1"/>
  <c r="H67" i="39"/>
  <c r="D46" i="36"/>
  <c r="G115" i="43"/>
  <c r="H115" i="43" s="1"/>
  <c r="E58" i="21"/>
  <c r="H72" i="43"/>
  <c r="H74" i="43"/>
  <c r="H77" i="43"/>
  <c r="F102" i="43"/>
  <c r="F107" i="43"/>
  <c r="J103" i="43"/>
  <c r="J109" i="43"/>
  <c r="M103" i="43"/>
  <c r="M105" i="43"/>
  <c r="E22" i="43"/>
  <c r="D22" i="43" s="1"/>
  <c r="C21" i="43" s="1"/>
  <c r="H22" i="43"/>
  <c r="B39" i="50"/>
  <c r="B57" i="60"/>
  <c r="J7" i="37"/>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C14" i="50"/>
  <c r="C17" i="59"/>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D22" i="9"/>
  <c r="C101" i="9"/>
  <c r="G19" i="9"/>
  <c r="D102" i="9"/>
  <c r="I1" i="61"/>
  <c r="B31" i="1" s="1"/>
  <c r="C102" i="9"/>
  <c r="G20" i="9"/>
  <c r="C32" i="9" s="1"/>
  <c r="K1" i="61"/>
  <c r="D101" i="9"/>
  <c r="G1" i="61"/>
  <c r="C58" i="33" l="1"/>
  <c r="D58" i="33" s="1"/>
  <c r="E58" i="33" s="1"/>
  <c r="F58" i="33" s="1"/>
  <c r="G58" i="33" s="1"/>
  <c r="H58" i="33" s="1"/>
  <c r="I58" i="33" s="1"/>
  <c r="J58" i="33" s="1"/>
  <c r="K58" i="33" s="1"/>
  <c r="L58" i="33" s="1"/>
  <c r="M58" i="33" s="1"/>
  <c r="N58" i="33" s="1"/>
  <c r="O58" i="33" s="1"/>
  <c r="I7" i="33"/>
  <c r="J7" i="33" s="1"/>
  <c r="W7" i="33" s="1"/>
  <c r="E7" i="33"/>
  <c r="F7" i="33" s="1"/>
  <c r="G7" i="33"/>
  <c r="H7" i="33" s="1"/>
  <c r="H33" i="33"/>
  <c r="F33" i="33"/>
  <c r="J33" i="33"/>
  <c r="N60" i="15"/>
  <c r="D8" i="62"/>
  <c r="C112" i="9"/>
  <c r="H110" i="9" s="1"/>
  <c r="C114" i="9"/>
  <c r="H112" i="9" s="1"/>
  <c r="C106" i="9"/>
  <c r="H102" i="9" s="1"/>
  <c r="C116" i="9"/>
  <c r="H114" i="9" s="1"/>
  <c r="H7" i="35"/>
  <c r="F7" i="35"/>
  <c r="AA7" i="35" s="1"/>
  <c r="R38" i="35" s="1"/>
  <c r="F20" i="59"/>
  <c r="F19" i="59" s="1"/>
  <c r="F18" i="59" s="1"/>
  <c r="F17" i="59" s="1"/>
  <c r="V21" i="59"/>
  <c r="M19" i="43"/>
  <c r="U41" i="59"/>
  <c r="C36" i="59"/>
  <c r="D35" i="59"/>
  <c r="C79" i="59"/>
  <c r="D79" i="59" s="1"/>
  <c r="D80" i="59"/>
  <c r="D32" i="59"/>
  <c r="C33" i="59"/>
  <c r="AC39" i="37"/>
  <c r="W39" i="37"/>
  <c r="W26" i="33"/>
  <c r="AC26" i="33"/>
  <c r="W9" i="36"/>
  <c r="AC9" i="36"/>
  <c r="AC23" i="35"/>
  <c r="W23" i="35"/>
  <c r="AC12" i="21"/>
  <c r="W12" i="21"/>
  <c r="W9" i="33"/>
  <c r="AC9" i="33"/>
  <c r="W38" i="40"/>
  <c r="AC38" i="40"/>
  <c r="AB40" i="40"/>
  <c r="U40" i="40"/>
  <c r="C16" i="59"/>
  <c r="T17" i="59"/>
  <c r="F67" i="59"/>
  <c r="Q68" i="59"/>
  <c r="D64" i="59"/>
  <c r="C65" i="59"/>
  <c r="D56" i="59"/>
  <c r="C57" i="59"/>
  <c r="D45" i="59"/>
  <c r="T45" i="59"/>
  <c r="S39" i="37"/>
  <c r="AA39" i="37"/>
  <c r="S26" i="33"/>
  <c r="AA26" i="33"/>
  <c r="AA9" i="36"/>
  <c r="S9" i="36"/>
  <c r="U9" i="36"/>
  <c r="AB9" i="36"/>
  <c r="AB12" i="21"/>
  <c r="U12" i="21"/>
  <c r="AA12" i="21"/>
  <c r="S12" i="21"/>
  <c r="AB12" i="40"/>
  <c r="U12" i="40"/>
  <c r="AA31" i="40"/>
  <c r="S31" i="40"/>
  <c r="S9" i="34"/>
  <c r="AA9" i="34"/>
  <c r="U9" i="34"/>
  <c r="AB9" i="34"/>
  <c r="S9" i="33"/>
  <c r="AA9" i="33"/>
  <c r="AB38" i="40"/>
  <c r="U38" i="40"/>
  <c r="AA40" i="40"/>
  <c r="S40" i="40"/>
  <c r="B16" i="59"/>
  <c r="B15" i="59" s="1"/>
  <c r="B14" i="59" s="1"/>
  <c r="B13" i="59" s="1"/>
  <c r="S17" i="59"/>
  <c r="F69" i="39"/>
  <c r="C7" i="43"/>
  <c r="U9" i="59"/>
  <c r="E8" i="59"/>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D113" i="43"/>
  <c r="D64" i="40"/>
  <c r="E62" i="40"/>
  <c r="AA7" i="37"/>
  <c r="R42" i="37" s="1"/>
  <c r="R43" i="37" s="1"/>
  <c r="L49" i="15"/>
  <c r="I20" i="43"/>
  <c r="B14" i="1"/>
  <c r="AC7" i="37"/>
  <c r="V42" i="37" s="1"/>
  <c r="I42" i="37" s="1"/>
  <c r="W7" i="37"/>
  <c r="AB7" i="33"/>
  <c r="U7" i="33"/>
  <c r="F58" i="21"/>
  <c r="E59" i="34"/>
  <c r="S7" i="35"/>
  <c r="AA7" i="33"/>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AA33" i="33" l="1"/>
  <c r="S33" i="33"/>
  <c r="R48" i="33"/>
  <c r="E48" i="33" s="1"/>
  <c r="AC33" i="33"/>
  <c r="V48" i="33" s="1"/>
  <c r="I48" i="33" s="1"/>
  <c r="W33" i="33"/>
  <c r="U33" i="33"/>
  <c r="AB33" i="33"/>
  <c r="T48" i="33" s="1"/>
  <c r="G48" i="33" s="1"/>
  <c r="G52" i="33" s="1"/>
  <c r="H52" i="33" s="1"/>
  <c r="C19" i="15"/>
  <c r="C20" i="15" s="1"/>
  <c r="C26" i="15" s="1"/>
  <c r="E42" i="37"/>
  <c r="J7" i="36"/>
  <c r="W7" i="36" s="1"/>
  <c r="B12" i="59"/>
  <c r="B11" i="59" s="1"/>
  <c r="B10" i="59" s="1"/>
  <c r="B9" i="59" s="1"/>
  <c r="S13" i="59"/>
  <c r="Q67" i="59"/>
  <c r="Q66" i="59"/>
  <c r="D36" i="59"/>
  <c r="C37" i="59"/>
  <c r="F16" i="59"/>
  <c r="F15" i="59" s="1"/>
  <c r="F14" i="59" s="1"/>
  <c r="F13" i="59" s="1"/>
  <c r="V17" i="59"/>
  <c r="D57" i="59"/>
  <c r="T57" i="59"/>
  <c r="D65" i="59"/>
  <c r="T65" i="59"/>
  <c r="D33" i="59"/>
  <c r="T33" i="59"/>
  <c r="E7" i="59"/>
  <c r="H7" i="36"/>
  <c r="AB7" i="36" s="1"/>
  <c r="T36" i="36" s="1"/>
  <c r="G36" i="36" s="1"/>
  <c r="C20" i="43"/>
  <c r="C29" i="43" s="1"/>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F7" i="36"/>
  <c r="I42" i="35"/>
  <c r="J42" i="35" s="1"/>
  <c r="I69" i="39"/>
  <c r="J67" i="39"/>
  <c r="C43" i="37"/>
  <c r="B2" i="37" s="1"/>
  <c r="B3" i="37" s="1"/>
  <c r="C42" i="37"/>
  <c r="U7" i="36"/>
  <c r="R39" i="35"/>
  <c r="E38" i="35"/>
  <c r="I43" i="35" s="1"/>
  <c r="J43" i="35" s="1"/>
  <c r="F59" i="34"/>
  <c r="G58" i="21"/>
  <c r="I46" i="37"/>
  <c r="J46" i="37" s="1"/>
  <c r="I47" i="37"/>
  <c r="J47" i="37" s="1"/>
  <c r="G47" i="37"/>
  <c r="H47" i="37" s="1"/>
  <c r="C39" i="43"/>
  <c r="G39" i="43" s="1"/>
  <c r="I39" i="43" s="1"/>
  <c r="C38" i="43"/>
  <c r="C10" i="15"/>
  <c r="C5" i="15" s="1"/>
  <c r="C54" i="15"/>
  <c r="C49" i="15" s="1"/>
  <c r="J24" i="15"/>
  <c r="J26" i="15"/>
  <c r="F22" i="11"/>
  <c r="F41" i="11" s="1"/>
  <c r="F24" i="15"/>
  <c r="F25" i="12"/>
  <c r="AC7" i="36" l="1"/>
  <c r="V36" i="36" s="1"/>
  <c r="I36" i="36" s="1"/>
  <c r="R49" i="33"/>
  <c r="I52" i="33"/>
  <c r="J52" i="33" s="1"/>
  <c r="G53" i="33"/>
  <c r="H53" i="33" s="1"/>
  <c r="F12" i="59"/>
  <c r="F11" i="59" s="1"/>
  <c r="F10" i="59" s="1"/>
  <c r="F9" i="59" s="1"/>
  <c r="V13" i="59"/>
  <c r="B8" i="59"/>
  <c r="B7" i="59" s="1"/>
  <c r="S9" i="59"/>
  <c r="D37" i="59"/>
  <c r="T37" i="59"/>
  <c r="B6"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E39" i="43"/>
  <c r="E38" i="43"/>
  <c r="G38" i="43"/>
  <c r="I38" i="43" s="1"/>
  <c r="C27" i="12"/>
  <c r="C25" i="12" s="1"/>
  <c r="C26" i="12"/>
  <c r="D25" i="12" s="1"/>
  <c r="C23" i="15"/>
  <c r="C24" i="15"/>
  <c r="C43" i="11"/>
  <c r="C23" i="11"/>
  <c r="C44" i="11"/>
  <c r="D41" i="11" s="1"/>
  <c r="C25" i="11"/>
  <c r="C42" i="11"/>
  <c r="C26" i="11"/>
  <c r="D22" i="11" s="1"/>
  <c r="C24" i="11"/>
  <c r="C61" i="15"/>
  <c r="C67" i="15"/>
  <c r="C38" i="15"/>
  <c r="C19" i="57"/>
  <c r="C103" i="57" l="1"/>
  <c r="B3" i="33"/>
  <c r="F8" i="59"/>
  <c r="F7" i="59" s="1"/>
  <c r="F6" i="59" s="1"/>
  <c r="V9" i="59"/>
  <c r="F5" i="59"/>
  <c r="V5" i="59" s="1"/>
  <c r="E5" i="59"/>
  <c r="U5" i="59" s="1"/>
  <c r="B5" i="59"/>
  <c r="S5" i="59" s="1"/>
  <c r="C12" i="59"/>
  <c r="C11" i="59" s="1"/>
  <c r="T13" i="59"/>
  <c r="E33" i="43"/>
  <c r="G36" i="43"/>
  <c r="I36" i="43" s="1"/>
  <c r="E35" i="43"/>
  <c r="E34" i="43"/>
  <c r="G37" i="43"/>
  <c r="I37" i="43" s="1"/>
  <c r="D13" i="59"/>
  <c r="G64" i="40"/>
  <c r="H62" i="40"/>
  <c r="J29" i="15"/>
  <c r="B3" i="35"/>
  <c r="B2" i="35"/>
  <c r="H59" i="34"/>
  <c r="R37" i="36"/>
  <c r="E36" i="36"/>
  <c r="K69" i="39"/>
  <c r="L67" i="39"/>
  <c r="I58" i="21"/>
  <c r="C41" i="11"/>
  <c r="C49" i="11" s="1"/>
  <c r="C51" i="11" s="1"/>
  <c r="C29" i="15"/>
  <c r="J14" i="15" s="1"/>
  <c r="C22" i="11"/>
  <c r="C31" i="11" s="1"/>
  <c r="C32" i="12"/>
  <c r="C20" i="57"/>
  <c r="C104" i="57" l="1"/>
  <c r="D11" i="59"/>
  <c r="C10" i="59"/>
  <c r="D12" i="59"/>
  <c r="C27" i="43"/>
  <c r="C26" i="43"/>
  <c r="B2" i="43" s="1"/>
  <c r="B3" i="43" s="1"/>
  <c r="N51"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M70" i="57"/>
  <c r="N70" i="57" s="1"/>
  <c r="M69" i="57"/>
  <c r="N69" i="57" s="1"/>
  <c r="M68" i="57"/>
  <c r="N68" i="57" s="1"/>
  <c r="M67" i="57"/>
  <c r="N67" i="57" s="1"/>
  <c r="M65" i="57"/>
  <c r="N65" i="57" s="1"/>
  <c r="M66" i="57"/>
  <c r="N66" i="57" s="1"/>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7" i="59" l="1"/>
  <c r="D8" i="59"/>
  <c r="D9" i="59"/>
  <c r="T9" i="59"/>
  <c r="N71" i="57"/>
  <c r="O71" i="57" s="1"/>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C35" i="9"/>
  <c r="C34" i="9" s="1"/>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57"/>
  <c r="D19" i="57"/>
  <c r="D22" i="57" l="1"/>
  <c r="G19" i="57"/>
  <c r="D103" i="57"/>
  <c r="G20" i="57"/>
  <c r="D104" i="57"/>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05" i="57" l="1"/>
  <c r="C106" i="57"/>
  <c r="R27" i="31"/>
  <c r="AC7" i="40"/>
  <c r="V42" i="40" s="1"/>
  <c r="I42" i="40" s="1"/>
  <c r="I46" i="40" s="1"/>
  <c r="J46" i="40" s="1"/>
  <c r="W7" i="40"/>
  <c r="S7" i="40"/>
  <c r="AA7" i="40"/>
  <c r="R42" i="40" s="1"/>
  <c r="R43" i="40" s="1"/>
  <c r="AB7" i="40"/>
  <c r="T42" i="40" s="1"/>
  <c r="G42" i="40" s="1"/>
  <c r="G46" i="40" s="1"/>
  <c r="H46" i="40" s="1"/>
  <c r="U7" i="40"/>
  <c r="C33" i="57" l="1"/>
  <c r="R28" i="31"/>
  <c r="S27" i="31"/>
  <c r="T27" i="31"/>
  <c r="D14" i="62" s="1"/>
  <c r="G47" i="40"/>
  <c r="H47" i="40" s="1"/>
  <c r="E42" i="40"/>
  <c r="G14" i="62" l="1"/>
  <c r="E14" i="62"/>
  <c r="S28" i="31"/>
  <c r="S25" i="31" s="1"/>
  <c r="T28" i="31"/>
  <c r="T25" i="31" s="1"/>
  <c r="I47" i="40"/>
  <c r="J47" i="40" s="1"/>
  <c r="E47" i="40"/>
  <c r="F47" i="40" s="1"/>
  <c r="E46" i="40"/>
  <c r="F46" i="40" s="1"/>
  <c r="C43" i="40"/>
  <c r="C42" i="40"/>
  <c r="B23" i="31" l="1"/>
  <c r="B2" i="31" s="1"/>
  <c r="C34" i="57" s="1"/>
  <c r="H125" i="57" s="1"/>
  <c r="H4" i="52" s="1"/>
  <c r="R25" i="31"/>
  <c r="B57" i="40"/>
  <c r="F57" i="40" s="1"/>
  <c r="B54" i="40"/>
  <c r="F54" i="40" s="1"/>
  <c r="B56" i="40"/>
  <c r="F56" i="40" s="1"/>
  <c r="B53" i="40"/>
  <c r="F53" i="40" s="1"/>
  <c r="B58" i="40"/>
  <c r="F58" i="40" s="1"/>
  <c r="B52" i="40"/>
  <c r="F52" i="40" s="1"/>
  <c r="B55" i="40"/>
  <c r="F55" i="40" s="1"/>
  <c r="B51" i="40"/>
  <c r="F51" i="40" s="1"/>
  <c r="F60" i="40" s="1"/>
  <c r="B2" i="40" s="1"/>
  <c r="B3" i="40" s="1"/>
  <c r="B59" i="40"/>
  <c r="F59" i="40" s="1"/>
  <c r="D4" i="52"/>
  <c r="B37" i="60" s="1"/>
  <c r="F4" i="52"/>
  <c r="B40" i="60" s="1"/>
  <c r="G4" i="52"/>
  <c r="B41" i="60" s="1"/>
  <c r="D5" i="52"/>
  <c r="B39" i="60" s="1"/>
  <c r="E4" i="52"/>
  <c r="B38" i="60" s="1"/>
  <c r="F5" i="52"/>
  <c r="B42" i="60" s="1"/>
  <c r="N49" i="9"/>
  <c r="M65" i="9" s="1"/>
  <c r="N65" i="9" s="1"/>
  <c r="B24" i="31" l="1"/>
  <c r="B3" i="31" s="1"/>
  <c r="C35" i="57" s="1"/>
  <c r="I125" i="57" s="1"/>
  <c r="I4" i="52" s="1"/>
  <c r="D110" i="57"/>
  <c r="H126" i="57"/>
  <c r="H5" i="52" s="1"/>
  <c r="C107" i="57"/>
  <c r="I104" i="57"/>
  <c r="M68" i="9"/>
  <c r="N68" i="9" s="1"/>
  <c r="M67" i="9"/>
  <c r="N67" i="9" s="1"/>
  <c r="M63" i="9"/>
  <c r="N63" i="9" s="1"/>
  <c r="N69" i="9" s="1"/>
  <c r="O69" i="9" s="1"/>
  <c r="M64" i="9"/>
  <c r="N64" i="9" s="1"/>
  <c r="M66" i="9"/>
  <c r="N66" i="9" s="1"/>
  <c r="E121" i="9"/>
  <c r="D121" i="9" s="1"/>
  <c r="D122" i="9" s="1"/>
  <c r="G121" i="9"/>
  <c r="F121" i="9" s="1"/>
  <c r="F122" i="9" s="1"/>
  <c r="I121" i="9"/>
  <c r="C104" i="9" s="1"/>
  <c r="C108" i="57" l="1"/>
  <c r="I105" i="57"/>
  <c r="D30" i="50" s="1"/>
  <c r="D111" i="57"/>
  <c r="D47" i="57"/>
  <c r="N50" i="57"/>
  <c r="I112" i="57"/>
  <c r="D28" i="50"/>
  <c r="D29" i="50" s="1"/>
  <c r="D7" i="50"/>
  <c r="D9" i="50"/>
  <c r="B21" i="60" s="1"/>
  <c r="D121" i="57"/>
  <c r="D116" i="57"/>
  <c r="D117" i="57" s="1"/>
  <c r="D107" i="9"/>
  <c r="H121" i="9"/>
  <c r="I103" i="9"/>
  <c r="I117" i="57" l="1"/>
  <c r="D23" i="50" s="1"/>
  <c r="B34" i="60" s="1"/>
  <c r="D44" i="50"/>
  <c r="I113" i="57"/>
  <c r="D38" i="50"/>
  <c r="B62" i="60" s="1"/>
  <c r="B19" i="60"/>
  <c r="D8" i="50"/>
  <c r="B22" i="60" s="1"/>
  <c r="D129" i="57"/>
  <c r="D8" i="52" s="1"/>
  <c r="D15" i="50"/>
  <c r="D36" i="50"/>
  <c r="D37" i="50" s="1"/>
  <c r="D61" i="57"/>
  <c r="N57" i="57" s="1"/>
  <c r="C95" i="57"/>
  <c r="C88" i="57" s="1"/>
  <c r="C87" i="57"/>
  <c r="C80" i="57"/>
  <c r="C75" i="57" s="1"/>
  <c r="C74" i="57"/>
  <c r="D57" i="57"/>
  <c r="N55" i="57" s="1"/>
  <c r="D54" i="57"/>
  <c r="D55" i="57"/>
  <c r="D50" i="57" s="1"/>
  <c r="N54" i="57" s="1"/>
  <c r="C66" i="57"/>
  <c r="C65" i="57" s="1"/>
  <c r="C69" i="57" s="1"/>
  <c r="C70" i="57" s="1"/>
  <c r="D56" i="57" s="1"/>
  <c r="H122" i="9"/>
  <c r="C103" i="9"/>
  <c r="D106" i="9"/>
  <c r="D112" i="9" s="1"/>
  <c r="I102" i="9"/>
  <c r="C81" i="57" l="1"/>
  <c r="C97" i="57"/>
  <c r="C82" i="57"/>
  <c r="E82" i="57" s="1"/>
  <c r="E83" i="57" s="1"/>
  <c r="C98" i="57"/>
  <c r="E98" i="57" s="1"/>
  <c r="E99" i="57" s="1"/>
  <c r="B29" i="60"/>
  <c r="D16" i="50"/>
  <c r="B30" i="60" s="1"/>
  <c r="D130" i="57"/>
  <c r="D17" i="50"/>
  <c r="D117" i="9"/>
  <c r="I115" i="9" s="1"/>
  <c r="D113" i="9"/>
  <c r="I111" i="9" s="1"/>
  <c r="D126" i="9" s="1"/>
  <c r="F14" i="62"/>
  <c r="B5" i="62"/>
  <c r="N48" i="9"/>
  <c r="D45" i="9"/>
  <c r="I110" i="9"/>
  <c r="D125" i="9" s="1"/>
  <c r="B6" i="62" s="1"/>
  <c r="C99" i="57" l="1"/>
  <c r="D60" i="57" s="1"/>
  <c r="D58" i="57" s="1"/>
  <c r="N56" i="57" s="1"/>
  <c r="O59" i="57" s="1"/>
  <c r="O61" i="57" s="1"/>
  <c r="C83" i="57"/>
  <c r="D10" i="52"/>
  <c r="D9" i="52"/>
  <c r="C6" i="62"/>
  <c r="D6" i="62"/>
  <c r="C72" i="9"/>
  <c r="C93" i="9"/>
  <c r="C86" i="9" s="1"/>
  <c r="C78" i="9"/>
  <c r="C73" i="9" s="1"/>
  <c r="D53" i="9"/>
  <c r="D48" i="9" s="1"/>
  <c r="N52" i="9" s="1"/>
  <c r="O57" i="9" s="1"/>
  <c r="C64" i="9"/>
  <c r="C63" i="9" s="1"/>
  <c r="C67" i="9" s="1"/>
  <c r="C68" i="9" s="1"/>
  <c r="D54" i="9" s="1"/>
  <c r="D52" i="9"/>
  <c r="C85" i="9"/>
  <c r="C5" i="62"/>
  <c r="D5" i="62"/>
  <c r="Q59" i="57" l="1"/>
  <c r="O60" i="57"/>
  <c r="O63" i="57"/>
  <c r="O62" i="57"/>
  <c r="O58" i="9"/>
  <c r="Q57" i="9"/>
  <c r="O59" i="9"/>
  <c r="C95" i="9"/>
  <c r="C79" i="9"/>
  <c r="C97" i="9" l="1"/>
  <c r="D58" i="9" s="1"/>
  <c r="C96" i="9"/>
  <c r="E96" i="9" s="1"/>
  <c r="E97" i="9" s="1"/>
  <c r="C80" i="9"/>
  <c r="E80" i="9" s="1"/>
  <c r="E81" i="9" s="1"/>
  <c r="C81" i="9"/>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<sst xmlns="http://schemas.openxmlformats.org/spreadsheetml/2006/main" count="6914" uniqueCount="3054">
  <si>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</si>
  <si>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</si>
  <si>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</si>
  <si>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</si>
  <si>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</si>
  <si>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</si>
  <si>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</si>
  <si>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</si>
  <si>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</si>
  <si>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</si>
  <si>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</si>
  <si>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</si>
  <si>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</si>
  <si>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</si>
  <si>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</si>
  <si>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</si>
  <si>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</si>
  <si>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</si>
  <si>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</si>
  <si>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</si>
  <si>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</si>
  <si>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</si>
  <si>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</si>
  <si>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</si>
  <si>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</si>
  <si>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</si>
  <si>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</si>
  <si>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</si>
  <si>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</si>
  <si>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</si>
  <si>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</si>
  <si>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</si>
  <si>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</si>
  <si>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</si>
  <si>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</si>
  <si>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</si>
  <si>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</si>
  <si>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</si>
  <si>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</si>
  <si>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</si>
  <si>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</si>
  <si>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</si>
  <si>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</si>
  <si>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</si>
  <si>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</si>
  <si>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</si>
  <si>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</si>
  <si>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</si>
  <si>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</si>
  <si>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</si>
  <si>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</si>
  <si>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</si>
  <si>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</si>
  <si>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</si>
  <si>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</si>
  <si>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</si>
  <si>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</si>
  <si>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</si>
  <si>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</si>
  <si>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</si>
  <si>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</si>
  <si>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</si>
  <si>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</si>
  <si>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</si>
  <si>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</si>
  <si>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</si>
  <si>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</si>
  <si>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</si>
  <si>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</si>
  <si>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</si>
  <si>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</si>
  <si>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</si>
  <si>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</si>
  <si>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</si>
  <si>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</si>
  <si>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</si>
  <si>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</si>
  <si>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</si>
  <si>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</si>
  <si>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</si>
  <si>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</si>
  <si>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</si>
  <si>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</si>
  <si>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</si>
  <si>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</si>
  <si>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</si>
  <si>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</si>
  <si>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</si>
  <si>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</si>
  <si>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</si>
  <si>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</si>
  <si>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</si>
  <si>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</si>
  <si>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</si>
  <si>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</si>
  <si>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</si>
  <si>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</si>
  <si>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</si>
  <si>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</si>
  <si>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</si>
  <si>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</si>
  <si>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</si>
  <si>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</si>
  <si>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</si>
  <si>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</si>
  <si>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</si>
  <si>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</si>
  <si>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</si>
  <si>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</si>
  <si>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</si>
  <si>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</si>
  <si>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</si>
  <si>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</si>
  <si>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</si>
  <si>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</si>
  <si>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</si>
  <si>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</si>
  <si>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</si>
  <si>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</si>
  <si>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</si>
  <si>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</si>
  <si>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</si>
  <si>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</si>
  <si>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</si>
  <si>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</si>
  <si>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</si>
  <si>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</si>
  <si>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</si>
  <si>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</si>
  <si>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</si>
  <si>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</si>
  <si>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</si>
  <si>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</si>
  <si>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</si>
  <si>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</si>
  <si>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</si>
  <si>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</si>
  <si>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</si>
  <si>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</si>
  <si>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</si>
  <si>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</si>
  <si>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</si>
  <si>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</si>
  <si>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</si>
  <si>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</si>
  <si>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</si>
  <si>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</si>
  <si>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</si>
  <si>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</si>
  <si>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</si>
  <si>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</si>
  <si>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</si>
  <si>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</si>
  <si>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</si>
  <si>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</si>
  <si>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</si>
  <si>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</si>
  <si>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</si>
  <si>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</si>
  <si>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</si>
  <si>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</si>
  <si>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</si>
  <si>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</si>
  <si>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</si>
  <si>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</si>
  <si>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</si>
  <si>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</si>
  <si>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</si>
  <si>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</si>
  <si>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</si>
  <si>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</si>
  <si>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</si>
  <si>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</si>
  <si>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</si>
  <si>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</si>
  <si>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</si>
  <si>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</si>
  <si>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</si>
  <si>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</si>
  <si>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</si>
  <si>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</si>
  <si>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</si>
  <si>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</si>
  <si>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</si>
  <si>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</si>
  <si>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</si>
  <si>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</si>
  <si>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</si>
  <si>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</si>
  <si>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</si>
  <si>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</si>
  <si>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</si>
  <si>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</si>
  <si>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</si>
  <si>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</si>
  <si>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</si>
  <si>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</si>
  <si>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</si>
  <si>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</si>
  <si>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</si>
  <si>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</si>
  <si>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</si>
  <si>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</si>
  <si>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</si>
  <si>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</si>
  <si>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</si>
  <si>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</si>
  <si>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</si>
  <si>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</si>
  <si>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</si>
  <si>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</si>
  <si>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</si>
  <si>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</si>
  <si>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</si>
  <si>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</si>
  <si>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</si>
  <si>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</si>
  <si>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</si>
  <si>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</si>
  <si>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</si>
  <si>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</si>
  <si>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</si>
  <si>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</si>
  <si>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</si>
  <si>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</si>
  <si>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</si>
  <si>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</si>
  <si>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</si>
  <si>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</si>
  <si>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</si>
  <si>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</si>
  <si>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</si>
  <si>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</si>
  <si>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</si>
  <si>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</si>
  <si>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</si>
  <si>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</si>
  <si>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</si>
  <si>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</si>
  <si>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</si>
  <si>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</si>
  <si>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</si>
  <si>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</si>
  <si>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</si>
  <si>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</si>
  <si>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</si>
  <si>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</si>
  <si>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</si>
  <si>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</si>
  <si>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</si>
  <si>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</si>
  <si>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</si>
  <si>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</si>
  <si>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</si>
  <si>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</si>
  <si>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</si>
  <si>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</si>
  <si>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</si>
  <si>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</si>
  <si>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</si>
  <si>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</si>
  <si>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</si>
  <si>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</si>
  <si>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</si>
  <si>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</si>
  <si>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</si>
  <si>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</si>
  <si>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</si>
  <si>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</si>
  <si>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</si>
  <si>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</si>
  <si>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</si>
  <si>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</si>
  <si>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</si>
  <si>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</si>
  <si>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</si>
  <si>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</si>
  <si>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</si>
  <si>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</si>
  <si>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</si>
  <si>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</si>
  <si>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</si>
  <si>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</si>
  <si>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</si>
  <si>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</si>
  <si>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</si>
  <si>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</si>
  <si>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</si>
  <si>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</si>
  <si>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</si>
  <si>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</si>
  <si>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</si>
  <si>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</si>
  <si>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</si>
  <si>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</si>
  <si>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</si>
  <si>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</si>
  <si>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</si>
  <si>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</si>
  <si>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</si>
  <si>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</si>
  <si>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</si>
  <si>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</si>
  <si>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</si>
  <si>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</si>
  <si>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</si>
  <si>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</si>
  <si>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</si>
  <si>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</si>
  <si>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</si>
  <si>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</si>
  <si>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</si>
  <si>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</si>
  <si>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</si>
  <si>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</si>
  <si>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</si>
  <si>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</si>
  <si>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</si>
  <si>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</si>
  <si>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</si>
  <si>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</si>
  <si>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</si>
  <si>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</si>
  <si>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</si>
  <si>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</si>
  <si>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</si>
  <si>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</si>
  <si>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</si>
  <si>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</si>
  <si>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</si>
  <si>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</si>
  <si>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</si>
  <si>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</si>
  <si>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</si>
  <si>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</si>
  <si>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</si>
  <si>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</si>
  <si>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</si>
  <si>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</si>
  <si>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</si>
  <si>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</si>
  <si>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</si>
  <si>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</si>
  <si>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</si>
  <si>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</si>
  <si>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</si>
  <si>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</si>
  <si>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</si>
  <si>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</si>
  <si>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</si>
  <si>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</si>
  <si>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</si>
  <si>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</si>
  <si>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</si>
  <si>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</si>
  <si>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</si>
  <si>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</si>
  <si>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</si>
  <si>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</si>
  <si>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</si>
  <si>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</si>
  <si>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</si>
  <si>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</si>
  <si>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</si>
  <si>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</si>
  <si>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</si>
  <si>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</si>
  <si>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</si>
  <si>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</si>
  <si>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</si>
  <si>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</si>
  <si>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</si>
  <si>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</si>
  <si>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</si>
  <si>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</si>
  <si>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</si>
  <si>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</si>
  <si>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</si>
  <si>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</si>
  <si>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</si>
  <si>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</si>
  <si>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</si>
  <si>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</si>
  <si>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</si>
  <si>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</si>
  <si>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</si>
  <si>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</si>
  <si>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</si>
  <si>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</si>
  <si>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</si>
  <si>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</si>
  <si>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</si>
  <si>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</si>
  <si>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</si>
  <si>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</si>
  <si>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</si>
  <si>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</si>
  <si>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</si>
  <si>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</si>
  <si>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</si>
  <si>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</si>
  <si>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</si>
  <si>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</si>
  <si>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</si>
  <si>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</si>
  <si>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</si>
  <si>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</si>
  <si>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</si>
  <si>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</si>
  <si>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</si>
  <si>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</si>
  <si>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</si>
  <si>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</si>
  <si>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</si>
  <si>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</si>
  <si>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</si>
  <si>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</si>
  <si>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</si>
  <si>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</si>
  <si>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</si>
  <si>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</si>
  <si>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</si>
  <si>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</si>
  <si>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</si>
  <si>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</si>
  <si>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</si>
  <si>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</si>
  <si>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</si>
  <si>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</si>
  <si>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</si>
  <si>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</si>
  <si>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</si>
  <si>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</si>
  <si>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</si>
  <si>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</si>
  <si>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</si>
  <si>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</si>
  <si>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</si>
  <si>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</si>
  <si>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</si>
  <si>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</si>
  <si>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</si>
  <si>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</si>
  <si>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</si>
  <si>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</si>
  <si>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</si>
  <si>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</si>
  <si>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</si>
  <si>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</si>
  <si>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</si>
  <si>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</si>
  <si>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</si>
  <si>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</si>
  <si>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</si>
  <si>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</si>
  <si>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</si>
  <si>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</si>
  <si>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</si>
  <si>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</si>
  <si>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</si>
  <si>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</si>
  <si>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</si>
  <si>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</si>
  <si>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</si>
  <si>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</si>
  <si>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</si>
  <si>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</si>
  <si>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</si>
  <si>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</si>
  <si>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</si>
  <si>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</si>
  <si>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</si>
  <si>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</si>
  <si>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</si>
  <si>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</si>
  <si>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</si>
  <si>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</si>
  <si>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</si>
  <si>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</si>
  <si>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</si>
  <si>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</si>
  <si>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</si>
  <si>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</si>
  <si>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</si>
  <si>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</si>
  <si>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</si>
  <si>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</si>
  <si>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</si>
  <si>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</si>
  <si>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</si>
  <si>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</si>
  <si>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</si>
  <si>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</si>
  <si>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</si>
  <si>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</si>
  <si>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</si>
  <si>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</si>
  <si>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</si>
  <si>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</si>
  <si>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</si>
  <si>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</si>
  <si>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</si>
  <si>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</si>
  <si>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</si>
  <si>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</si>
  <si>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</si>
  <si>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</si>
  <si>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</si>
  <si>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</si>
  <si>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</si>
  <si>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</si>
  <si>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</si>
  <si>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</si>
  <si>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</si>
  <si>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</si>
  <si>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</si>
  <si>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</si>
  <si>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</si>
  <si>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</si>
  <si>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</si>
  <si>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</si>
  <si>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</si>
  <si>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</si>
  <si>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</si>
  <si>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</si>
  <si>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</si>
  <si>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</si>
  <si>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</si>
  <si>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</si>
  <si>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</si>
  <si>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</si>
  <si>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</si>
  <si>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</si>
  <si>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</si>
  <si>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</si>
  <si>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</si>
  <si>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</si>
  <si>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</si>
  <si>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</si>
  <si>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</si>
  <si>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</si>
  <si>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</si>
  <si>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</si>
  <si>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</si>
  <si>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</si>
  <si>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</si>
  <si>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</si>
  <si>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</si>
  <si>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</si>
  <si>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</si>
  <si>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</si>
  <si>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</si>
  <si>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</si>
  <si>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</si>
  <si>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</si>
  <si>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</si>
  <si>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</si>
  <si>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</si>
  <si>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</si>
  <si>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</si>
  <si>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</si>
  <si>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</si>
  <si>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</si>
  <si>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</si>
  <si>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</si>
  <si>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</si>
  <si>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</si>
  <si>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</si>
  <si>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</si>
  <si>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</si>
  <si>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</si>
  <si>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</si>
  <si>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</si>
  <si>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</si>
  <si>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</si>
  <si>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</si>
  <si>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</si>
  <si>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</si>
  <si>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</si>
  <si>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</si>
  <si>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</si>
  <si>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</si>
  <si>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</si>
  <si>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</si>
  <si>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</si>
  <si>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</si>
  <si>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</si>
  <si>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</si>
  <si>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</si>
  <si>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</si>
  <si>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</si>
  <si>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</si>
  <si>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</si>
  <si>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</si>
  <si>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</si>
  <si>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</si>
  <si>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</si>
  <si>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</si>
  <si>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</si>
  <si>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</si>
  <si>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</si>
  <si>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</si>
  <si>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</si>
  <si>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</si>
  <si>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</si>
  <si>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</si>
  <si>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</si>
  <si>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</si>
  <si>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</si>
  <si>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</si>
  <si>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</si>
  <si>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</si>
  <si>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</si>
  <si>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</si>
  <si>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</si>
  <si>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</si>
  <si>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</si>
  <si>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</si>
  <si>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</si>
  <si>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</si>
  <si>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</si>
  <si>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</si>
  <si>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</si>
  <si>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</si>
  <si>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</si>
  <si>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</si>
  <si>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</si>
  <si>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</si>
  <si>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</si>
  <si>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</si>
  <si>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</si>
  <si>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</si>
  <si>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</si>
  <si>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</si>
  <si>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</si>
  <si>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</si>
  <si>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</si>
  <si>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</si>
  <si>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</si>
  <si>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</si>
  <si>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</si>
  <si>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</si>
  <si>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</si>
  <si>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</si>
  <si>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</si>
  <si>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</si>
  <si>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</si>
  <si>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</si>
  <si>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</si>
  <si>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</si>
  <si>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</si>
  <si>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</si>
  <si>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</si>
  <si>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</si>
  <si>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</si>
  <si>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</si>
  <si>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</si>
  <si>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</si>
  <si>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</si>
  <si>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</si>
  <si>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</si>
  <si>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</si>
  <si>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</si>
  <si>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</si>
  <si>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</si>
  <si>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</si>
  <si>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</si>
  <si>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</si>
  <si>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</si>
  <si>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</si>
  <si>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</si>
  <si>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</si>
  <si>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</si>
  <si>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</si>
  <si>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</si>
  <si>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</si>
  <si>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</si>
  <si>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</si>
  <si>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</si>
  <si>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</si>
  <si>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</si>
  <si>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</si>
  <si>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</si>
  <si>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</si>
  <si>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</si>
  <si>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</si>
  <si>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</si>
  <si>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</si>
  <si>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</si>
  <si>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</si>
  <si>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</si>
  <si>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</si>
  <si>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</si>
  <si>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</si>
  <si>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</si>
  <si>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</si>
  <si>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</si>
  <si>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</si>
  <si>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</si>
  <si>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</si>
  <si>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</si>
  <si>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</si>
  <si>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</si>
  <si>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</si>
  <si>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</si>
  <si>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</si>
  <si>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</si>
  <si>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</si>
  <si>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</si>
  <si>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</si>
  <si>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</si>
  <si>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</si>
  <si>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</si>
  <si>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</si>
  <si>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</si>
  <si>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</si>
  <si>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</si>
  <si>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</si>
  <si>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</si>
  <si>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</si>
  <si>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</si>
  <si>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</si>
  <si>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</si>
  <si>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</si>
  <si>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</si>
  <si>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</si>
  <si>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</si>
  <si>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</si>
  <si>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</si>
  <si>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</si>
  <si>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</si>
  <si>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</si>
  <si>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</si>
  <si>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</si>
  <si>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</si>
  <si>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</si>
  <si>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</si>
  <si>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</si>
  <si>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</si>
  <si>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</si>
  <si>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</si>
  <si>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</si>
  <si>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</si>
  <si>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</si>
  <si>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</si>
  <si>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</si>
  <si>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</si>
  <si>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</si>
  <si>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</si>
  <si>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</si>
  <si>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</si>
  <si>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</si>
  <si>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</si>
  <si>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</si>
  <si>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</si>
  <si>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</si>
  <si>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</si>
  <si>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</si>
  <si>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</si>
  <si>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</si>
  <si>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</si>
  <si>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</si>
  <si>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</si>
  <si>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</si>
  <si>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</si>
  <si>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</si>
  <si>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</si>
  <si>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</si>
  <si>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</si>
  <si>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</si>
  <si>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</si>
  <si>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</si>
  <si>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</si>
  <si>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</si>
  <si>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</si>
  <si>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</si>
  <si>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</si>
  <si>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</si>
  <si>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</si>
  <si>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</si>
  <si>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</si>
  <si>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</si>
  <si>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</si>
  <si>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</si>
  <si>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</si>
  <si>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</si>
  <si>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</si>
  <si>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</si>
  <si>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</si>
  <si>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</si>
  <si>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</si>
  <si>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</si>
  <si>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</si>
  <si>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</si>
  <si>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</si>
  <si>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</si>
  <si>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</si>
  <si>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</si>
  <si>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</si>
  <si>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</si>
  <si>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</si>
  <si>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</si>
  <si>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</si>
  <si>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</si>
  <si>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</si>
  <si>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</si>
  <si>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</si>
  <si>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</si>
  <si>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</si>
  <si>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</si>
  <si>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</si>
  <si>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</si>
  <si>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</si>
  <si>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</si>
  <si>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</si>
  <si>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</si>
  <si>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</si>
  <si>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</si>
  <si>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</si>
  <si>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</si>
  <si>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</si>
  <si>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</si>
  <si>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</si>
  <si>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</si>
  <si>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</si>
  <si>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</si>
  <si>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</si>
  <si>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</si>
  <si>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</si>
  <si>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</si>
  <si>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</si>
  <si>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</si>
  <si>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</si>
  <si>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</si>
  <si>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</si>
  <si>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</si>
  <si>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</si>
  <si>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</si>
  <si>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</si>
  <si>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</si>
  <si>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</si>
  <si>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</si>
  <si>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</si>
  <si>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</si>
  <si>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</si>
  <si>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</si>
  <si>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</si>
  <si>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</si>
  <si>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</si>
  <si>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</si>
  <si>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</si>
  <si>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</si>
  <si>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</si>
  <si>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</si>
  <si>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</si>
  <si>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</si>
  <si>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</si>
  <si>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</si>
  <si>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</si>
  <si>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</si>
  <si>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</si>
  <si>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</si>
  <si>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</si>
  <si>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</si>
  <si>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</si>
  <si>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</si>
  <si>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</si>
  <si>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</si>
  <si>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</si>
  <si>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</si>
  <si>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</si>
  <si>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</si>
  <si>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</si>
  <si>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</si>
  <si>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</si>
  <si>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</si>
  <si>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</si>
  <si>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</si>
  <si>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</si>
  <si>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</si>
  <si>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</si>
  <si>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</si>
  <si>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</si>
  <si>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</si>
  <si>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</si>
  <si>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</si>
  <si>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</si>
  <si>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</si>
  <si>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</si>
  <si>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</si>
  <si>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</si>
  <si>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</si>
  <si>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</si>
  <si>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</si>
  <si>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</si>
  <si>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</si>
  <si>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</si>
  <si>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</si>
  <si>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</si>
  <si>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</si>
  <si>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</si>
  <si>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</si>
  <si>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</si>
  <si>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</si>
  <si>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</si>
  <si>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</si>
  <si>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</si>
  <si>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</si>
  <si>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</si>
  <si>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</si>
  <si>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</si>
  <si>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</si>
  <si>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</si>
  <si>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</si>
  <si>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</si>
  <si>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</si>
  <si>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</si>
  <si>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</si>
  <si>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</si>
  <si>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</si>
  <si>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</si>
  <si>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</si>
  <si>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</si>
  <si>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</si>
  <si>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</si>
  <si>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</si>
  <si>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</si>
  <si>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</si>
  <si>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</si>
  <si>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</si>
  <si>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</si>
  <si>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</si>
  <si>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</si>
  <si>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</si>
  <si>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</si>
  <si>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</si>
  <si>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</si>
  <si>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</si>
  <si>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</si>
  <si>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</si>
  <si>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</si>
  <si>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</si>
  <si>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</si>
  <si>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</si>
  <si>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</si>
  <si>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</si>
  <si>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</si>
  <si>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</si>
  <si>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</si>
  <si>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</si>
  <si>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</si>
  <si>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</si>
  <si>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</si>
  <si>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</si>
  <si>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</si>
  <si>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</si>
  <si>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</si>
  <si>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</si>
  <si>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</si>
  <si>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</si>
  <si>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</si>
  <si>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</si>
  <si>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</si>
  <si>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</si>
  <si>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</si>
  <si>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</si>
  <si>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</si>
  <si>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</si>
  <si>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</si>
  <si>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</si>
  <si>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</si>
  <si>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</si>
  <si>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</si>
  <si>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</si>
  <si>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</si>
  <si>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</si>
  <si>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</si>
  <si>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</si>
  <si>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</si>
  <si>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</si>
  <si>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</si>
  <si>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</si>
  <si>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</si>
  <si>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</si>
  <si>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</si>
  <si>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</si>
  <si>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</si>
  <si>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</si>
  <si>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</si>
  <si>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</si>
  <si>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</si>
  <si>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</si>
  <si>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</si>
  <si>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</si>
  <si>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</si>
  <si>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</si>
  <si>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</si>
  <si>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</si>
  <si>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</si>
  <si>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</si>
  <si>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</si>
  <si>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</si>
  <si>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</si>
  <si>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</si>
  <si>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</si>
  <si>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</si>
  <si>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</si>
  <si>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</si>
  <si>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</si>
  <si>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</si>
  <si>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</si>
  <si>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</si>
  <si>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</si>
  <si>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</si>
  <si>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</si>
  <si>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</si>
  <si>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</si>
  <si>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</si>
  <si>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</si>
  <si>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</si>
  <si>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</si>
  <si>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</si>
  <si>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</si>
  <si>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</si>
  <si>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</si>
  <si>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</si>
  <si>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</si>
  <si>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</si>
  <si>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</si>
  <si>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</si>
  <si>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</si>
  <si>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</si>
  <si>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</si>
  <si>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</si>
  <si>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</si>
  <si>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</si>
  <si>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</si>
  <si>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</si>
  <si>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</si>
  <si>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</si>
  <si>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</si>
  <si>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</si>
  <si>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</si>
  <si>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</si>
  <si>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</si>
  <si>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</si>
  <si>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</si>
  <si>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</si>
  <si>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</si>
  <si>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</si>
  <si>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</si>
  <si>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</si>
  <si>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</si>
  <si>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</si>
  <si>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</si>
  <si>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</si>
  <si>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</si>
  <si>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</si>
  <si>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</si>
  <si>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</si>
  <si>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</si>
  <si>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</si>
  <si>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</si>
  <si>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</si>
  <si>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</si>
  <si>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</si>
  <si>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</si>
  <si>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</si>
  <si>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</si>
  <si>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</si>
  <si>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</si>
  <si>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</si>
  <si>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</si>
  <si>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</si>
  <si>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</si>
  <si>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</si>
  <si>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</si>
  <si>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</si>
  <si>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</si>
  <si>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</si>
  <si>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</si>
  <si>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</si>
  <si>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</si>
  <si>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</si>
  <si>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</si>
  <si>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</si>
  <si>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</si>
  <si>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</si>
  <si>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</si>
  <si>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</si>
  <si>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</si>
  <si>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</si>
  <si>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</si>
  <si>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</si>
  <si>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</si>
  <si>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</si>
  <si>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</si>
  <si>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</si>
  <si>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</si>
  <si>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</si>
  <si>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</si>
  <si>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</si>
  <si>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</si>
  <si>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</si>
  <si>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</si>
  <si>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</si>
  <si>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</si>
  <si>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</si>
  <si>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</si>
  <si>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</si>
  <si>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</si>
  <si>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</si>
  <si>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</si>
  <si>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</si>
  <si>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</si>
  <si>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</si>
  <si>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</si>
  <si>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</si>
  <si>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</si>
  <si>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</si>
  <si>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</si>
  <si>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</si>
  <si>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</si>
  <si>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</si>
  <si>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</si>
  <si>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</si>
  <si>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</si>
  <si>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</si>
  <si>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</si>
  <si>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</si>
  <si>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</si>
  <si>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</si>
  <si>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</si>
  <si>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</si>
  <si>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</si>
  <si>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</si>
  <si>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</si>
  <si>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</si>
  <si>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</si>
  <si>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</si>
  <si>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</si>
  <si>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</si>
  <si>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</si>
  <si>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</si>
  <si>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</si>
  <si>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</si>
  <si>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</si>
  <si>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</si>
  <si>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</si>
  <si>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</si>
  <si>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</si>
  <si>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</si>
  <si>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</si>
  <si>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</si>
  <si>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</si>
  <si>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</si>
  <si>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</si>
  <si>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</si>
  <si>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</si>
  <si>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</si>
  <si>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</si>
  <si>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</si>
  <si>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</si>
  <si>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</si>
  <si>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</si>
  <si>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</si>
  <si>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</si>
  <si>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</si>
  <si>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</si>
  <si>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</si>
  <si>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</si>
  <si>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</si>
  <si>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</si>
  <si>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</si>
  <si>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</si>
  <si>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</si>
  <si>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</si>
  <si>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</si>
  <si>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</si>
  <si>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</si>
  <si>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</si>
  <si>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</si>
  <si>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</si>
  <si>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</si>
  <si>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</si>
  <si>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</si>
  <si>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</si>
  <si>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</si>
  <si>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</si>
  <si>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</si>
  <si>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</si>
  <si>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</si>
  <si>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</si>
  <si>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</si>
  <si>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</si>
  <si>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</si>
  <si>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</si>
  <si>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</si>
  <si>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</si>
  <si>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</si>
  <si>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</si>
  <si>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</si>
  <si>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</si>
  <si>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</si>
  <si>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</si>
  <si>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</si>
  <si>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</si>
  <si>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</si>
  <si>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</si>
  <si>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</si>
  <si>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</si>
  <si>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</si>
  <si>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</si>
  <si>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</si>
  <si>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</si>
  <si>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</si>
  <si>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</si>
  <si>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</si>
  <si>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</si>
  <si>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</si>
  <si>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</si>
  <si>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</si>
  <si>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</si>
  <si>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</si>
  <si>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</si>
  <si>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</si>
  <si>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</si>
  <si>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</si>
  <si>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</si>
  <si>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</si>
  <si>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</si>
  <si>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</si>
  <si>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</si>
  <si>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</si>
  <si>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</si>
  <si>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</si>
  <si>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</si>
  <si>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</si>
  <si>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</si>
  <si>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</si>
  <si>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</si>
  <si>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</si>
  <si>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</si>
  <si>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</si>
  <si>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</si>
  <si>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</si>
  <si>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</si>
  <si>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</si>
  <si>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</si>
  <si>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</si>
  <si>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</si>
  <si>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</si>
  <si>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</si>
  <si>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</si>
  <si>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</si>
  <si>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</si>
  <si>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</si>
  <si>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</si>
  <si>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</si>
  <si>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</si>
  <si>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</si>
  <si>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</si>
  <si>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</si>
  <si>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</si>
  <si>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</si>
  <si>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</si>
  <si>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</si>
  <si>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</si>
  <si>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</si>
  <si>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</si>
  <si>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</si>
  <si>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</si>
  <si>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</si>
  <si>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</si>
  <si>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</si>
  <si>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</si>
  <si>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</si>
  <si>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</si>
  <si>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</si>
  <si>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</si>
  <si>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</si>
  <si>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</si>
  <si>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</si>
  <si>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</si>
  <si>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</si>
  <si>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</si>
  <si>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</si>
  <si>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</si>
  <si>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</si>
  <si>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</si>
  <si>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</si>
  <si>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</si>
  <si>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</si>
  <si>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</si>
  <si>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</si>
  <si>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</si>
  <si>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</si>
  <si>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</si>
  <si>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</si>
  <si>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</si>
  <si>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</si>
  <si>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</si>
  <si>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</si>
  <si>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</si>
  <si>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</si>
  <si>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</si>
  <si>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</si>
  <si>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</si>
  <si>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</si>
  <si>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</si>
  <si>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</si>
  <si>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</si>
  <si>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</si>
  <si>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</si>
  <si>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</si>
  <si>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</si>
  <si>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</si>
  <si>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</si>
  <si>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</si>
  <si>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</si>
  <si>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</si>
  <si>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</si>
  <si>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</si>
  <si>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</si>
  <si>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</si>
  <si>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</si>
  <si>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</si>
  <si>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</si>
  <si>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</si>
  <si>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</si>
  <si>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</si>
  <si>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</si>
  <si>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</si>
  <si>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</si>
  <si>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</si>
  <si>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</si>
  <si>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</si>
  <si>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</si>
  <si>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</si>
  <si>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</si>
  <si>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</si>
  <si>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</si>
  <si>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</si>
  <si>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</si>
  <si>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</si>
  <si>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</si>
  <si>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</si>
  <si>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</si>
  <si>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</si>
  <si>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</si>
  <si>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</si>
  <si>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</si>
  <si>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</si>
  <si>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</si>
  <si>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</si>
  <si>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</si>
  <si>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</si>
  <si>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</si>
  <si>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</si>
  <si>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</si>
  <si>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</si>
  <si>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</si>
  <si>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</si>
  <si>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</si>
  <si>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</si>
  <si>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</si>
  <si>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</si>
  <si>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</si>
  <si>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</si>
  <si>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</si>
  <si>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</si>
  <si>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</si>
  <si>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</si>
  <si>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</si>
  <si>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</si>
  <si>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</si>
  <si>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</si>
  <si>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</si>
  <si>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</si>
  <si>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</si>
  <si>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</si>
  <si>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</si>
  <si>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</si>
  <si>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</si>
  <si>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</si>
  <si>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</si>
  <si>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</si>
  <si>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</si>
  <si>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</si>
  <si>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</si>
  <si>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</si>
  <si>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</si>
  <si>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</si>
  <si>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</si>
  <si>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</si>
  <si>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</si>
  <si>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</si>
  <si>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</si>
  <si>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</si>
  <si>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</si>
  <si>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</si>
  <si>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</si>
  <si>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</si>
  <si>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</si>
  <si>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</si>
  <si>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</si>
  <si>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</si>
  <si>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</si>
  <si>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</si>
  <si>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</si>
  <si>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</si>
  <si>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</si>
  <si>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</si>
  <si>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</si>
  <si>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</si>
  <si>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</si>
  <si>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</si>
  <si>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</si>
  <si>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</si>
  <si>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</si>
  <si>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</si>
  <si>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</si>
  <si>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</si>
  <si>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</si>
  <si>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</si>
  <si>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</si>
  <si>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</si>
  <si>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</si>
  <si>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</si>
  <si>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</si>
  <si>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</si>
  <si>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</si>
  <si>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</si>
  <si>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</si>
  <si>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</si>
  <si>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</si>
  <si>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</si>
  <si>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</si>
  <si>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</si>
  <si>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</si>
  <si>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</si>
  <si>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</si>
  <si>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</si>
  <si>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</si>
  <si>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</si>
  <si>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</si>
  <si>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</si>
  <si>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</si>
  <si>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</si>
  <si>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</si>
  <si>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</si>
  <si>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</si>
  <si>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</si>
  <si>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</si>
  <si>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</si>
  <si>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</si>
  <si>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</si>
  <si>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</si>
  <si>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</si>
  <si>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</si>
  <si>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</si>
  <si>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</si>
  <si>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</si>
  <si>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</si>
  <si>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</si>
  <si>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</si>
  <si>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</si>
  <si>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</si>
  <si>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</si>
  <si>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</si>
  <si>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</si>
  <si>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</si>
  <si>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</si>
  <si>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</si>
  <si>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</si>
  <si>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</si>
  <si>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</si>
  <si>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</si>
  <si>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</si>
  <si>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</si>
  <si>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</si>
  <si>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</si>
  <si>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</si>
  <si>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</si>
  <si>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</si>
  <si>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</si>
  <si>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</si>
  <si>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</si>
  <si>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</si>
  <si>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</si>
  <si>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</si>
  <si>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</si>
  <si>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</si>
  <si>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</si>
  <si>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</si>
  <si>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</si>
  <si>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</si>
  <si>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</si>
  <si>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</si>
  <si>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</si>
  <si>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</si>
  <si>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</si>
  <si>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</si>
  <si>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</si>
  <si>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</si>
  <si>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</si>
  <si>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</si>
  <si>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</si>
  <si>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</si>
  <si>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</si>
  <si>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</si>
  <si>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</si>
  <si>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</si>
  <si>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</si>
  <si>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</si>
  <si>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</si>
  <si>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</si>
  <si>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</si>
  <si>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</si>
  <si>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</si>
  <si>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</si>
  <si>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</si>
  <si>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</si>
  <si>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</si>
  <si>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</si>
  <si>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</si>
  <si>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</si>
  <si>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</si>
  <si>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</si>
  <si>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</si>
  <si>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</si>
  <si>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</si>
  <si>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</si>
  <si>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</si>
  <si>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</si>
  <si>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</si>
  <si>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</si>
  <si>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</si>
  <si>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</si>
  <si>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</si>
  <si>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</si>
  <si>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</si>
  <si>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</si>
  <si>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</si>
  <si>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</si>
  <si>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</si>
  <si>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</si>
  <si>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</si>
  <si>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</si>
  <si>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</si>
  <si>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</si>
  <si>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</si>
  <si>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</si>
  <si>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</si>
  <si>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</si>
  <si>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</si>
  <si>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</si>
  <si>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</si>
  <si>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</si>
  <si>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</si>
  <si>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</si>
  <si>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</si>
  <si>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</si>
  <si>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</si>
  <si>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</si>
  <si>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</si>
  <si>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</si>
  <si>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</si>
  <si>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</si>
  <si>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</si>
  <si>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</si>
  <si>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</si>
  <si>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</si>
  <si>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</si>
  <si>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</si>
  <si>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</si>
  <si>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</si>
  <si>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</si>
  <si>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</si>
  <si>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</si>
  <si>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</si>
  <si>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</si>
  <si>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</si>
  <si>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</si>
  <si>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</si>
  <si>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</si>
  <si>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</si>
  <si>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</si>
  <si>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</si>
  <si>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</si>
  <si>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</si>
  <si>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</si>
  <si>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</si>
  <si>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</si>
  <si>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</si>
  <si>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</si>
  <si>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</si>
  <si>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</si>
  <si>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</si>
  <si>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</si>
  <si>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</si>
  <si>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</si>
  <si>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</si>
  <si>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</si>
  <si>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</si>
  <si>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</si>
  <si>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</si>
  <si>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</si>
  <si>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</si>
  <si>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</si>
  <si>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</si>
  <si>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</si>
  <si>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</si>
  <si>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</si>
  <si>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</si>
  <si>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</si>
  <si>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</si>
  <si>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</si>
  <si>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</si>
  <si>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</si>
  <si>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</si>
  <si>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</si>
  <si>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</si>
  <si>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</si>
  <si>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</si>
  <si>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</si>
  <si>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</si>
  <si>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</si>
  <si>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</si>
  <si>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</si>
  <si>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</si>
  <si>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</si>
  <si>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</si>
  <si>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</si>
  <si>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</si>
  <si>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</si>
  <si>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</si>
  <si>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</si>
  <si>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</si>
  <si>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</si>
  <si>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</si>
  <si>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</si>
  <si>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</si>
  <si>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</si>
  <si>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</si>
  <si>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</si>
  <si>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</si>
  <si>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</si>
  <si>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</si>
  <si>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</si>
  <si>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</si>
  <si>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</si>
  <si>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</si>
  <si>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</si>
  <si>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</si>
  <si>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</si>
  <si>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</si>
  <si>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</si>
  <si>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</si>
  <si>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</si>
  <si>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</si>
  <si>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</si>
  <si>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</si>
  <si>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</si>
  <si>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</si>
  <si>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</si>
  <si>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</si>
  <si>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</si>
  <si>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</si>
  <si>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</si>
  <si>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</si>
  <si>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</si>
  <si>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</si>
  <si>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</si>
  <si>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</si>
  <si>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</si>
  <si>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</si>
  <si>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</si>
  <si>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</si>
  <si>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</si>
  <si>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</si>
  <si>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</si>
  <si>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</si>
  <si>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</si>
  <si>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</si>
  <si>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</si>
  <si>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</si>
  <si>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</si>
  <si>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</si>
  <si>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</si>
  <si>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</si>
  <si>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</si>
  <si>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</si>
  <si>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</si>
  <si>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</si>
  <si>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</si>
  <si>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</si>
  <si>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</si>
  <si>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</si>
  <si>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</si>
  <si>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</si>
  <si>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</si>
  <si>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</si>
  <si>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</si>
  <si>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</si>
  <si>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</si>
  <si>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</si>
  <si>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</si>
  <si>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</si>
  <si>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</si>
  <si>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</si>
  <si>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</si>
  <si>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</si>
  <si>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</si>
  <si>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</si>
  <si>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</si>
  <si>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</si>
  <si>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</si>
  <si>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</si>
  <si>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</si>
  <si>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</si>
  <si>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</si>
  <si>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</si>
  <si>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</si>
  <si>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</si>
  <si>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</si>
  <si>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</si>
  <si>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</si>
  <si>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</si>
  <si>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</si>
  <si>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</si>
  <si>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</si>
  <si>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</si>
  <si>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</si>
  <si>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</si>
  <si>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</si>
  <si>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</si>
  <si>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</si>
  <si>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</si>
  <si>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</si>
  <si>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</si>
  <si>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</si>
  <si>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</si>
  <si>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</si>
  <si>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</si>
  <si>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</si>
  <si>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</si>
  <si>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</si>
  <si>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</si>
  <si>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</si>
  <si>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</si>
  <si>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</si>
  <si>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</si>
  <si>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</si>
  <si>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</si>
  <si>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</si>
  <si>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</si>
  <si>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</si>
  <si>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</si>
  <si>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</si>
  <si>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</si>
  <si>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</si>
  <si>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</si>
  <si>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</si>
  <si>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</si>
  <si>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</si>
  <si>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</si>
  <si>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</si>
  <si>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</si>
  <si>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</si>
  <si>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</si>
  <si>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</si>
  <si>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</si>
  <si>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</si>
  <si>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</si>
  <si>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</si>
  <si>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</si>
  <si>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</si>
  <si>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</si>
  <si>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</si>
  <si>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</si>
  <si>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</si>
  <si>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</si>
  <si>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</si>
  <si>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</si>
  <si>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</si>
  <si>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</si>
  <si>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</si>
  <si>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</si>
  <si>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</si>
  <si>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</si>
  <si>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</si>
  <si>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</si>
  <si>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</si>
  <si>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</si>
  <si>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</si>
  <si>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</si>
  <si>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</si>
  <si>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</si>
  <si>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</si>
  <si>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</si>
  <si>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</si>
  <si>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</si>
  <si>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</si>
  <si>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</si>
  <si>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</si>
  <si>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</si>
  <si>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</si>
  <si>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</si>
  <si>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</si>
  <si>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</si>
  <si>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</si>
  <si>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</si>
  <si>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</si>
  <si>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</si>
  <si>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</si>
  <si>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</si>
  <si>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</si>
  <si>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</si>
  <si>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</si>
  <si>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</si>
  <si>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</si>
  <si>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</si>
  <si>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</si>
  <si>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</si>
  <si>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</si>
  <si>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</si>
  <si>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</si>
  <si>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</si>
  <si>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</si>
  <si>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</si>
  <si>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</si>
  <si>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</si>
  <si>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</si>
  <si>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</si>
  <si>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</si>
  <si>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</si>
  <si>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</si>
  <si>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</si>
  <si>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</si>
  <si>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</si>
  <si>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</si>
  <si>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</si>
  <si>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</si>
  <si>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</si>
  <si>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</si>
  <si>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</si>
  <si>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</si>
  <si>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</si>
  <si>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</si>
  <si>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</si>
  <si>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</si>
  <si>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</si>
  <si>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</si>
  <si>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</si>
  <si>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</si>
  <si>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</si>
  <si>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</si>
  <si>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</si>
  <si>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</si>
  <si>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</si>
  <si>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</si>
  <si>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</si>
  <si>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</si>
  <si>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</si>
  <si>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</si>
  <si>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</si>
  <si>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</si>
  <si>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</si>
  <si>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</si>
  <si>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</si>
  <si>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</si>
  <si>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</si>
  <si>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</si>
  <si>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</si>
  <si>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</si>
  <si>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</si>
  <si>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</si>
  <si>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</si>
  <si>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</si>
  <si>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</si>
  <si>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</si>
  <si>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</si>
  <si>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</si>
  <si>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</si>
  <si>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</si>
  <si>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</si>
  <si>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</si>
  <si>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</si>
  <si>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</si>
  <si>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</si>
  <si>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</si>
  <si>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</si>
  <si>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</si>
  <si>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</si>
  <si>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</si>
  <si>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</si>
  <si>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</si>
  <si>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</si>
  <si>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</si>
  <si>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</si>
  <si>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</si>
  <si>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</si>
  <si>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</si>
  <si>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</si>
  <si>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</si>
  <si>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</si>
  <si>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</si>
  <si>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</si>
  <si>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</si>
  <si>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</si>
  <si>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</si>
  <si>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</si>
  <si>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</si>
  <si>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</si>
  <si>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</si>
  <si>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</si>
  <si>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</si>
  <si>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</si>
  <si>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</si>
  <si>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</si>
  <si>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</si>
  <si>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</si>
  <si>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</si>
  <si>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</si>
  <si>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</si>
  <si>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</si>
  <si>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</si>
  <si>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</si>
  <si>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</si>
  <si>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</si>
  <si>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</si>
  <si>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</si>
  <si>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</si>
  <si>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</si>
  <si>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</si>
  <si>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</si>
  <si>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</si>
  <si>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</si>
  <si>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</si>
  <si>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</si>
  <si>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</si>
  <si>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</si>
  <si>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</si>
  <si>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</si>
  <si>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</si>
  <si>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</si>
  <si>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</si>
  <si>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</si>
  <si>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</si>
  <si>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</si>
  <si>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</si>
  <si>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</si>
  <si>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</si>
  <si>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</si>
  <si>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</si>
  <si>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</si>
  <si>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</si>
  <si>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</si>
  <si>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</si>
  <si>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</si>
  <si>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</si>
  <si>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</si>
  <si>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</si>
  <si>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</si>
  <si>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</si>
  <si>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</si>
  <si>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</si>
  <si>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</si>
  <si>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</si>
  <si>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</si>
  <si>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</si>
  <si>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</si>
  <si>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</si>
  <si>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</si>
  <si>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</si>
  <si>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</si>
  <si>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</si>
  <si>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</si>
  <si>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</si>
  <si>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</si>
  <si>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</si>
  <si>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</si>
  <si>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</si>
  <si>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</si>
  <si>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</si>
  <si>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</si>
  <si>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</si>
  <si>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</si>
  <si>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</si>
  <si>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</si>
  <si>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</si>
  <si>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</si>
  <si>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</si>
  <si>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</si>
  <si>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</si>
  <si>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</si>
  <si>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</si>
  <si>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</si>
  <si>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</si>
  <si>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</si>
  <si>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</si>
  <si>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</si>
  <si>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</si>
  <si>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</si>
  <si>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</si>
  <si>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</si>
  <si>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</si>
  <si>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</si>
  <si>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</si>
  <si>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</si>
  <si>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</si>
  <si>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</si>
  <si>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</si>
  <si>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</si>
  <si>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</si>
  <si>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</si>
  <si>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</si>
  <si>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</si>
  <si>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</si>
  <si>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</si>
  <si>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</si>
  <si>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</si>
  <si>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</si>
  <si>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</si>
  <si>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</si>
  <si>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</si>
  <si>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</si>
  <si>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</si>
  <si>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</si>
  <si>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</si>
  <si>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</si>
  <si>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</si>
  <si>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</si>
  <si>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</si>
  <si>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</si>
  <si>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</si>
  <si>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</si>
  <si>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</si>
  <si>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</si>
  <si>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</si>
  <si>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</si>
  <si>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</si>
  <si>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</si>
  <si>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</si>
  <si>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</si>
  <si>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</si>
  <si>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</si>
  <si>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</si>
  <si>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</si>
  <si>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</si>
  <si>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</si>
  <si>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</si>
  <si>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</si>
  <si>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</si>
  <si>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</si>
  <si>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</si>
  <si>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</si>
  <si>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</si>
  <si>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</si>
  <si>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</si>
  <si>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</si>
  <si>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</si>
  <si>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</si>
  <si>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</si>
  <si>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</si>
  <si>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</si>
  <si>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</si>
  <si>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</si>
  <si>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</si>
  <si>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</si>
  <si>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</si>
  <si>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</si>
  <si>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</si>
  <si>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</si>
  <si>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</si>
  <si>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</si>
  <si>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</si>
  <si>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</si>
  <si>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</si>
  <si>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</si>
  <si>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</si>
  <si>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</si>
  <si>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</si>
  <si>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</si>
  <si>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</si>
  <si>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</si>
  <si>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</si>
  <si>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</si>
  <si>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</si>
  <si>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</si>
  <si>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</si>
  <si>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</si>
  <si>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</si>
  <si>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</si>
  <si>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</si>
  <si>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</si>
  <si>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</si>
  <si>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</si>
  <si>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</si>
  <si>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</si>
  <si>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</si>
  <si>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</si>
  <si>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</si>
  <si>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</si>
  <si>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</si>
  <si>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</si>
  <si>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</si>
  <si>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</si>
  <si>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</si>
  <si>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</si>
  <si>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</si>
  <si>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</si>
  <si>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</si>
  <si>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</si>
  <si>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</si>
  <si>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</si>
  <si>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</si>
  <si>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</si>
  <si>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</si>
  <si>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</si>
  <si>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</si>
  <si>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</si>
  <si>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</si>
  <si>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</si>
  <si>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</si>
  <si>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</si>
  <si>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</si>
  <si>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</si>
  <si>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</si>
  <si>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</si>
  <si>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</si>
  <si>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</si>
  <si>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</si>
  <si>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</si>
  <si>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</si>
  <si>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</si>
  <si>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</si>
  <si>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</si>
  <si>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</si>
  <si>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</si>
  <si>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</si>
  <si>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</si>
  <si>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</si>
  <si>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</si>
  <si>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</si>
  <si>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</si>
  <si>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</si>
  <si>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</si>
  <si>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</si>
  <si>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</si>
  <si>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</si>
  <si>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</si>
  <si>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</si>
  <si>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</si>
  <si>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</si>
  <si>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</si>
  <si>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</si>
  <si>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</si>
  <si>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</si>
  <si>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</si>
  <si>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</si>
  <si>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</si>
  <si>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</si>
  <si>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</si>
  <si>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</si>
  <si>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</si>
  <si>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</si>
  <si>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</si>
  <si>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</si>
  <si>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</si>
  <si>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</si>
  <si>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</si>
  <si>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</si>
  <si>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</si>
  <si>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</si>
  <si>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</si>
  <si>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</si>
  <si>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</si>
  <si>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</si>
  <si>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</si>
  <si>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</si>
  <si>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</si>
  <si>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</si>
  <si>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</si>
  <si>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</si>
  <si>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</si>
  <si>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</si>
  <si>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</si>
  <si>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</si>
  <si>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</si>
  <si>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</si>
  <si>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</si>
  <si>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</si>
  <si>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</si>
  <si>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</si>
  <si>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</si>
  <si>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</si>
  <si>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</si>
  <si>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</si>
  <si>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</si>
  <si>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</si>
  <si>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</si>
  <si>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</si>
  <si>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</si>
  <si>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</si>
  <si>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</si>
  <si>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</si>
  <si>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</si>
  <si>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</si>
  <si>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</si>
  <si>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</si>
  <si>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</si>
  <si>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</si>
  <si>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</si>
  <si>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</si>
  <si>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</si>
  <si>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</si>
  <si>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</si>
  <si>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</si>
  <si>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</si>
  <si>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</si>
  <si>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</si>
  <si>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</si>
  <si>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</si>
  <si>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</si>
  <si>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</si>
  <si>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</si>
  <si>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</si>
  <si>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</si>
  <si>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</si>
  <si>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</si>
  <si>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</si>
  <si>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</si>
  <si>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</si>
  <si>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</si>
  <si>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</si>
  <si>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</si>
  <si>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</si>
  <si>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</si>
  <si>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</si>
  <si>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</si>
  <si>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</si>
  <si>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</si>
  <si>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</si>
  <si>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</si>
  <si>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</si>
  <si>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</si>
  <si>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</si>
  <si>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</si>
  <si>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</si>
  <si>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</si>
  <si>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</si>
  <si>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</si>
  <si>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</si>
  <si>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</si>
  <si>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</si>
  <si>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</si>
  <si>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</si>
  <si>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</si>
  <si>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</si>
  <si>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</si>
  <si>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</si>
  <si>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</si>
  <si>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</si>
  <si>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</si>
  <si>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</si>
  <si>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</si>
  <si>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</si>
  <si>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</si>
  <si>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</si>
  <si>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</si>
  <si>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</si>
  <si>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</si>
  <si>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</si>
  <si>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</si>
  <si>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</si>
  <si>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</si>
  <si>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</si>
  <si>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</si>
  <si>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</si>
  <si>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</si>
  <si>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</si>
  <si>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</si>
  <si>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</si>
  <si>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</si>
  <si>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</si>
  <si>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</si>
  <si>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</si>
  <si>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</si>
  <si>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</si>
  <si>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</si>
  <si>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</si>
  <si>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</si>
  <si>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</si>
  <si>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</si>
  <si>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</si>
  <si>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</si>
  <si>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</si>
  <si>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</si>
  <si>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</si>
  <si>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</si>
  <si>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</si>
  <si>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</si>
  <si>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</si>
  <si>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</si>
  <si>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</si>
  <si>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</si>
  <si>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</si>
  <si>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</si>
  <si>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</si>
  <si>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</si>
  <si>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</si>
  <si>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</si>
  <si>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</si>
  <si>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</si>
  <si>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</si>
  <si>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</si>
  <si>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</si>
  <si>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</si>
  <si>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</si>
  <si>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</si>
  <si>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</si>
  <si>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</si>
  <si>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</si>
  <si>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</si>
  <si>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</si>
  <si>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</si>
  <si>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</si>
  <si>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</si>
  <si>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</si>
  <si>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</si>
  <si>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</si>
  <si>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</si>
  <si>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</si>
  <si>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</si>
  <si>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</si>
  <si>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</si>
  <si>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</si>
  <si>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</si>
  <si>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</si>
  <si>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</si>
  <si>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</si>
  <si>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</si>
  <si>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</si>
  <si>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</si>
  <si>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</si>
  <si>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</si>
  <si>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</si>
  <si>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</si>
  <si>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</si>
  <si>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</si>
  <si>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</si>
  <si>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</si>
  <si>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</si>
  <si>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</si>
  <si>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</si>
  <si>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</si>
  <si>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</si>
  <si>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</si>
  <si>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</si>
  <si>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</si>
  <si>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</si>
  <si>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</si>
  <si>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</si>
  <si>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</si>
  <si>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</si>
  <si>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</si>
  <si>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</si>
  <si>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</si>
  <si>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</si>
  <si>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</si>
  <si>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</si>
  <si>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</si>
  <si>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</si>
  <si>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</si>
  <si>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</si>
  <si>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</si>
  <si>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</si>
  <si>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</si>
  <si>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</si>
  <si>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</si>
  <si>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</si>
  <si>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</si>
  <si>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</si>
  <si>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</si>
  <si>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</si>
  <si>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</si>
  <si>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</si>
  <si>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</si>
  <si>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</si>
  <si>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</si>
  <si>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</si>
  <si>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</si>
  <si>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</si>
  <si>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</si>
  <si>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</si>
  <si>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</si>
  <si>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</si>
  <si>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</si>
  <si>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</si>
  <si>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</si>
  <si>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</si>
  <si>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</si>
  <si>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</si>
  <si>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</si>
  <si>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</si>
  <si>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</si>
  <si>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</si>
  <si>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</si>
  <si>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</si>
  <si>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</si>
  <si>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</si>
  <si>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</si>
  <si>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</si>
  <si>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</si>
  <si>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</si>
  <si>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</si>
  <si>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</si>
  <si>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</si>
  <si>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</si>
  <si>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</si>
  <si>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</si>
  <si>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</si>
  <si>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</si>
  <si>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</si>
  <si>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</si>
  <si>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</si>
  <si>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</si>
  <si>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</si>
  <si>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</si>
  <si>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</si>
  <si>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</si>
  <si>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</si>
  <si>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</si>
  <si>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</si>
  <si>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</si>
  <si>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</si>
  <si>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</si>
  <si>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</si>
  <si>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</si>
  <si>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</si>
  <si>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</si>
  <si>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</si>
  <si>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</si>
  <si>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</si>
  <si>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</si>
  <si>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</si>
  <si>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</si>
  <si>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</si>
  <si>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</si>
  <si>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</si>
  <si>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</si>
  <si>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</si>
  <si>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</si>
  <si>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</si>
  <si>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</si>
  <si>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</si>
  <si>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</si>
  <si>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</si>
  <si>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</si>
  <si>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</si>
  <si>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</si>
  <si>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</si>
  <si>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</si>
  <si>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</si>
  <si>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</si>
  <si>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</si>
  <si>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</si>
  <si>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</si>
  <si>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</si>
  <si>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</si>
  <si>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</si>
  <si>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</si>
  <si>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</si>
  <si>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</si>
  <si>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</si>
  <si>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</si>
  <si>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</si>
  <si>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</si>
  <si>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</si>
  <si>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</si>
  <si>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</si>
  <si>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</si>
  <si>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</si>
  <si>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</si>
  <si>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</si>
  <si>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</si>
  <si>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</si>
  <si>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</si>
  <si>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</si>
  <si>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</si>
  <si>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</si>
  <si>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</si>
  <si>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</si>
  <si>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</si>
  <si>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</si>
  <si>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</si>
  <si>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</si>
  <si>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</si>
  <si>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</si>
  <si>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</si>
  <si>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</si>
  <si>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</si>
  <si>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</si>
  <si>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</si>
  <si>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</si>
  <si>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</si>
  <si>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</si>
  <si>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</si>
  <si>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</si>
  <si>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</si>
  <si>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</si>
  <si>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</si>
  <si>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</si>
  <si>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</si>
  <si>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</si>
  <si>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</si>
  <si>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</si>
  <si>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</si>
  <si>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</si>
  <si>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</si>
  <si>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</si>
  <si>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</si>
  <si>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</si>
  <si>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</si>
  <si>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</si>
  <si>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</si>
  <si>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</si>
  <si>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</si>
  <si>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</si>
  <si>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</si>
  <si>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</si>
  <si>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</si>
  <si>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</si>
  <si>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</si>
  <si>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</si>
  <si>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</si>
  <si>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</si>
  <si>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</si>
  <si>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</si>
  <si>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</si>
  <si>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</si>
  <si>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</si>
  <si>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</si>
  <si>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</si>
  <si>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</si>
  <si>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</si>
  <si>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</si>
  <si>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</si>
  <si>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</si>
  <si>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</si>
  <si>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</si>
  <si>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</si>
  <si>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</si>
  <si>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</si>
  <si>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</si>
  <si>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</si>
  <si>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</si>
  <si>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</si>
  <si>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</si>
  <si>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</si>
  <si>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</si>
  <si>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</si>
  <si>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</si>
  <si>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</si>
  <si>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</si>
  <si>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</si>
  <si>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</si>
  <si>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</si>
  <si>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</si>
  <si>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</si>
  <si>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</si>
  <si>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</si>
  <si>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</si>
  <si>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</si>
  <si>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</si>
  <si>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</si>
  <si>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</si>
  <si>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</si>
  <si>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</si>
  <si>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</si>
  <si>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</si>
  <si>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</si>
  <si>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</si>
  <si>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</si>
  <si>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</si>
  <si>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</si>
  <si>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</si>
  <si>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</si>
  <si>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</si>
  <si>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</si>
  <si>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</si>
  <si>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</si>
  <si>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</si>
  <si>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</si>
  <si>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</si>
  <si>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</si>
  <si>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</si>
  <si>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</si>
  <si>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</si>
  <si>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</si>
  <si>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</si>
  <si>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</si>
  <si>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</si>
  <si>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</si>
  <si>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</si>
  <si>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</si>
  <si>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</si>
  <si>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</si>
  <si>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</si>
  <si>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</si>
  <si>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</si>
  <si>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</si>
  <si>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</si>
  <si>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</si>
  <si>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</si>
  <si>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</si>
  <si>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</si>
  <si>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</si>
  <si>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</si>
  <si>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</si>
  <si>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</si>
  <si>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</si>
  <si>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</si>
  <si>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</si>
  <si>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</si>
  <si>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</si>
  <si>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</si>
  <si>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</si>
  <si>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</si>
  <si>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</si>
  <si>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</si>
  <si>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</si>
  <si>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</si>
  <si>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</si>
  <si>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</si>
  <si>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</si>
  <si>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</si>
  <si>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</si>
  <si>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</si>
  <si>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</si>
  <si>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</si>
  <si>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</si>
  <si>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</si>
  <si>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</si>
  <si>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</si>
  <si>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</si>
  <si>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</si>
  <si>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</si>
  <si>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</si>
  <si>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</si>
  <si>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</si>
  <si>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</si>
  <si>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</si>
  <si>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</si>
  <si>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</si>
  <si>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</si>
  <si>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</si>
  <si>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</si>
  <si>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</si>
  <si>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</si>
  <si>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</si>
  <si>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</si>
  <si>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</si>
  <si>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</si>
  <si>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</si>
  <si>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</si>
  <si>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</si>
  <si>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</si>
  <si>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</si>
  <si>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</si>
  <si>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</si>
  <si>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</si>
  <si>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</si>
  <si>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</si>
  <si>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</si>
  <si>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</si>
  <si>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</si>
  <si>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</si>
  <si>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</si>
  <si>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</si>
  <si>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</si>
  <si>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</si>
  <si>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</si>
  <si>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</si>
  <si>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</si>
  <si>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</si>
  <si>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</si>
  <si>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</si>
  <si>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</si>
  <si>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</si>
  <si>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</si>
  <si>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</si>
  <si>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</si>
  <si>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</si>
  <si>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</si>
  <si>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</si>
  <si>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</si>
  <si>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</si>
  <si>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</si>
  <si>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</si>
  <si>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</si>
  <si>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</si>
  <si>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</si>
  <si>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</si>
  <si>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</si>
  <si>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</si>
  <si>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</si>
  <si>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</si>
  <si>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</si>
  <si>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</si>
  <si>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</si>
  <si>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</si>
  <si>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</si>
  <si>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</si>
  <si>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</si>
  <si>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</si>
  <si>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</si>
  <si>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</si>
  <si>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</si>
  <si>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</si>
  <si>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</si>
  <si>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</si>
  <si>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</si>
  <si>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</si>
  <si>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</si>
  <si>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</si>
  <si>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</si>
  <si>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</si>
  <si>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</si>
  <si>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</si>
  <si>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</si>
  <si>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</si>
  <si>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</si>
  <si>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</si>
  <si>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</si>
  <si>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</si>
  <si>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</si>
  <si>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</si>
  <si>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</si>
  <si>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</si>
  <si>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</si>
  <si>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</si>
  <si>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</si>
  <si>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</si>
  <si>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</si>
  <si>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</si>
  <si>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</si>
  <si>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</si>
  <si>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</si>
  <si>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</si>
  <si>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</si>
  <si>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</si>
  <si>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</si>
  <si>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</si>
  <si>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</si>
  <si>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</si>
  <si>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</si>
  <si>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</si>
  <si>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</si>
  <si>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</si>
  <si>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</si>
  <si>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</si>
  <si>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</si>
  <si>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</si>
  <si>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</si>
  <si>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</si>
  <si>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</si>
  <si>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</si>
  <si>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</si>
  <si>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</si>
  <si>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</si>
  <si>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</si>
  <si>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</si>
  <si>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</si>
  <si>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</si>
  <si>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</si>
  <si>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</si>
  <si>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</si>
  <si>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</si>
  <si>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</si>
  <si>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</si>
  <si>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</si>
  <si>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</si>
  <si>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</si>
  <si>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</si>
  <si>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</si>
  <si>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</si>
  <si>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</si>
  <si>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</si>
  <si>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</si>
  <si>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</si>
  <si>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</si>
  <si>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</si>
  <si>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</si>
  <si>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</si>
  <si>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</si>
  <si>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</si>
  <si>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</si>
  <si>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</si>
  <si>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</si>
  <si>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</si>
  <si>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</si>
  <si>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</si>
  <si>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</si>
  <si>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</si>
  <si>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</si>
  <si>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</si>
  <si>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</si>
  <si>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</si>
  <si>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</si>
  <si>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</si>
  <si>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</si>
  <si>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</si>
  <si>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</si>
  <si>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</si>
  <si>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</si>
  <si>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</si>
  <si>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</si>
  <si>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</si>
  <si>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</si>
  <si>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</si>
  <si>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</si>
  <si>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</si>
  <si>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</si>
  <si>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</si>
  <si>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</si>
  <si>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</si>
  <si>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</si>
  <si>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</si>
  <si>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</si>
  <si>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</si>
  <si>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</si>
  <si>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</si>
  <si>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</si>
  <si>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</si>
  <si>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</si>
  <si>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</si>
  <si>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</si>
  <si>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</si>
  <si>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</si>
  <si>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</si>
  <si>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</si>
  <si>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</si>
  <si>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</si>
  <si>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</si>
  <si>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</si>
  <si>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</si>
  <si>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</si>
  <si>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</si>
  <si>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</si>
  <si>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</si>
  <si>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</si>
  <si>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</si>
  <si>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</si>
  <si>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</si>
  <si>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</si>
  <si>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</si>
  <si>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</si>
  <si>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</si>
  <si>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</si>
  <si>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</si>
  <si>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</si>
  <si>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</si>
  <si>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</si>
  <si>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</si>
  <si>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</si>
  <si>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</si>
  <si>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</si>
  <si>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</si>
  <si>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</si>
  <si>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</si>
  <si>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</si>
  <si>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</si>
  <si>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</si>
  <si>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</si>
  <si>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</si>
  <si>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</si>
  <si>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</si>
  <si>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</si>
  <si>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</si>
  <si>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</si>
  <si>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</si>
  <si>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</si>
  <si>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</si>
  <si>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</si>
  <si>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</si>
  <si>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</si>
  <si>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</si>
  <si>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</si>
  <si>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</si>
  <si>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</si>
  <si>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</si>
  <si>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</si>
  <si>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</si>
  <si>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</si>
  <si>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</si>
  <si>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</si>
  <si>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</si>
  <si>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</si>
  <si>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</si>
  <si>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</si>
  <si>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</si>
  <si>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</si>
  <si>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</si>
  <si>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</si>
  <si>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</si>
  <si>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</si>
  <si>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</si>
  <si>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</si>
  <si>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</si>
  <si>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</si>
  <si>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</si>
  <si>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</si>
  <si>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</si>
  <si>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</si>
  <si>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</si>
  <si>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</si>
  <si>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</si>
  <si>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</si>
  <si>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</si>
  <si>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</si>
  <si>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</si>
  <si>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</si>
  <si>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</si>
  <si>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</si>
  <si>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</si>
  <si>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</si>
  <si>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</si>
  <si>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</si>
  <si>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</si>
  <si>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</si>
  <si>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</si>
  <si>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</si>
  <si>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</si>
  <si>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</si>
  <si>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</si>
  <si>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</si>
  <si>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</si>
  <si>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</si>
  <si>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</si>
  <si>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</si>
  <si>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</si>
  <si>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</si>
  <si>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</si>
  <si>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</si>
  <si>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</si>
  <si>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</si>
  <si>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</si>
  <si>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</si>
  <si>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</si>
  <si>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</si>
  <si>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</si>
  <si>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</si>
  <si>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</si>
  <si>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</si>
  <si>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</si>
  <si>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</si>
  <si>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</si>
  <si>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</si>
  <si>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</si>
  <si>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</si>
  <si>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</si>
  <si>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</si>
  <si>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</si>
  <si>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</si>
  <si>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</si>
  <si>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</si>
  <si>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</si>
  <si>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</si>
  <si>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</si>
  <si>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</si>
  <si>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</si>
  <si>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</si>
  <si>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</si>
  <si>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</si>
  <si>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</si>
  <si>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</si>
  <si>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</si>
  <si>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</si>
  <si>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</si>
  <si>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</si>
  <si>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</si>
  <si>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</si>
  <si>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</si>
  <si>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</si>
  <si>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</si>
  <si>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</si>
  <si>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</si>
  <si>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</si>
  <si>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</si>
  <si>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</si>
  <si>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</si>
  <si>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</si>
  <si>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</si>
  <si>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</si>
  <si>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</si>
  <si>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</si>
  <si>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</si>
  <si>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</si>
  <si>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</si>
  <si>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</si>
  <si>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</si>
  <si>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</si>
  <si>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</si>
  <si>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</si>
  <si>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</si>
  <si>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</si>
  <si>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</si>
  <si>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</si>
  <si>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</si>
  <si>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</si>
  <si>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</si>
  <si>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</si>
  <si>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</si>
  <si>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</si>
  <si>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</si>
  <si>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</si>
  <si>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</si>
  <si>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</si>
  <si>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</si>
  <si>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</si>
  <si>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</si>
  <si>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</si>
  <si>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</si>
  <si>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</si>
  <si>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</si>
  <si>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</si>
  <si>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北京市</t>
  </si>
  <si>
    <t>自然人</t>
  </si>
  <si>
    <t>是</t>
  </si>
  <si>
    <t>万元</t>
  </si>
  <si>
    <t>楼面单价</t>
  </si>
  <si>
    <t>商业</t>
  </si>
  <si>
    <t>无租约</t>
  </si>
  <si>
    <t>利息：取LPR加浮动点数</t>
  </si>
  <si>
    <t>101A</t>
    <phoneticPr fontId="20" type="noConversion"/>
  </si>
  <si>
    <t>钢混</t>
  </si>
  <si>
    <t>非生产用房</t>
  </si>
  <si>
    <t>否</t>
  </si>
  <si>
    <t>正常</t>
    <phoneticPr fontId="25" type="noConversion"/>
  </si>
  <si>
    <t>正常</t>
    <phoneticPr fontId="25" type="noConversion"/>
  </si>
  <si>
    <t>仅计算典型户型</t>
  </si>
  <si>
    <t>比较法-商业</t>
  </si>
  <si>
    <t>收益法</t>
  </si>
  <si>
    <t>松榆西里</t>
    <phoneticPr fontId="4" type="noConversion"/>
  </si>
  <si>
    <t>农光里</t>
    <phoneticPr fontId="4" type="noConversion"/>
  </si>
  <si>
    <t>松榆西里</t>
    <phoneticPr fontId="146" type="noConversion"/>
  </si>
  <si>
    <t>农光里</t>
    <phoneticPr fontId="146" type="noConversion"/>
  </si>
  <si>
    <t>面积</t>
    <phoneticPr fontId="146" type="noConversion"/>
  </si>
  <si>
    <t>单价</t>
    <phoneticPr fontId="146" type="noConversion"/>
  </si>
  <si>
    <t>楼层</t>
    <phoneticPr fontId="146" type="noConversion"/>
  </si>
  <si>
    <t>估价对象1（结果表1修多）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</si>
</sst>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229" fillId="0" borderId="1" xfId="0" applyFont="1" applyFill="1" applyBorder="1" applyAlignment="1" applyProtection="1">
      <alignment horizontal="center" vertical="center"/>
      <protection locked="0"/>
    </xf>
    <xf numFmtId="49" fontId="135" fillId="2" borderId="9"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484429</xdr:colOff>
      <xdr:row>48</xdr:row>
      <xdr:rowOff>56115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771429" cy="8285715"/>
        </a:xfrm>
        <a:prstGeom prst="rect">
          <a:avLst/>
        </a:prstGeom>
      </xdr:spPr>
    </xdr:pic>
    <xdr:clientData/>
  </xdr:twoCellAnchor>
  <xdr:twoCellAnchor editAs="oneCell">
    <xdr:from>
      <xdr:col>0</xdr:col>
      <xdr:colOff>0</xdr:colOff>
      <xdr:row>49</xdr:row>
      <xdr:rowOff>0</xdr:rowOff>
    </xdr:from>
    <xdr:to>
      <xdr:col>14</xdr:col>
      <xdr:colOff>522610</xdr:colOff>
      <xdr:row>96</xdr:row>
      <xdr:rowOff>122803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401050"/>
          <a:ext cx="10123810" cy="8180953"/>
        </a:xfrm>
        <a:prstGeom prst="rect">
          <a:avLst/>
        </a:prstGeom>
      </xdr:spPr>
    </xdr:pic>
    <xdr:clientData/>
  </xdr:twoCellAnchor>
  <xdr:twoCellAnchor editAs="oneCell">
    <xdr:from>
      <xdr:col>0</xdr:col>
      <xdr:colOff>0</xdr:colOff>
      <xdr:row>97</xdr:row>
      <xdr:rowOff>0</xdr:rowOff>
    </xdr:from>
    <xdr:to>
      <xdr:col>14</xdr:col>
      <xdr:colOff>341658</xdr:colOff>
      <xdr:row>143</xdr:row>
      <xdr:rowOff>151396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630650"/>
          <a:ext cx="9942858" cy="8038096"/>
        </a:xfrm>
        <a:prstGeom prst="rect">
          <a:avLst/>
        </a:prstGeom>
      </xdr:spPr>
    </xdr:pic>
    <xdr:clientData/>
  </xdr:twoCellAnchor>
  <xdr:twoCellAnchor editAs="oneCell">
    <xdr:from>
      <xdr:col>0</xdr:col>
      <xdr:colOff>38100</xdr:colOff>
      <xdr:row>152</xdr:row>
      <xdr:rowOff>66675</xdr:rowOff>
    </xdr:from>
    <xdr:to>
      <xdr:col>6</xdr:col>
      <xdr:colOff>199491</xdr:colOff>
      <xdr:row>159</xdr:row>
      <xdr:rowOff>152239</xdr:rowOff>
    </xdr:to>
    <xdr:pic>
      <xdr:nvPicPr>
        <xdr:cNvPr id="5" name="图片 4"/>
        <xdr:cNvPicPr>
          <a:picLocks noChangeAspect="1"/>
        </xdr:cNvPicPr>
      </xdr:nvPicPr>
      <xdr:blipFill>
        <a:blip xmlns:r="http://schemas.openxmlformats.org/officeDocument/2006/relationships" r:embed="rId4"/>
        <a:stretch>
          <a:fillRect/>
        </a:stretch>
      </xdr:blipFill>
      <xdr:spPr>
        <a:xfrm>
          <a:off x="38100" y="26127075"/>
          <a:ext cx="4276191" cy="1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北京市预评估</v>
      </c>
    </row>
    <row r="3" spans="1:2" s="1137" customFormat="1">
      <c r="A3" s="1138" t="s">
        <v>858</v>
      </c>
      <c r="B3" s="1123" t="str">
        <f>'预评函-封皮'!B12</f>
        <v>xx</v>
      </c>
    </row>
    <row r="4" spans="1:2" s="1137" customFormat="1">
      <c r="A4" s="1138" t="s">
        <v>859</v>
      </c>
      <c r="B4" s="1123" t="str">
        <f>'预评函-封皮'!B18</f>
        <v>（注册号:0）、（注册号:0)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估价对象为北京市房地产，为XX所有。根据《》[]，估价对象建筑面积为400.8平方米。根据《》[]，估价对象（分摊）出让国有建设用地使用权面积为平方米。估价对象用途为。</v>
      </c>
    </row>
    <row r="8" spans="1:2">
      <c r="A8" s="1138" t="s">
        <v>863</v>
      </c>
      <c r="B8" s="1125" t="str">
        <f>'预评函-1'!A8</f>
        <v>为估价委托人了解估价对象房地产市场价值提供参考依据。</v>
      </c>
    </row>
    <row r="9" spans="1:2">
      <c r="A9" s="1138" t="s">
        <v>864</v>
      </c>
      <c r="B9" s="1125" t="str">
        <f>'预评函-1'!A10</f>
        <v>2022年8月22日</v>
      </c>
    </row>
    <row r="10" spans="1:2">
      <c r="A10" s="1138" t="s">
        <v>865</v>
      </c>
      <c r="B10" s="1125" t="str">
        <f>'预评函-1'!A13</f>
        <v>本次估价的“房地产价值”是指在正常市场情况下，在价值时点2022年8月22日，估价对象规划用途为，假定未设立法定优先受偿款下的房地产市场价值。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本次评估采用的主估价方法为比较法和收益法。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400.8</v>
      </c>
    </row>
    <row r="19" spans="1:2">
      <c r="A19" s="1138" t="s">
        <v>874</v>
      </c>
      <c r="B19" s="1125">
        <f ca="1">'预评函-2（1）'!D7</f>
        <v>1399</v>
      </c>
    </row>
    <row r="20" spans="1:2">
      <c r="A20" s="1138" t="s">
        <v>912</v>
      </c>
      <c r="B20" s="1125" t="str">
        <f>'预评函-2（1）'!C7</f>
        <v>总价（万元）</v>
      </c>
    </row>
    <row r="21" spans="1:2">
      <c r="A21" s="1138" t="s">
        <v>875</v>
      </c>
      <c r="B21" s="1125">
        <f ca="1">'预评函-2（1）'!D9</f>
        <v>34905</v>
      </c>
    </row>
    <row r="22" spans="1:2">
      <c r="A22" s="1138" t="s">
        <v>876</v>
      </c>
      <c r="B22" s="1125" t="str">
        <f ca="1">'预评函-2（1）'!D8</f>
        <v>壹仟叁佰玖拾玖万元整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1399</v>
      </c>
    </row>
    <row r="30" spans="1:2">
      <c r="A30" s="1138" t="s">
        <v>882</v>
      </c>
      <c r="B30" s="1125" t="str">
        <f ca="1">'预评函-2（1）'!D16</f>
        <v>壹仟叁佰玖拾玖万元整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'预评函-2（2）'!D4</f>
        <v>0</v>
      </c>
    </row>
    <row r="38" spans="1:2">
      <c r="A38" s="1138" t="s">
        <v>890</v>
      </c>
      <c r="B38" s="1125">
        <f>'预评函-2（2）'!E4</f>
        <v>0</v>
      </c>
    </row>
    <row r="39" spans="1:2">
      <c r="A39" s="1138" t="s">
        <v>891</v>
      </c>
      <c r="B39" s="1125" t="str">
        <f>'预评函-2（2）'!D5</f>
        <v>零元整</v>
      </c>
    </row>
    <row r="40" spans="1:2">
      <c r="A40" s="1138" t="s">
        <v>892</v>
      </c>
      <c r="B40" s="1125">
        <f>'预评函-2（2）'!F4</f>
        <v>0</v>
      </c>
    </row>
    <row r="41" spans="1:2">
      <c r="A41" s="1138" t="s">
        <v>893</v>
      </c>
      <c r="B41" s="1125">
        <f>'预评函-2（2）'!G4</f>
        <v>0</v>
      </c>
    </row>
    <row r="42" spans="1:2" s="1135" customFormat="1" ht="15.75" thickBot="1">
      <c r="A42" s="1139" t="s">
        <v>894</v>
      </c>
      <c r="B42" s="1127" t="str">
        <f>'预评函-2（2）'!F5</f>
        <v>零元整</v>
      </c>
    </row>
    <row r="43" spans="1:2" ht="15.75" thickTop="1">
      <c r="A43" s="1136" t="s">
        <v>895</v>
      </c>
      <c r="B43" s="1128" t="str">
        <f>'预评函-3'!A13</f>
        <v>2.本次评估设定估价对象房地产权属无争议，未被查封或者以其他形式限制其房地产权利，未设定抵押权等他项权利，不涉及第三方权利义务。</v>
      </c>
    </row>
    <row r="44" spans="1:2">
      <c r="A44" s="1138" t="s">
        <v>896</v>
      </c>
      <c r="B44" s="1125" t="str">
        <f>'预评函-3'!A14</f>
        <v>——</v>
      </c>
    </row>
    <row r="45" spans="1:2">
      <c r="A45" s="1138" t="s">
        <v>897</v>
      </c>
      <c r="B45" s="1125" t="str">
        <f>'预评函-3'!A15</f>
        <v>——</v>
      </c>
    </row>
    <row r="46" spans="1:2">
      <c r="A46" s="1138" t="s">
        <v>898</v>
      </c>
      <c r="B46" s="1125" t="str">
        <f>'预评函-3'!A16</f>
        <v>——</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v>
      </c>
    </row>
    <row r="49" spans="1:2">
      <c r="A49" s="1138" t="s">
        <v>900</v>
      </c>
      <c r="B49" s="112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f>'预评函-3'!A5</f>
        <v>0</v>
      </c>
    </row>
    <row r="55" spans="1:2" s="1135" customFormat="1" ht="15.75" thickBot="1">
      <c r="A55" s="1139" t="s">
        <v>906</v>
      </c>
      <c r="B55" s="1127">
        <f>'预评函-3'!B5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34905</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tabSelected="1" view="pageBreakPreview" zoomScale="80" zoomScaleNormal="100" zoomScaleSheetLayoutView="80" workbookViewId="0">
      <selection activeCell="D3" sqref="D3"/>
    </sheetView>
  </sheetViews>
  <sheetFormatPr defaultColWidth="10" defaultRowHeight="12.75"/>
  <cols>
    <col min="1" max="1" width="18.625" style="784" customWidth="1"/>
    <col min="2" max="2" width="15" style="784" customWidth="1"/>
    <col min="3" max="3" width="14.125" style="784" customWidth="1"/>
    <col min="4" max="4" width="12.5" style="784" customWidth="1"/>
    <col min="5" max="5" width="13.875" style="784" customWidth="1"/>
    <col min="6" max="6" width="15" style="784" customWidth="1"/>
    <col min="7" max="7" width="14.875" style="784"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4"/>
  </cols>
  <sheetData>
    <row r="1" spans="1:17" ht="13.5" thickBot="1">
      <c r="A1" s="2507" t="s">
        <v>1288</v>
      </c>
      <c r="B1" s="2508" t="str">
        <f>IF(B6="北京市","北京市",C6)&amp;IF(E12="房屋所有权证",B29,E29)&amp;D5&amp;"预评估"</f>
        <v>北京市预评估</v>
      </c>
      <c r="C1" s="780"/>
      <c r="D1" s="780"/>
      <c r="E1" s="780"/>
      <c r="F1" s="1353" t="s">
        <v>1289</v>
      </c>
      <c r="G1" s="1119"/>
      <c r="I1" s="2836" t="str">
        <f>IF(B6="北京市","北京市",C6)&amp;IF(E12="房屋所有权证",B29,E29)&amp;"房地产"</f>
        <v>北京市房地产</v>
      </c>
      <c r="J1" s="757"/>
      <c r="K1" s="2838"/>
      <c r="L1" s="2838"/>
      <c r="M1" s="2838"/>
      <c r="N1" s="757"/>
      <c r="O1" s="757"/>
      <c r="P1" s="757"/>
      <c r="Q1" s="757"/>
    </row>
    <row r="2" spans="1:17" ht="13.5" thickTop="1">
      <c r="A2" s="1354" t="s">
        <v>1290</v>
      </c>
      <c r="B2" s="2509"/>
      <c r="C2" s="2808" t="s">
        <v>1291</v>
      </c>
      <c r="D2" s="2509">
        <v>44795</v>
      </c>
      <c r="E2" s="781"/>
      <c r="F2" s="781"/>
      <c r="G2" s="1120"/>
      <c r="H2" s="2820"/>
    </row>
    <row r="3" spans="1:17" ht="13.5" thickBot="1">
      <c r="A3" s="2510" t="s">
        <v>1292</v>
      </c>
      <c r="B3" s="2511"/>
      <c r="C3" s="2512">
        <f>SUMIF(注册房地产估价师,B3,估价师及机构信息!B3:B16)</f>
        <v>0</v>
      </c>
      <c r="D3" s="2511"/>
      <c r="E3" s="2513">
        <f>SUMIF(注册房地产估价师,D3,估价师及机构信息!B3:B16)</f>
        <v>0</v>
      </c>
      <c r="F3" s="782"/>
      <c r="G3" s="1121"/>
      <c r="H3" s="2820"/>
    </row>
    <row r="4" spans="1:17" ht="13.5" customHeight="1" thickTop="1">
      <c r="A4" s="1354" t="s">
        <v>1293</v>
      </c>
      <c r="B4" s="1355" t="s">
        <v>2478</v>
      </c>
      <c r="C4" s="2809" t="s">
        <v>1294</v>
      </c>
      <c r="D4" s="1356"/>
      <c r="E4" s="781"/>
      <c r="F4" s="781"/>
      <c r="G4" s="1120"/>
    </row>
    <row r="5" spans="1:17">
      <c r="A5" s="1357" t="s">
        <v>1295</v>
      </c>
      <c r="B5" s="1358" t="s">
        <v>2479</v>
      </c>
      <c r="C5" s="2810" t="s">
        <v>1296</v>
      </c>
      <c r="D5" s="1360"/>
      <c r="E5" s="2811" t="s">
        <v>1297</v>
      </c>
      <c r="F5" s="1360"/>
      <c r="G5" s="1361"/>
      <c r="I5" s="2836" t="str">
        <f>IF(C16="否","截至估价时点，估价对象抵押权未见登记。","截至价值时点，估价对象已设定抵押。")</f>
        <v>截至价值时点，估价对象已设定抵押。</v>
      </c>
      <c r="J5" s="757"/>
      <c r="K5" s="2838"/>
      <c r="L5" s="2838"/>
      <c r="M5" s="2838"/>
      <c r="N5" s="757"/>
      <c r="O5" s="757"/>
      <c r="P5" s="757"/>
      <c r="Q5" s="757"/>
    </row>
    <row r="6" spans="1:17">
      <c r="A6" s="2812" t="s">
        <v>1298</v>
      </c>
      <c r="B6" s="2514" t="s">
        <v>3029</v>
      </c>
      <c r="C6" s="2515" t="s">
        <v>2480</v>
      </c>
      <c r="D6" s="2516" t="s">
        <v>1299</v>
      </c>
      <c r="E6" s="768"/>
      <c r="F6" s="768"/>
      <c r="G6" s="787"/>
      <c r="I6" s="757" t="str">
        <f>IF(COUNTIF(B5,"*上海银行*"),"上海银行","")</f>
        <v/>
      </c>
      <c r="J6" s="757"/>
      <c r="K6" s="2838"/>
      <c r="L6" s="2838"/>
      <c r="M6" s="2838"/>
      <c r="N6" s="757"/>
      <c r="O6" s="757"/>
      <c r="P6" s="757"/>
      <c r="Q6" s="757"/>
    </row>
    <row r="7" spans="1:17" ht="13.5" thickBot="1">
      <c r="A7" s="2813" t="s">
        <v>1300</v>
      </c>
      <c r="B7" s="2517" t="s">
        <v>3030</v>
      </c>
      <c r="C7" s="1452" t="str">
        <f>IF(B7="自然人","姓名","名称")</f>
        <v>姓名</v>
      </c>
      <c r="D7" s="1365" t="s">
        <v>2479</v>
      </c>
      <c r="E7" s="782"/>
      <c r="F7" s="782"/>
      <c r="G7" s="1121"/>
    </row>
    <row r="8" spans="1:17" ht="13.5" thickTop="1">
      <c r="A8" s="3377" t="s">
        <v>1301</v>
      </c>
      <c r="B8" s="1366" t="s">
        <v>1302</v>
      </c>
      <c r="C8" s="3390"/>
      <c r="D8" s="3391"/>
      <c r="E8" s="2518" t="s">
        <v>1303</v>
      </c>
      <c r="F8" s="2519" t="s">
        <v>1304</v>
      </c>
      <c r="G8" s="2520" t="str">
        <f>C6</f>
        <v>XX</v>
      </c>
    </row>
    <row r="9" spans="1:17">
      <c r="A9" s="3377"/>
      <c r="B9" s="259" t="s">
        <v>1305</v>
      </c>
      <c r="C9" s="1358"/>
      <c r="D9" s="1367"/>
      <c r="E9" s="2814" t="s">
        <v>1306</v>
      </c>
      <c r="F9" s="2521"/>
      <c r="G9" s="2522"/>
    </row>
    <row r="10" spans="1:17" ht="13.5" thickBot="1">
      <c r="A10" s="3377"/>
      <c r="B10" s="259" t="s">
        <v>1307</v>
      </c>
      <c r="C10" s="3392"/>
      <c r="D10" s="3393"/>
      <c r="E10" s="2815" t="s">
        <v>1308</v>
      </c>
      <c r="F10" s="2523"/>
      <c r="G10" s="2524"/>
    </row>
    <row r="11" spans="1:17" ht="13.5" thickBot="1">
      <c r="A11" s="3377"/>
      <c r="B11" s="1369" t="s">
        <v>1309</v>
      </c>
      <c r="C11" s="3394"/>
      <c r="D11" s="3395"/>
      <c r="E11" s="768"/>
      <c r="F11" s="768"/>
      <c r="G11" s="787"/>
    </row>
    <row r="12" spans="1:17" ht="13.5" thickBot="1">
      <c r="A12" s="3381" t="s">
        <v>2586</v>
      </c>
      <c r="B12" s="2816" t="s">
        <v>1310</v>
      </c>
      <c r="C12" s="765">
        <f>122.45+278.35</f>
        <v>400.8</v>
      </c>
      <c r="D12" s="1370" t="s">
        <v>1311</v>
      </c>
      <c r="E12" s="1371"/>
      <c r="F12" s="1372"/>
      <c r="G12" s="787"/>
    </row>
    <row r="13" spans="1:17" ht="21" customHeight="1" thickBot="1">
      <c r="A13" s="3382"/>
      <c r="B13" s="2817" t="s">
        <v>1312</v>
      </c>
      <c r="C13" s="766"/>
      <c r="D13" s="1373" t="s">
        <v>1313</v>
      </c>
      <c r="E13" s="1374"/>
      <c r="F13" s="768"/>
      <c r="G13" s="787"/>
      <c r="I13" s="3400"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7"/>
      <c r="O13" s="757"/>
      <c r="P13" s="757"/>
      <c r="Q13" s="757"/>
    </row>
    <row r="14" spans="1:17" ht="13.5" thickBot="1">
      <c r="A14" s="2525"/>
      <c r="B14" s="2831" t="s">
        <v>2587</v>
      </c>
      <c r="C14" s="2526"/>
      <c r="D14" s="768"/>
      <c r="E14" s="768"/>
      <c r="F14" s="768"/>
      <c r="G14" s="787"/>
      <c r="I14" s="3400"/>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7"/>
      <c r="O14" s="757"/>
      <c r="P14" s="757"/>
      <c r="Q14" s="757"/>
    </row>
    <row r="15" spans="1:17" ht="13.5" thickBot="1">
      <c r="A15" s="2527"/>
      <c r="B15" s="2818" t="s">
        <v>1315</v>
      </c>
      <c r="C15" s="783"/>
      <c r="D15" s="782"/>
      <c r="E15" s="782"/>
      <c r="F15" s="782"/>
      <c r="G15" s="1121"/>
      <c r="I15" s="3400"/>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7"/>
      <c r="O15" s="757"/>
      <c r="P15" s="757"/>
      <c r="Q15" s="757"/>
    </row>
    <row r="16" spans="1:17" ht="25.5" thickTop="1" thickBot="1">
      <c r="A16" s="2525" t="s">
        <v>1316</v>
      </c>
      <c r="B16" s="1375" t="s">
        <v>1317</v>
      </c>
      <c r="C16" s="2528"/>
      <c r="D16" s="1368" t="s">
        <v>1318</v>
      </c>
      <c r="E16" s="2529"/>
      <c r="F16" s="1376" t="str">
        <f>IF(AND(C16="是",E16="否"),"是否提供他项权证或相关说明","")</f>
        <v/>
      </c>
      <c r="G16" s="2529"/>
      <c r="J16" s="2820"/>
    </row>
    <row r="17" spans="1:66" ht="13.5" customHeight="1">
      <c r="A17" s="1382" t="s">
        <v>1319</v>
      </c>
      <c r="B17" s="3396" t="s">
        <v>1320</v>
      </c>
      <c r="C17" s="3397"/>
      <c r="D17" s="3398" t="s">
        <v>1321</v>
      </c>
      <c r="E17" s="3399"/>
      <c r="F17" s="1377" t="s">
        <v>1322</v>
      </c>
      <c r="G17" s="1378"/>
      <c r="J17" s="2820"/>
    </row>
    <row r="18" spans="1:66" ht="24">
      <c r="A18" s="1382"/>
      <c r="B18" s="2530"/>
      <c r="C18" s="1361"/>
      <c r="D18" s="1379" t="s">
        <v>1323</v>
      </c>
      <c r="E18" s="1380"/>
      <c r="F18" s="1381"/>
      <c r="G18" s="1244"/>
      <c r="H18" s="2820"/>
      <c r="J18" s="2820"/>
    </row>
    <row r="19" spans="1:66" ht="21.75" customHeight="1" thickBot="1">
      <c r="A19" s="1382"/>
      <c r="B19" s="2531"/>
      <c r="C19" s="1374"/>
      <c r="D19" s="1382"/>
      <c r="E19" s="768"/>
      <c r="F19" s="768"/>
      <c r="G19" s="1244"/>
    </row>
    <row r="20" spans="1:66">
      <c r="A20" s="1378" t="s">
        <v>1324</v>
      </c>
      <c r="B20" s="2532" t="s">
        <v>1325</v>
      </c>
      <c r="C20" s="2533"/>
      <c r="D20" s="2534" t="s">
        <v>1325</v>
      </c>
      <c r="E20" s="2533"/>
      <c r="F20" s="768"/>
      <c r="G20" s="1244"/>
    </row>
    <row r="21" spans="1:66">
      <c r="A21" s="1244"/>
      <c r="B21" s="2535" t="s">
        <v>1326</v>
      </c>
      <c r="C21" s="2803"/>
      <c r="D21" s="1382" t="s">
        <v>1326</v>
      </c>
      <c r="E21" s="2536"/>
      <c r="F21" s="768"/>
      <c r="G21" s="1244"/>
    </row>
    <row r="22" spans="1:66">
      <c r="A22" s="1244"/>
      <c r="B22" s="768" t="s">
        <v>1327</v>
      </c>
      <c r="C22" s="2537"/>
      <c r="D22" s="768" t="s">
        <v>1327</v>
      </c>
      <c r="E22" s="2536"/>
      <c r="F22" s="768"/>
      <c r="G22" s="1244"/>
    </row>
    <row r="23" spans="1:66" s="2802" customFormat="1" ht="16.5" thickBot="1">
      <c r="A23" s="1245"/>
      <c r="B23" s="786" t="s">
        <v>1328</v>
      </c>
      <c r="C23" s="766"/>
      <c r="D23" s="786" t="s">
        <v>1329</v>
      </c>
      <c r="E23" s="2538"/>
      <c r="F23" s="786"/>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09" t="s">
        <v>2585</v>
      </c>
      <c r="B24" s="3409"/>
      <c r="C24" s="3409"/>
      <c r="D24" s="3409"/>
      <c r="E24" s="3409"/>
      <c r="F24" s="3409"/>
      <c r="G24" s="3409"/>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5" t="s">
        <v>1330</v>
      </c>
      <c r="B25" s="768"/>
      <c r="C25" s="768"/>
      <c r="D25" s="768"/>
      <c r="E25" s="768"/>
      <c r="F25" s="768"/>
      <c r="G25" s="1245"/>
      <c r="K25" s="2821"/>
    </row>
    <row r="26" spans="1:66" s="793" customFormat="1" ht="13.5" thickBot="1">
      <c r="A26" s="2539"/>
      <c r="B26" s="764" t="s">
        <v>1331</v>
      </c>
      <c r="C26" s="2539"/>
      <c r="D26" s="764"/>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3" customFormat="1" ht="13.5" thickBot="1">
      <c r="A27" s="2539"/>
      <c r="B27" s="2542"/>
      <c r="C27" s="2539"/>
      <c r="D27" s="764"/>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0" t="s">
        <v>1334</v>
      </c>
      <c r="B28" s="758"/>
      <c r="C28" s="3384" t="s">
        <v>1334</v>
      </c>
      <c r="D28" s="3385"/>
      <c r="E28" s="758"/>
      <c r="F28" s="760" t="s">
        <v>1334</v>
      </c>
      <c r="G28" s="758"/>
      <c r="K28" s="2821"/>
    </row>
    <row r="29" spans="1:66">
      <c r="A29" s="761" t="s">
        <v>1335</v>
      </c>
      <c r="B29" s="755"/>
      <c r="C29" s="3386" t="s">
        <v>1336</v>
      </c>
      <c r="D29" s="3387"/>
      <c r="E29" s="755"/>
      <c r="F29" s="761" t="s">
        <v>1336</v>
      </c>
      <c r="G29" s="755"/>
      <c r="K29" s="2821"/>
    </row>
    <row r="30" spans="1:66">
      <c r="A30" s="761" t="s">
        <v>1337</v>
      </c>
      <c r="B30" s="755"/>
      <c r="C30" s="3386" t="s">
        <v>1337</v>
      </c>
      <c r="D30" s="3387"/>
      <c r="E30" s="755"/>
      <c r="F30" s="761" t="s">
        <v>1338</v>
      </c>
      <c r="G30" s="755"/>
      <c r="K30" s="2821"/>
    </row>
    <row r="31" spans="1:66">
      <c r="A31" s="761" t="s">
        <v>1339</v>
      </c>
      <c r="B31" s="755"/>
      <c r="C31" s="3406" t="s">
        <v>1340</v>
      </c>
      <c r="D31" s="768"/>
      <c r="E31" s="2544" t="str">
        <f>E32&amp;" "&amp;E33&amp;" "&amp;E34&amp;" "&amp;E35</f>
        <v xml:space="preserve">   </v>
      </c>
      <c r="F31" s="761" t="s">
        <v>1341</v>
      </c>
      <c r="G31" s="755"/>
    </row>
    <row r="32" spans="1:66">
      <c r="A32" s="761" t="s">
        <v>1342</v>
      </c>
      <c r="B32" s="755"/>
      <c r="C32" s="3407"/>
      <c r="D32" s="259" t="s">
        <v>1343</v>
      </c>
      <c r="E32" s="755"/>
      <c r="F32" s="761" t="s">
        <v>1344</v>
      </c>
      <c r="G32" s="755"/>
    </row>
    <row r="33" spans="1:7" ht="24.75" thickBot="1">
      <c r="A33" s="762" t="s">
        <v>1345</v>
      </c>
      <c r="B33" s="759"/>
      <c r="C33" s="3407"/>
      <c r="D33" s="259" t="s">
        <v>1346</v>
      </c>
      <c r="E33" s="755"/>
      <c r="F33" s="761" t="s">
        <v>1347</v>
      </c>
      <c r="G33" s="755"/>
    </row>
    <row r="34" spans="1:7">
      <c r="A34" s="760" t="s">
        <v>1348</v>
      </c>
      <c r="B34" s="758"/>
      <c r="C34" s="3407"/>
      <c r="D34" s="259" t="s">
        <v>1349</v>
      </c>
      <c r="E34" s="755"/>
      <c r="F34" s="761" t="s">
        <v>1350</v>
      </c>
      <c r="G34" s="755"/>
    </row>
    <row r="35" spans="1:7" ht="13.5" thickBot="1">
      <c r="A35" s="761" t="s">
        <v>1351</v>
      </c>
      <c r="B35" s="755"/>
      <c r="C35" s="3408"/>
      <c r="D35" s="259" t="s">
        <v>1352</v>
      </c>
      <c r="E35" s="755"/>
      <c r="F35" s="762" t="s">
        <v>1353</v>
      </c>
      <c r="G35" s="2545"/>
    </row>
    <row r="36" spans="1:7">
      <c r="A36" s="761" t="s">
        <v>1310</v>
      </c>
      <c r="B36" s="755"/>
      <c r="C36" s="3386" t="s">
        <v>1354</v>
      </c>
      <c r="D36" s="3387"/>
      <c r="E36" s="755"/>
      <c r="F36" s="2546" t="s">
        <v>1355</v>
      </c>
      <c r="G36" s="758"/>
    </row>
    <row r="37" spans="1:7" ht="13.5" thickBot="1">
      <c r="A37" s="761" t="s">
        <v>1356</v>
      </c>
      <c r="B37" s="755"/>
      <c r="C37" s="3388" t="s">
        <v>1357</v>
      </c>
      <c r="D37" s="3389"/>
      <c r="E37" s="759"/>
      <c r="F37" s="1390" t="s">
        <v>1358</v>
      </c>
      <c r="G37" s="755"/>
    </row>
    <row r="38" spans="1:7" ht="13.5" thickBot="1">
      <c r="A38" s="761" t="s">
        <v>1359</v>
      </c>
      <c r="B38" s="755"/>
      <c r="C38" s="3378" t="s">
        <v>1360</v>
      </c>
      <c r="D38" s="1370" t="s">
        <v>1344</v>
      </c>
      <c r="E38" s="758"/>
      <c r="F38" s="762" t="s">
        <v>1361</v>
      </c>
      <c r="G38" s="759"/>
    </row>
    <row r="39" spans="1:7">
      <c r="A39" s="761" t="s">
        <v>1362</v>
      </c>
      <c r="B39" s="755"/>
      <c r="C39" s="3379"/>
      <c r="D39" s="259" t="s">
        <v>1351</v>
      </c>
      <c r="E39" s="755"/>
      <c r="F39" s="760" t="s">
        <v>1363</v>
      </c>
      <c r="G39" s="758"/>
    </row>
    <row r="40" spans="1:7">
      <c r="A40" s="761" t="s">
        <v>1364</v>
      </c>
      <c r="B40" s="755"/>
      <c r="C40" s="3379" t="s">
        <v>1365</v>
      </c>
      <c r="D40" s="259" t="s">
        <v>1310</v>
      </c>
      <c r="E40" s="755"/>
      <c r="F40" s="761" t="s">
        <v>1366</v>
      </c>
      <c r="G40" s="755"/>
    </row>
    <row r="41" spans="1:7" ht="24.75" customHeight="1" thickBot="1">
      <c r="A41" s="762" t="s">
        <v>1367</v>
      </c>
      <c r="B41" s="759"/>
      <c r="C41" s="3380"/>
      <c r="D41" s="1373" t="s">
        <v>1312</v>
      </c>
      <c r="E41" s="759"/>
      <c r="F41" s="762" t="s">
        <v>1368</v>
      </c>
      <c r="G41" s="759"/>
    </row>
    <row r="42" spans="1:7">
      <c r="A42" s="763" t="s">
        <v>1369</v>
      </c>
      <c r="B42" s="2547"/>
      <c r="C42" s="3401" t="s">
        <v>1369</v>
      </c>
      <c r="D42" s="3402"/>
      <c r="E42" s="2547"/>
      <c r="F42" s="760" t="s">
        <v>1370</v>
      </c>
      <c r="G42" s="2547"/>
    </row>
    <row r="43" spans="1:7">
      <c r="A43" s="778" t="s">
        <v>1371</v>
      </c>
      <c r="B43" s="2548"/>
      <c r="C43" s="1382"/>
      <c r="D43" s="2535"/>
      <c r="E43" s="2548"/>
      <c r="F43" s="778"/>
      <c r="G43" s="2548"/>
    </row>
    <row r="44" spans="1:7">
      <c r="A44" s="778" t="s">
        <v>1325</v>
      </c>
      <c r="B44" s="779"/>
      <c r="C44" s="1382"/>
      <c r="D44" s="1448" t="s">
        <v>1325</v>
      </c>
      <c r="E44" s="779"/>
      <c r="F44" s="778" t="s">
        <v>1325</v>
      </c>
      <c r="G44" s="779"/>
    </row>
    <row r="45" spans="1:7">
      <c r="A45" s="778" t="s">
        <v>1326</v>
      </c>
      <c r="B45" s="779"/>
      <c r="C45" s="1382"/>
      <c r="D45" s="2535" t="s">
        <v>1326</v>
      </c>
      <c r="E45" s="779"/>
      <c r="F45" s="778" t="s">
        <v>1326</v>
      </c>
      <c r="G45" s="779"/>
    </row>
    <row r="46" spans="1:7">
      <c r="A46" s="778" t="s">
        <v>1327</v>
      </c>
      <c r="B46" s="779"/>
      <c r="C46" s="1382"/>
      <c r="D46" s="2535" t="s">
        <v>1327</v>
      </c>
      <c r="E46" s="779"/>
      <c r="F46" s="778" t="s">
        <v>1327</v>
      </c>
      <c r="G46" s="779"/>
    </row>
    <row r="47" spans="1:7">
      <c r="A47" s="778" t="s">
        <v>1328</v>
      </c>
      <c r="B47" s="779"/>
      <c r="C47" s="1382"/>
      <c r="D47" s="2535" t="s">
        <v>1328</v>
      </c>
      <c r="E47" s="779"/>
      <c r="F47" s="778" t="s">
        <v>1328</v>
      </c>
      <c r="G47" s="779"/>
    </row>
    <row r="48" spans="1:7">
      <c r="A48" s="778"/>
      <c r="B48" s="779"/>
      <c r="C48" s="1382"/>
      <c r="D48" s="2535"/>
      <c r="E48" s="779"/>
      <c r="F48" s="778"/>
      <c r="G48" s="779"/>
    </row>
    <row r="49" spans="1:66" ht="13.5" thickBot="1">
      <c r="A49" s="762" t="s">
        <v>1372</v>
      </c>
      <c r="B49" s="759"/>
      <c r="C49" s="3403" t="s">
        <v>1372</v>
      </c>
      <c r="D49" s="3404"/>
      <c r="E49" s="777"/>
      <c r="F49" s="762" t="s">
        <v>1373</v>
      </c>
      <c r="G49" s="759"/>
    </row>
    <row r="50" spans="1:66">
      <c r="A50" s="761" t="s">
        <v>1374</v>
      </c>
      <c r="B50" s="776"/>
      <c r="C50" s="3378" t="s">
        <v>1375</v>
      </c>
      <c r="D50" s="3405"/>
      <c r="E50" s="2549"/>
      <c r="F50" s="794"/>
      <c r="G50" s="795"/>
    </row>
    <row r="51" spans="1:66" ht="13.5" thickBot="1">
      <c r="A51" s="761" t="s">
        <v>1376</v>
      </c>
      <c r="B51" s="776"/>
      <c r="C51" s="3380" t="s">
        <v>1377</v>
      </c>
      <c r="D51" s="3383"/>
      <c r="E51" s="759"/>
      <c r="F51" s="768"/>
      <c r="G51" s="787"/>
    </row>
    <row r="52" spans="1:66">
      <c r="A52" s="761" t="s">
        <v>1355</v>
      </c>
      <c r="B52" s="755"/>
      <c r="C52" s="768"/>
      <c r="D52" s="768"/>
      <c r="E52" s="768"/>
      <c r="F52" s="768"/>
      <c r="G52" s="787"/>
    </row>
    <row r="53" spans="1:66" ht="24.75" thickBot="1">
      <c r="A53" s="762" t="s">
        <v>1378</v>
      </c>
      <c r="B53" s="2545"/>
      <c r="C53" s="786"/>
      <c r="D53" s="786"/>
      <c r="E53" s="786"/>
      <c r="F53" s="786"/>
      <c r="G53" s="788"/>
    </row>
    <row r="57" spans="1:66" s="767"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7"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7"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7"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7"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7"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7"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0" t="s">
        <v>0</v>
      </c>
      <c r="B1" s="3410" t="s">
        <v>2</v>
      </c>
      <c r="C1" s="3410" t="s">
        <v>3</v>
      </c>
      <c r="D1" s="3411" t="s">
        <v>67</v>
      </c>
      <c r="E1" s="3411" t="s">
        <v>68</v>
      </c>
      <c r="F1" s="3411"/>
      <c r="G1" s="3411"/>
      <c r="H1" s="3411"/>
      <c r="I1" s="3411"/>
      <c r="J1" s="3411"/>
      <c r="K1" s="3411"/>
      <c r="L1" s="3411"/>
      <c r="M1" s="3411"/>
    </row>
    <row r="2" spans="1:13" ht="27" customHeight="1">
      <c r="A2" s="3410"/>
      <c r="B2" s="3410"/>
      <c r="C2" s="3410"/>
      <c r="D2" s="3411"/>
      <c r="E2" s="3411" t="s">
        <v>51</v>
      </c>
      <c r="F2" s="3411" t="s">
        <v>52</v>
      </c>
      <c r="G2" s="3411"/>
      <c r="H2" s="3411"/>
      <c r="I2" s="3411"/>
      <c r="J2" s="3411" t="s">
        <v>53</v>
      </c>
      <c r="K2" s="3411"/>
      <c r="L2" s="3411"/>
      <c r="M2" s="3411"/>
    </row>
    <row r="3" spans="1:13" ht="28.5">
      <c r="A3" s="3410"/>
      <c r="B3" s="3410"/>
      <c r="C3" s="3410"/>
      <c r="D3" s="3411"/>
      <c r="E3" s="341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1" t="s">
        <v>69</v>
      </c>
      <c r="B9" s="3411"/>
      <c r="C9" s="341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I26" sqref="I26"/>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4"/>
      <c r="D1" s="2550"/>
      <c r="E1" s="2550"/>
    </row>
    <row r="2" spans="1:41" s="2554" customFormat="1" ht="15.75" thickBot="1">
      <c r="A2" s="2840" t="s">
        <v>1380</v>
      </c>
      <c r="B2" s="2841">
        <f>项目基本情况!D2</f>
        <v>44795</v>
      </c>
      <c r="C2" s="1612"/>
      <c r="D2" s="3412"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3032</v>
      </c>
      <c r="C3" s="1612"/>
      <c r="D3" s="3413"/>
      <c r="E3" s="2556" t="s">
        <v>3031</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3033</v>
      </c>
      <c r="C4" s="1612"/>
      <c r="D4" s="3413"/>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400.8</v>
      </c>
      <c r="C5" s="1612"/>
      <c r="D5" s="2842" t="s">
        <v>1385</v>
      </c>
      <c r="E5" s="2559">
        <v>122.45</v>
      </c>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3034</v>
      </c>
      <c r="C10" s="1612"/>
      <c r="D10" s="2840" t="s">
        <v>1389</v>
      </c>
      <c r="E10" s="2844" t="s">
        <v>1390</v>
      </c>
      <c r="F10" s="3008" t="s">
        <v>2595</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40</v>
      </c>
      <c r="C11" s="1612"/>
      <c r="D11" s="2846" t="s">
        <v>1392</v>
      </c>
      <c r="E11" s="2566">
        <v>160</v>
      </c>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18</v>
      </c>
      <c r="C13" s="2884"/>
      <c r="D13" s="2850" t="s">
        <v>1397</v>
      </c>
      <c r="E13" s="2570">
        <f>E12*B5</f>
        <v>80160</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0.68100000000000005</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0.05</v>
      </c>
      <c r="C15" s="2480" t="s">
        <v>2596</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v>0.06</v>
      </c>
      <c r="C16" s="2480" t="s">
        <v>2597</v>
      </c>
      <c r="D16" s="2854" t="s">
        <v>1404</v>
      </c>
      <c r="E16" s="2573">
        <v>0</v>
      </c>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2594</v>
      </c>
      <c r="B17" s="3006">
        <v>0.08</v>
      </c>
      <c r="C17" s="2480" t="s">
        <v>2598</v>
      </c>
      <c r="D17" s="2843" t="s">
        <v>1406</v>
      </c>
      <c r="E17" s="2574">
        <v>3000</v>
      </c>
      <c r="F17" s="904"/>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3014">
        <v>7.4999999999999997E-2</v>
      </c>
      <c r="C18" s="1612"/>
      <c r="D18" s="2856" t="str">
        <f>IF(B26=0,"建安总额","在建建安")</f>
        <v>建安总额</v>
      </c>
      <c r="E18" s="2857">
        <f>ROUND(B5*E17*IF(B26=0,1,E20),0)</f>
        <v>1202400</v>
      </c>
      <c r="F18" s="2575">
        <f>ROUND(E5*E17*IF(B26=0,1,E20),0)</f>
        <v>367350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f>ROUND((H20+H21)/2,2)</f>
        <v>0.76</v>
      </c>
      <c r="F20" s="904"/>
      <c r="G20" s="1612"/>
      <c r="H20" s="1612">
        <f>ROUND(1-(2022-B27)/60,2)</f>
        <v>0.67</v>
      </c>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0.03</v>
      </c>
      <c r="F21" s="2590" t="s">
        <v>2604</v>
      </c>
      <c r="G21" s="1612"/>
      <c r="H21" s="1612">
        <v>0.85</v>
      </c>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0.05</v>
      </c>
      <c r="F22" s="2590" t="s">
        <v>2602</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0.05</v>
      </c>
      <c r="F24" s="2590" t="s">
        <v>2605</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0.02</v>
      </c>
      <c r="F25" s="2590" t="s">
        <v>2603</v>
      </c>
      <c r="I25" s="2885"/>
    </row>
    <row r="26" spans="1:41" ht="15" thickBot="1">
      <c r="A26" s="2863" t="s">
        <v>1417</v>
      </c>
      <c r="B26" s="2867">
        <f>B22-B23</f>
        <v>0</v>
      </c>
      <c r="D26" s="2847" t="s">
        <v>1420</v>
      </c>
      <c r="E26" s="2582">
        <v>0.02</v>
      </c>
      <c r="F26" s="2590" t="s">
        <v>2603</v>
      </c>
      <c r="G26" s="2886"/>
      <c r="H26" s="2886"/>
      <c r="I26" s="1612"/>
      <c r="J26" s="1612"/>
      <c r="K26" s="1612"/>
      <c r="L26" s="1612"/>
      <c r="M26" s="1612"/>
      <c r="N26" s="1612"/>
    </row>
    <row r="27" spans="1:41" ht="15.75" thickBot="1">
      <c r="A27" s="2868" t="s">
        <v>1419</v>
      </c>
      <c r="B27" s="2584">
        <v>2002</v>
      </c>
      <c r="C27" s="1612"/>
      <c r="D27" s="3073" t="s">
        <v>3036</v>
      </c>
      <c r="E27" s="2869">
        <f ca="1">IF(D27="利息：取LPR",存贷款利率!G1,存贷款利率!G1+F27)</f>
        <v>4.2000000000000003E-2</v>
      </c>
      <c r="F27" s="3074">
        <v>5.0000000000000001E-3</v>
      </c>
      <c r="G27" s="2886"/>
      <c r="H27" s="2886"/>
      <c r="K27" s="1612"/>
      <c r="N27" s="1612"/>
    </row>
    <row r="28" spans="1:41" ht="15" thickBot="1">
      <c r="A28" s="904"/>
      <c r="B28" s="904"/>
      <c r="D28" s="2850" t="s">
        <v>1422</v>
      </c>
      <c r="E28" s="2586">
        <v>0.2</v>
      </c>
      <c r="G28" s="2886"/>
      <c r="H28" s="2886"/>
      <c r="K28" s="1612"/>
      <c r="N28" s="1612"/>
    </row>
    <row r="29" spans="1:41" ht="14.25">
      <c r="A29" s="2870" t="s">
        <v>1421</v>
      </c>
      <c r="B29" s="2585" t="s">
        <v>3035</v>
      </c>
      <c r="D29" s="2852" t="s">
        <v>1423</v>
      </c>
      <c r="E29" s="2871">
        <f>E30+E31</f>
        <v>5.6000000000000001E-2</v>
      </c>
      <c r="F29" s="1237"/>
      <c r="G29" s="2886"/>
      <c r="H29" s="2886"/>
      <c r="K29" s="1612"/>
      <c r="N29" s="1612"/>
    </row>
    <row r="30" spans="1:41" ht="14.25">
      <c r="A30" s="2847" t="str">
        <f>IF(B29="租赁期内按合同租金","合同租金","市场租金")</f>
        <v>市场租金</v>
      </c>
      <c r="B30" s="2587">
        <v>9</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6.000000000000001E-3</v>
      </c>
      <c r="F31" s="1237"/>
      <c r="G31" s="2886"/>
      <c r="H31" s="2886"/>
      <c r="K31" s="1612"/>
      <c r="N31" s="1612"/>
    </row>
    <row r="32" spans="1:41" ht="14.25">
      <c r="A32" s="2847" t="s">
        <v>1426</v>
      </c>
      <c r="B32" s="2572">
        <v>2.5000000000000001E-2</v>
      </c>
      <c r="D32" s="2854" t="s">
        <v>1429</v>
      </c>
      <c r="E32" s="2589">
        <v>7.0000000000000007E-2</v>
      </c>
      <c r="F32" s="2590" t="s">
        <v>2490</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18</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3</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t="s">
        <v>479</v>
      </c>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0.01</v>
      </c>
      <c r="C45" s="2480" t="s">
        <v>2601</v>
      </c>
      <c r="D45" s="2600" t="s">
        <v>1456</v>
      </c>
      <c r="E45" s="2587"/>
      <c r="F45" s="1238">
        <v>12</v>
      </c>
      <c r="G45" s="2592"/>
      <c r="H45" s="2592"/>
      <c r="M45" s="1612"/>
      <c r="N45" s="1612"/>
    </row>
    <row r="46" spans="1:14" ht="14.25">
      <c r="A46" s="2847" t="s">
        <v>1455</v>
      </c>
      <c r="B46" s="2602">
        <v>1E-3</v>
      </c>
      <c r="C46" s="2480" t="s">
        <v>2599</v>
      </c>
      <c r="D46" s="2600" t="s">
        <v>1218</v>
      </c>
      <c r="E46" s="2587">
        <v>3</v>
      </c>
      <c r="F46" s="1238">
        <v>3</v>
      </c>
      <c r="G46" s="2592"/>
      <c r="H46" s="2592"/>
      <c r="M46" s="1612"/>
      <c r="N46" s="1612"/>
    </row>
    <row r="47" spans="1:14" ht="15" thickBot="1">
      <c r="A47" s="2850" t="s">
        <v>1457</v>
      </c>
      <c r="B47" s="2603">
        <v>0.01</v>
      </c>
      <c r="C47" s="2480" t="s">
        <v>2600</v>
      </c>
      <c r="D47" s="2600" t="s">
        <v>1458</v>
      </c>
      <c r="E47" s="2587"/>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4"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14" t="s">
        <v>1463</v>
      </c>
      <c r="B1" s="3415"/>
      <c r="C1" s="3415"/>
      <c r="D1" s="3415"/>
      <c r="E1" s="3415"/>
      <c r="F1" s="3415"/>
      <c r="G1" s="3415"/>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5"/>
      <c r="B2" s="3016"/>
      <c r="C2" s="3017" t="s">
        <v>2606</v>
      </c>
      <c r="D2" s="3018"/>
      <c r="E2" s="3015"/>
      <c r="F2" s="3019"/>
      <c r="G2" s="3017" t="s">
        <v>2607</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1" customFormat="1" ht="36">
      <c r="A3" s="3021" t="s">
        <v>2608</v>
      </c>
      <c r="B3" s="3022" t="s">
        <v>2609</v>
      </c>
      <c r="C3" s="3023" t="s">
        <v>2610</v>
      </c>
      <c r="D3" s="3024"/>
      <c r="E3" s="3025" t="s">
        <v>2608</v>
      </c>
      <c r="F3" s="3026" t="s">
        <v>2611</v>
      </c>
      <c r="G3" s="3027" t="s">
        <v>2612</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1" customFormat="1" ht="24.75">
      <c r="A4" s="3025"/>
      <c r="B4" s="3009" t="s">
        <v>2613</v>
      </c>
      <c r="C4" s="3028" t="s">
        <v>2614</v>
      </c>
      <c r="D4" s="3024"/>
      <c r="E4" s="3029"/>
      <c r="F4" s="3011" t="s">
        <v>2615</v>
      </c>
      <c r="G4" s="3030" t="s">
        <v>2616</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1" customFormat="1" ht="24.75">
      <c r="A5" s="3025"/>
      <c r="B5" s="3009" t="s">
        <v>2617</v>
      </c>
      <c r="C5" s="3028" t="s">
        <v>2618</v>
      </c>
      <c r="D5" s="3024"/>
      <c r="E5" s="3029"/>
      <c r="F5" s="3009" t="s">
        <v>2619</v>
      </c>
      <c r="G5" s="3030" t="s">
        <v>2620</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1" customFormat="1" ht="36">
      <c r="A6" s="3025"/>
      <c r="B6" s="3009" t="s">
        <v>2621</v>
      </c>
      <c r="C6" s="3030" t="s">
        <v>2616</v>
      </c>
      <c r="D6" s="3024"/>
      <c r="E6" s="3029"/>
      <c r="F6" s="3009" t="s">
        <v>2622</v>
      </c>
      <c r="G6" s="3030" t="s">
        <v>2623</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1" customFormat="1" ht="24.75" thickBot="1">
      <c r="A7" s="3025"/>
      <c r="B7" s="3009" t="s">
        <v>2619</v>
      </c>
      <c r="C7" s="3030" t="s">
        <v>2620</v>
      </c>
      <c r="D7" s="2899"/>
      <c r="E7" s="3031"/>
      <c r="F7" s="3032" t="s">
        <v>2624</v>
      </c>
      <c r="G7" s="3033" t="s">
        <v>2625</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1" customFormat="1" ht="12.75">
      <c r="A8" s="3025"/>
      <c r="B8" s="3009" t="s">
        <v>2622</v>
      </c>
      <c r="C8" s="3030" t="s">
        <v>2623</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1" customFormat="1" ht="24">
      <c r="A9" s="3025"/>
      <c r="B9" s="3009" t="s">
        <v>2626</v>
      </c>
      <c r="C9" s="3028" t="s">
        <v>2627</v>
      </c>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4"/>
      <c r="B10" s="3013" t="s">
        <v>2628</v>
      </c>
      <c r="C10" s="3035"/>
      <c r="D10" s="3024"/>
      <c r="E10" s="3024"/>
      <c r="F10" s="2894"/>
      <c r="G10" s="2894"/>
      <c r="H10" s="1425"/>
      <c r="I10" s="3036"/>
      <c r="J10" s="3037"/>
      <c r="K10" s="1425"/>
      <c r="L10" s="3036"/>
      <c r="M10" s="3037"/>
      <c r="N10" s="1425"/>
      <c r="O10" s="3036"/>
      <c r="P10" s="3037"/>
      <c r="Q10" s="1425"/>
      <c r="R10" s="3036"/>
      <c r="S10" s="3020"/>
      <c r="T10" s="3020"/>
      <c r="U10" s="3020"/>
      <c r="V10" s="3020"/>
      <c r="W10" s="3020"/>
      <c r="X10" s="3020"/>
      <c r="Y10" s="3020"/>
      <c r="Z10" s="3020"/>
      <c r="AA10" s="3020"/>
      <c r="AB10" s="3020"/>
      <c r="AC10" s="3020"/>
    </row>
    <row r="11" spans="1:29" s="2592" customFormat="1" ht="12.75">
      <c r="A11" s="3038"/>
      <c r="B11" s="2899"/>
      <c r="C11" s="3024"/>
      <c r="D11" s="3024"/>
      <c r="E11" s="3024"/>
      <c r="F11" s="2899"/>
      <c r="G11" s="3039"/>
      <c r="H11" s="1425"/>
      <c r="I11" s="3036"/>
      <c r="J11" s="3037"/>
      <c r="K11" s="1425"/>
      <c r="L11" s="3036"/>
      <c r="M11" s="3037"/>
      <c r="N11" s="1425"/>
      <c r="O11" s="3036"/>
      <c r="P11" s="3037"/>
      <c r="Q11" s="1425"/>
      <c r="R11" s="3036"/>
      <c r="S11" s="3020"/>
      <c r="T11" s="3020"/>
      <c r="U11" s="3020"/>
      <c r="V11" s="3020"/>
      <c r="W11" s="3020"/>
      <c r="X11" s="3020"/>
      <c r="Y11" s="3020"/>
      <c r="Z11" s="3020"/>
      <c r="AA11" s="3020"/>
      <c r="AB11" s="3020"/>
      <c r="AC11" s="3020"/>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40"/>
      <c r="B14" s="3040"/>
      <c r="C14" s="3041" t="s">
        <v>2629</v>
      </c>
      <c r="D14" s="3024"/>
      <c r="E14" s="3042"/>
      <c r="F14" s="3042"/>
      <c r="G14" s="3017" t="s">
        <v>2630</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1" customFormat="1" ht="38.25">
      <c r="A15" s="3046" t="s">
        <v>2631</v>
      </c>
      <c r="B15" s="3047" t="s">
        <v>2609</v>
      </c>
      <c r="C15" s="3048" t="str">
        <f>C3</f>
        <v>估价对象周边居住用地比例、居住小区规模和社区发展完善程度，综合评价居住社区成熟度一般</v>
      </c>
      <c r="D15" s="3024"/>
      <c r="E15" s="3049" t="s">
        <v>2632</v>
      </c>
      <c r="F15" s="3047" t="s">
        <v>2633</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1" customFormat="1" ht="25.5">
      <c r="A16" s="3051"/>
      <c r="B16" s="2491" t="s">
        <v>2613</v>
      </c>
      <c r="C16" s="3052" t="str">
        <f>C4</f>
        <v>估价对象位于XX商圈，周边商业氛围成熟，人流量大，商业繁华度好</v>
      </c>
      <c r="D16" s="3024"/>
      <c r="E16" s="3053"/>
      <c r="F16" s="3010" t="s">
        <v>2615</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1" customFormat="1" ht="25.5">
      <c r="A17" s="3051"/>
      <c r="B17" s="2491" t="s">
        <v>2617</v>
      </c>
      <c r="C17" s="3052" t="str">
        <f>C5</f>
        <v>估价对象位于XX商圈，周边办公楼项目较多，入驻率高，办公集聚程度较好</v>
      </c>
      <c r="D17" s="2899"/>
      <c r="E17" s="3053"/>
      <c r="F17" s="3323" t="s">
        <v>3028</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1" customFormat="1" ht="38.25">
      <c r="A18" s="3051"/>
      <c r="B18" s="3010" t="s">
        <v>2621</v>
      </c>
      <c r="C18" s="3054" t="str">
        <f>C6</f>
        <v>估价对象周边道路状况、公共交通通达情况、停车便捷程度，综合评价交通便捷度较好</v>
      </c>
      <c r="D18" s="2899"/>
      <c r="E18" s="3053"/>
      <c r="F18" s="3010" t="s">
        <v>2624</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1" customFormat="1" ht="12.75">
      <c r="A19" s="3051"/>
      <c r="B19" s="3323" t="s">
        <v>3027</v>
      </c>
      <c r="C19" s="3055"/>
      <c r="D19" s="3024"/>
      <c r="E19" s="3053"/>
      <c r="F19" s="3009" t="s">
        <v>2619</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1" customFormat="1" ht="25.5">
      <c r="A20" s="3051"/>
      <c r="B20" s="3010" t="s">
        <v>2634</v>
      </c>
      <c r="C20" s="3052" t="str">
        <f>C9</f>
        <v>区域自然环境：；人文环境；综合评价环境状况一般</v>
      </c>
      <c r="D20" s="2899"/>
      <c r="E20" s="3053"/>
      <c r="F20" s="3009" t="s">
        <v>2622</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1" customFormat="1" ht="25.5">
      <c r="A21" s="3051"/>
      <c r="B21" s="3009" t="s">
        <v>2619</v>
      </c>
      <c r="C21" s="3054" t="str">
        <f>C7</f>
        <v>估价对象所在区域公共配套设施齐备情况</v>
      </c>
      <c r="D21" s="3024"/>
      <c r="E21" s="3053"/>
      <c r="F21" s="3010" t="s">
        <v>2635</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1" customFormat="1" ht="12.75">
      <c r="A22" s="3051"/>
      <c r="B22" s="3009" t="s">
        <v>2622</v>
      </c>
      <c r="C22" s="3054" t="str">
        <f>C8</f>
        <v>估价对象所在区域基础设施水平</v>
      </c>
      <c r="D22" s="3024"/>
      <c r="E22" s="3053"/>
      <c r="F22" s="3010" t="s">
        <v>2628</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2635</v>
      </c>
      <c r="C23" s="3056"/>
      <c r="D23" s="3043"/>
      <c r="E23" s="3058"/>
      <c r="F23" s="3012" t="s">
        <v>2636</v>
      </c>
      <c r="G23" s="3059"/>
      <c r="H23" s="3043"/>
      <c r="I23" s="3044"/>
      <c r="J23" s="3043"/>
      <c r="K23" s="3043"/>
      <c r="L23" s="3044"/>
      <c r="M23" s="3043"/>
      <c r="N23" s="3043"/>
      <c r="O23" s="3044"/>
      <c r="P23" s="3043"/>
      <c r="Q23" s="3043"/>
      <c r="R23" s="3045"/>
    </row>
    <row r="24" spans="1:29" s="3020" customFormat="1" ht="13.5" thickBot="1">
      <c r="A24" s="3060"/>
      <c r="B24" s="3012" t="s">
        <v>2637</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F40" sqref="F40"/>
    </sheetView>
  </sheetViews>
  <sheetFormatPr defaultColWidth="14.625" defaultRowHeight="13.5"/>
  <cols>
    <col min="1" max="1" width="24.375" style="2500" customWidth="1"/>
    <col min="2" max="16384" width="14.625" style="2500"/>
  </cols>
  <sheetData>
    <row r="1" spans="1:9" ht="16.5">
      <c r="A1" s="2498" t="s">
        <v>973</v>
      </c>
      <c r="B1" s="2498">
        <f>SUM(B14:B23)</f>
        <v>122.45</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44795</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568</v>
      </c>
      <c r="C5" s="2498">
        <f ca="1">ROUND(B5*10000/$B$1,0)</f>
        <v>46386</v>
      </c>
      <c r="D5" s="2498" t="e">
        <f ca="1">ROUND(B5*10000/$B$2,0)</f>
        <v>#DIV/0!</v>
      </c>
      <c r="E5" s="1561"/>
      <c r="F5" s="2499"/>
      <c r="G5" s="2499"/>
    </row>
    <row r="6" spans="1:9" ht="16.5">
      <c r="A6" s="2498" t="s">
        <v>981</v>
      </c>
      <c r="B6" s="2498">
        <f ca="1">SUM(G14:G23)</f>
        <v>568</v>
      </c>
      <c r="C6" s="2498">
        <f t="shared" ref="C6:C8" ca="1" si="0">ROUND(B6*10000/$B$1,0)</f>
        <v>46386</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3053</v>
      </c>
      <c r="B14" s="2834">
        <f>典型户型修正!B27</f>
        <v>122.45</v>
      </c>
      <c r="C14" s="2834">
        <f>项目基本情况!C13</f>
        <v>0</v>
      </c>
      <c r="D14" s="2834">
        <f ca="1">典型户型修正!T27</f>
        <v>568</v>
      </c>
      <c r="E14" s="2834">
        <f ca="1">ROUND(D14*10000/B14,0)</f>
        <v>46386</v>
      </c>
      <c r="F14" s="2834" t="e">
        <f ca="1">ROUND(D14*10000/C14,0)</f>
        <v>#DIV/0!</v>
      </c>
      <c r="G14" s="2834">
        <f ca="1">D14</f>
        <v>568</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13" zoomScale="80" zoomScaleNormal="100" zoomScaleSheetLayoutView="80" zoomScalePageLayoutView="80" workbookViewId="0">
      <selection activeCell="G42" sqref="G42"/>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8" customWidth="1"/>
    <col min="13" max="13" width="12.625" style="658"/>
    <col min="14" max="14" width="14.125" style="658" bestFit="1" customWidth="1"/>
    <col min="15" max="27" width="12.625" style="658"/>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87" t="str">
        <f>项目基本情况!B1</f>
        <v>北京市预评估</v>
      </c>
      <c r="B2" s="3487"/>
      <c r="C2" s="3487"/>
      <c r="D2" s="3487"/>
      <c r="E2" s="3487"/>
      <c r="F2" s="3487"/>
      <c r="G2" s="3487"/>
      <c r="H2" s="3487"/>
      <c r="I2" s="3487"/>
      <c r="J2" s="2761"/>
    </row>
    <row r="3" spans="1:15" ht="12.75">
      <c r="A3" s="3492" t="s">
        <v>1471</v>
      </c>
      <c r="B3" s="3493"/>
      <c r="C3" s="3493"/>
      <c r="D3" s="3493"/>
      <c r="E3" s="3493"/>
      <c r="F3" s="3493"/>
      <c r="G3" s="3493"/>
      <c r="H3" s="3493"/>
      <c r="I3" s="3493"/>
      <c r="J3" s="2762"/>
    </row>
    <row r="4" spans="1:15" ht="14.25">
      <c r="A4" s="2630" t="s">
        <v>1472</v>
      </c>
      <c r="B4" s="2630" t="s">
        <v>1473</v>
      </c>
      <c r="C4" s="2631"/>
      <c r="D4" s="2631"/>
      <c r="E4" s="3489" t="s">
        <v>1474</v>
      </c>
      <c r="F4" s="3477"/>
      <c r="G4" s="3477"/>
      <c r="H4" s="3477"/>
      <c r="I4" s="3478"/>
      <c r="J4" s="2763"/>
      <c r="L4" s="1388" t="str">
        <f>IF(ISNUMBER(FIND("比较法",结果表!C4)),"比较法",IF(ISNUMBER(FIND("成本法",结果表!C4)),"成本法",IF(ISNUMBER(FIND("假设开发法",结果表!C4)),"假设开发法",IF(ISNUMBER(FIND("收益法",结果表!C4)),"收益法","基准地价系数修正法"))))</f>
        <v>基准地价系数修正法</v>
      </c>
      <c r="M4" s="1388" t="str">
        <f>IF(ISNUMBER(FIND("比较法",结果表!D4)),"比较法",IF(ISNUMBER(FIND("成本法",结果表!D4)),"成本法",IF(ISNUMBER(FIND("假设开发法",结果表!D4)),"假设开发法",IF(ISNUMBER(FIND("收益法",结果表!D4)),"收益法","基准地价系数修正法"))))</f>
        <v>基准地价系数修正法</v>
      </c>
      <c r="N4" s="1388"/>
      <c r="O4" s="1388"/>
    </row>
    <row r="5" spans="1:15" ht="12.75">
      <c r="A5" s="3488" t="s">
        <v>1475</v>
      </c>
      <c r="B5" s="3488">
        <v>25</v>
      </c>
      <c r="C5" s="3494"/>
      <c r="D5" s="3491"/>
      <c r="E5" s="12" t="s">
        <v>1476</v>
      </c>
      <c r="F5" s="2016"/>
      <c r="G5" s="2016"/>
      <c r="H5" s="2016"/>
      <c r="I5" s="2011"/>
      <c r="J5" s="2763"/>
    </row>
    <row r="6" spans="1:15" ht="12.75">
      <c r="A6" s="3488"/>
      <c r="B6" s="3488"/>
      <c r="C6" s="3495"/>
      <c r="D6" s="3491"/>
      <c r="E6" s="12" t="s">
        <v>1477</v>
      </c>
      <c r="F6" s="2016"/>
      <c r="G6" s="2016"/>
      <c r="H6" s="2016"/>
      <c r="I6" s="2011"/>
      <c r="J6" s="2763"/>
    </row>
    <row r="7" spans="1:15" ht="12.75">
      <c r="A7" s="3488"/>
      <c r="B7" s="3488"/>
      <c r="C7" s="3496"/>
      <c r="D7" s="3491"/>
      <c r="E7" s="12" t="s">
        <v>1478</v>
      </c>
      <c r="F7" s="2016"/>
      <c r="G7" s="2016"/>
      <c r="H7" s="2016"/>
      <c r="I7" s="2011"/>
      <c r="J7" s="2763"/>
    </row>
    <row r="8" spans="1:15" ht="12.75">
      <c r="A8" s="3488" t="s">
        <v>1479</v>
      </c>
      <c r="B8" s="3488">
        <v>15</v>
      </c>
      <c r="C8" s="3494"/>
      <c r="D8" s="3491"/>
      <c r="E8" s="12" t="s">
        <v>1480</v>
      </c>
      <c r="F8" s="2016"/>
      <c r="G8" s="2016"/>
      <c r="H8" s="2016"/>
      <c r="I8" s="2011"/>
      <c r="J8" s="2763"/>
    </row>
    <row r="9" spans="1:15" ht="12.75">
      <c r="A9" s="3488"/>
      <c r="B9" s="3488"/>
      <c r="C9" s="3496"/>
      <c r="D9" s="3491"/>
      <c r="E9" s="12" t="s">
        <v>1481</v>
      </c>
      <c r="F9" s="2016"/>
      <c r="G9" s="2016"/>
      <c r="H9" s="2016"/>
      <c r="I9" s="2011"/>
      <c r="J9" s="2763"/>
    </row>
    <row r="10" spans="1:15" ht="12.75">
      <c r="A10" s="3488" t="s">
        <v>1482</v>
      </c>
      <c r="B10" s="3488">
        <v>15</v>
      </c>
      <c r="C10" s="3494"/>
      <c r="D10" s="3491"/>
      <c r="E10" s="12" t="s">
        <v>1483</v>
      </c>
      <c r="F10" s="2016"/>
      <c r="G10" s="2016"/>
      <c r="H10" s="2016"/>
      <c r="I10" s="2011"/>
      <c r="J10" s="2763"/>
    </row>
    <row r="11" spans="1:15" ht="12.75">
      <c r="A11" s="3488"/>
      <c r="B11" s="3488"/>
      <c r="C11" s="3496"/>
      <c r="D11" s="3491"/>
      <c r="E11" s="12" t="s">
        <v>1484</v>
      </c>
      <c r="F11" s="2016"/>
      <c r="G11" s="2016"/>
      <c r="H11" s="2016"/>
      <c r="I11" s="2011"/>
      <c r="J11" s="2763"/>
    </row>
    <row r="12" spans="1:15" ht="12.75">
      <c r="A12" s="3488" t="s">
        <v>1485</v>
      </c>
      <c r="B12" s="3488">
        <v>15</v>
      </c>
      <c r="C12" s="3494"/>
      <c r="D12" s="3491"/>
      <c r="E12" s="12" t="s">
        <v>1486</v>
      </c>
      <c r="F12" s="2016"/>
      <c r="G12" s="2016"/>
      <c r="H12" s="2016"/>
      <c r="I12" s="2011"/>
      <c r="J12" s="2763"/>
    </row>
    <row r="13" spans="1:15" ht="12.75">
      <c r="A13" s="3488"/>
      <c r="B13" s="3488"/>
      <c r="C13" s="3496"/>
      <c r="D13" s="3491"/>
      <c r="E13" s="12" t="s">
        <v>1487</v>
      </c>
      <c r="F13" s="2016"/>
      <c r="G13" s="2016"/>
      <c r="H13" s="2016"/>
      <c r="I13" s="2011"/>
      <c r="J13" s="2763"/>
    </row>
    <row r="14" spans="1:15" ht="12.75">
      <c r="A14" s="3488" t="s">
        <v>1488</v>
      </c>
      <c r="B14" s="3488">
        <v>30</v>
      </c>
      <c r="C14" s="3494"/>
      <c r="D14" s="3491"/>
      <c r="E14" s="12" t="s">
        <v>1489</v>
      </c>
      <c r="F14" s="2016"/>
      <c r="G14" s="2016"/>
      <c r="H14" s="2016"/>
      <c r="I14" s="2011"/>
      <c r="J14" s="2763"/>
    </row>
    <row r="15" spans="1:15" ht="12.75">
      <c r="A15" s="3488"/>
      <c r="B15" s="3488"/>
      <c r="C15" s="3495"/>
      <c r="D15" s="3491"/>
      <c r="E15" s="12" t="s">
        <v>1490</v>
      </c>
      <c r="F15" s="2016"/>
      <c r="G15" s="2016"/>
      <c r="H15" s="2016"/>
      <c r="I15" s="2011"/>
      <c r="J15" s="2763"/>
    </row>
    <row r="16" spans="1:15" ht="12.75">
      <c r="A16" s="3488"/>
      <c r="B16" s="3488"/>
      <c r="C16" s="3496"/>
      <c r="D16" s="3491"/>
      <c r="E16" s="12" t="s">
        <v>1491</v>
      </c>
      <c r="F16" s="2016"/>
      <c r="G16" s="2016"/>
      <c r="H16" s="2016"/>
      <c r="I16" s="2011"/>
      <c r="J16" s="2763"/>
    </row>
    <row r="17" spans="1:36" ht="15">
      <c r="A17" s="2632" t="s">
        <v>1492</v>
      </c>
      <c r="B17" s="2021"/>
      <c r="C17" s="2633">
        <f>SUM(C5:C16)</f>
        <v>0</v>
      </c>
      <c r="D17" s="2633">
        <f>SUM(D5:D16)</f>
        <v>0</v>
      </c>
      <c r="E17" s="2480"/>
      <c r="F17" s="2480"/>
      <c r="G17" s="2480"/>
      <c r="H17" s="2480"/>
      <c r="I17" s="2480"/>
      <c r="J17" s="2764"/>
    </row>
    <row r="18" spans="1:36" ht="30" customHeight="1" thickBot="1">
      <c r="A18" s="2634" t="s">
        <v>1493</v>
      </c>
      <c r="B18" s="2635"/>
      <c r="C18" s="2636" t="e">
        <f>ROUND(C17/SUM(C17:D17),2)</f>
        <v>#DIV/0!</v>
      </c>
      <c r="D18" s="2636" t="e">
        <f>1-C18</f>
        <v>#DIV/0!</v>
      </c>
      <c r="E18" s="3508" t="s">
        <v>2575</v>
      </c>
      <c r="F18" s="3509"/>
      <c r="G18" s="3509"/>
      <c r="H18" s="3509"/>
      <c r="I18" s="3509"/>
      <c r="J18" s="2764"/>
    </row>
    <row r="19" spans="1:36" ht="15">
      <c r="A19" s="2637" t="s">
        <v>1494</v>
      </c>
      <c r="B19" s="2638" t="s">
        <v>1495</v>
      </c>
      <c r="C19" s="2639" t="e">
        <f ca="1">SUMIF(INDIRECT("'"&amp;C4&amp;"'"&amp;"!A:A"),结果表!B19,INDIRECT("'"&amp;C4&amp;"'"&amp;"!B:B"))</f>
        <v>#REF!</v>
      </c>
      <c r="D19" s="2640" t="e">
        <f ca="1">SUMIF(INDIRECT("'"&amp;D4&amp;"'"&amp;"!A:A"),结果表!B19,INDIRECT("'"&amp;D4&amp;"'"&amp;"!B:B"))</f>
        <v>#REF!</v>
      </c>
      <c r="E19" s="2637" t="s">
        <v>1496</v>
      </c>
      <c r="F19" s="2638" t="s">
        <v>1495</v>
      </c>
      <c r="G19" s="2641" t="e">
        <f ca="1">ROUND(C19*$C$18+D19*$D$18,0)</f>
        <v>#REF!</v>
      </c>
      <c r="H19" s="2642" t="str">
        <f>'数据-取费表'!B3</f>
        <v>万元</v>
      </c>
      <c r="I19" s="2690"/>
      <c r="J19" s="2765"/>
    </row>
    <row r="20" spans="1:36" ht="15">
      <c r="A20" s="2643"/>
      <c r="B20" s="1621" t="s">
        <v>1497</v>
      </c>
      <c r="C20" s="1846" t="e">
        <f ca="1">SUMIF(INDIRECT("'"&amp;C4&amp;"'"&amp;"!A:A"),结果表!B20,INDIRECT("'"&amp;C4&amp;"'"&amp;"!B:B"))</f>
        <v>#REF!</v>
      </c>
      <c r="D20" s="1849" t="e">
        <f ca="1">SUMIF(INDIRECT("'"&amp;D4&amp;"'"&amp;"!A:A"),结果表!B20,INDIRECT("'"&amp;D4&amp;"'"&amp;"!B:B"))</f>
        <v>#REF!</v>
      </c>
      <c r="E20" s="2643"/>
      <c r="F20" s="1621" t="s">
        <v>1497</v>
      </c>
      <c r="G20" s="2020" t="e">
        <f ca="1">ROUND(C20*$C$18+D20*$D$18,0)</f>
        <v>#REF!</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t="e">
        <f ca="1">IF(C19&lt;D19,D19/C19-1,C19/D19-1)</f>
        <v>#REF!</v>
      </c>
      <c r="E22" s="904"/>
      <c r="F22" s="904"/>
      <c r="G22" s="904"/>
      <c r="H22" s="904"/>
      <c r="I22" s="904"/>
      <c r="J22" s="2764"/>
    </row>
    <row r="23" spans="1:36" ht="13.5" thickBot="1">
      <c r="A23" s="2480"/>
      <c r="B23" s="2480"/>
      <c r="C23" s="2480"/>
      <c r="D23" s="2480"/>
      <c r="E23" s="904"/>
      <c r="F23" s="904"/>
      <c r="G23" s="904"/>
      <c r="H23" s="904"/>
      <c r="I23" s="904"/>
      <c r="J23" s="2764"/>
    </row>
    <row r="24" spans="1:36" ht="21.75" customHeight="1">
      <c r="A24" s="3497" t="s">
        <v>1500</v>
      </c>
      <c r="B24" s="2638" t="s">
        <v>1495</v>
      </c>
      <c r="C24" s="2641">
        <f>D30</f>
        <v>0</v>
      </c>
      <c r="D24" s="2593"/>
      <c r="E24" s="904"/>
      <c r="F24" s="904"/>
      <c r="G24" s="904"/>
      <c r="H24" s="904"/>
      <c r="I24" s="904"/>
      <c r="J24" s="2764"/>
    </row>
    <row r="25" spans="1:36" ht="21.75" customHeight="1">
      <c r="A25" s="3498"/>
      <c r="B25" s="1621" t="s">
        <v>1497</v>
      </c>
      <c r="C25" s="2653">
        <f>IF(B30=0,0,C30)</f>
        <v>0</v>
      </c>
      <c r="D25" s="2654"/>
      <c r="E25" s="904"/>
      <c r="F25" s="904"/>
      <c r="G25" s="904"/>
      <c r="H25" s="904"/>
      <c r="I25" s="904"/>
      <c r="J25" s="2764"/>
    </row>
    <row r="26" spans="1:36" ht="13.5" customHeight="1">
      <c r="A26" s="2655" t="s">
        <v>1501</v>
      </c>
      <c r="B26" s="2656" t="s">
        <v>1502</v>
      </c>
      <c r="C26" s="2656" t="s">
        <v>1503</v>
      </c>
      <c r="D26" s="2657" t="s">
        <v>1504</v>
      </c>
      <c r="E26" s="904"/>
      <c r="F26" s="904"/>
      <c r="G26" s="904"/>
      <c r="H26" s="904"/>
      <c r="I26" s="904"/>
      <c r="J26" s="2764"/>
    </row>
    <row r="27" spans="1:36" ht="14.25">
      <c r="A27" s="2658"/>
      <c r="B27" s="2656">
        <v>0</v>
      </c>
      <c r="C27" s="2656">
        <v>0</v>
      </c>
      <c r="D27" s="2657">
        <f>ROUND(C27*B27/10000,0)</f>
        <v>0</v>
      </c>
      <c r="E27" s="904"/>
      <c r="F27" s="904"/>
      <c r="G27" s="904"/>
      <c r="H27" s="904"/>
      <c r="I27" s="904"/>
      <c r="J27" s="2764"/>
    </row>
    <row r="28" spans="1:36" ht="14.25">
      <c r="A28" s="2655"/>
      <c r="B28" s="2656"/>
      <c r="C28" s="2656"/>
      <c r="D28" s="2657">
        <f t="shared" ref="D28:D29" si="0">ROUND(C28*B28/10000,0)</f>
        <v>0</v>
      </c>
      <c r="E28" s="904"/>
      <c r="F28" s="904"/>
      <c r="G28" s="904"/>
      <c r="H28" s="904"/>
      <c r="I28" s="904"/>
      <c r="J28" s="2764"/>
    </row>
    <row r="29" spans="1:36" ht="14.25">
      <c r="A29" s="2655"/>
      <c r="B29" s="2656"/>
      <c r="C29" s="2656"/>
      <c r="D29" s="2657">
        <f t="shared" si="0"/>
        <v>0</v>
      </c>
      <c r="E29" s="904"/>
      <c r="F29" s="904"/>
      <c r="G29" s="904"/>
      <c r="H29" s="904"/>
      <c r="I29" s="904"/>
      <c r="J29" s="2764"/>
    </row>
    <row r="30" spans="1:36" ht="15" thickBot="1">
      <c r="A30" s="2692" t="s">
        <v>1505</v>
      </c>
      <c r="B30" s="2692"/>
      <c r="C30" s="2692"/>
      <c r="D30" s="2692"/>
      <c r="E30" s="2659" t="s">
        <v>2579</v>
      </c>
      <c r="F30" s="2480"/>
      <c r="G30" s="2480"/>
      <c r="H30" s="2480"/>
      <c r="I30" s="2480"/>
      <c r="J30" s="2764"/>
    </row>
    <row r="31" spans="1:36" s="2757" customFormat="1" ht="26.45" customHeight="1" thickTop="1" thickBot="1">
      <c r="A31" s="2752"/>
      <c r="B31" s="2753"/>
      <c r="C31" s="2753"/>
      <c r="D31" s="2753"/>
      <c r="E31" s="2753"/>
      <c r="F31" s="2753"/>
      <c r="G31" s="2753"/>
      <c r="H31" s="2753"/>
      <c r="I31" s="2754" t="s">
        <v>2580</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t="e">
        <f ca="1">IF(B32="总价",G19-C24,G20-C25)</f>
        <v>#REF!</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4"/>
      <c r="H33" s="904"/>
      <c r="I33" s="904"/>
      <c r="J33" s="2764"/>
    </row>
    <row r="34" spans="1:17" ht="15">
      <c r="A34" s="1393"/>
      <c r="B34" s="2665" t="s">
        <v>1509</v>
      </c>
      <c r="C34" s="2666" t="e">
        <f ca="1">IF(D33="自定义",F34,C32-C35)</f>
        <v>#REF!</v>
      </c>
      <c r="D34" s="2667">
        <f ca="1">IF(D33="自定义",ROUND(C34/C32,3),1-D35)</f>
        <v>0.89700000000000002</v>
      </c>
      <c r="E34" s="1362" t="s">
        <v>1510</v>
      </c>
      <c r="F34" s="2668">
        <v>2000</v>
      </c>
      <c r="G34" s="904"/>
      <c r="H34" s="904"/>
      <c r="I34" s="904"/>
      <c r="J34" s="2764"/>
    </row>
    <row r="35" spans="1:17" ht="15.75" thickBot="1">
      <c r="A35" s="1394"/>
      <c r="B35" s="2669" t="s">
        <v>1511</v>
      </c>
      <c r="C35" s="2670" t="e">
        <f ca="1">IF(D33="自定义",F35,ROUND(C32*D35,0))</f>
        <v>#REF!</v>
      </c>
      <c r="D35" s="2671">
        <f ca="1">IF(D33="自定义",ROUND(C35/C32,3),IF(D33="成本法成本比率",成本法!C56,IF(D33="收益法收益比率",收益法!J38,收益法!J41)))</f>
        <v>0.10299999999999999</v>
      </c>
      <c r="E35" s="2672" t="s">
        <v>1512</v>
      </c>
      <c r="F35" s="2673">
        <v>4460</v>
      </c>
      <c r="G35" s="904"/>
      <c r="H35" s="904"/>
      <c r="I35" s="904"/>
      <c r="J35" s="2764"/>
    </row>
    <row r="36" spans="1:17" ht="15.75" thickBot="1">
      <c r="A36" s="3497" t="s">
        <v>1513</v>
      </c>
      <c r="B36" s="1395" t="s">
        <v>1514</v>
      </c>
      <c r="C36" s="2674">
        <v>0</v>
      </c>
      <c r="D36" s="2675"/>
      <c r="E36" s="1607"/>
      <c r="F36" s="1607"/>
      <c r="G36" s="904"/>
      <c r="H36" s="904"/>
      <c r="I36" s="904"/>
      <c r="J36" s="2764"/>
    </row>
    <row r="37" spans="1:17" ht="15.75" thickBot="1">
      <c r="A37" s="3502"/>
      <c r="B37" s="2021" t="s">
        <v>1515</v>
      </c>
      <c r="C37" s="2676">
        <v>0</v>
      </c>
      <c r="D37" s="1238"/>
      <c r="E37" s="1238"/>
      <c r="F37" s="1607"/>
      <c r="G37" s="1238"/>
      <c r="H37" s="1238"/>
      <c r="I37" s="1238"/>
      <c r="J37" s="2768"/>
    </row>
    <row r="38" spans="1:17" ht="15.75" thickBot="1">
      <c r="A38" s="3503"/>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2574</v>
      </c>
      <c r="J44" s="2770"/>
      <c r="K44" s="1402" t="s">
        <v>1523</v>
      </c>
      <c r="L44" s="1403"/>
      <c r="M44" s="1403"/>
      <c r="N44" s="1403"/>
      <c r="O44" s="1403"/>
      <c r="P44" s="1403"/>
      <c r="Q44" s="1235"/>
    </row>
    <row r="45" spans="1:17" ht="14.25" customHeight="1" thickBot="1">
      <c r="A45" s="3422" t="s">
        <v>1524</v>
      </c>
      <c r="B45" s="3423"/>
      <c r="C45" s="3433"/>
      <c r="D45" s="246" t="e">
        <f ca="1">ROUND(I102*F45,0)</f>
        <v>#REF!</v>
      </c>
      <c r="E45" s="1469" t="s">
        <v>1525</v>
      </c>
      <c r="F45" s="2478">
        <v>1</v>
      </c>
      <c r="G45" s="2479" t="s">
        <v>1526</v>
      </c>
      <c r="H45" s="904"/>
      <c r="I45" s="904"/>
      <c r="J45" s="2764"/>
      <c r="K45" s="3428" t="s">
        <v>2504</v>
      </c>
      <c r="L45" s="3428"/>
      <c r="M45" s="3428"/>
      <c r="N45" s="3428"/>
      <c r="O45" s="3428"/>
      <c r="P45" s="3428"/>
      <c r="Q45" s="1235"/>
    </row>
    <row r="46" spans="1:17" ht="14.25" customHeight="1">
      <c r="A46" s="3499" t="s">
        <v>1528</v>
      </c>
      <c r="B46" s="3500"/>
      <c r="C46" s="3500"/>
      <c r="D46" s="3500"/>
      <c r="E46" s="3500"/>
      <c r="F46" s="3500"/>
      <c r="G46" s="3501"/>
      <c r="H46" s="2896"/>
      <c r="I46" s="904"/>
      <c r="J46" s="2764"/>
      <c r="K46" s="2453">
        <v>1</v>
      </c>
      <c r="L46" s="3429" t="s">
        <v>2505</v>
      </c>
      <c r="M46" s="3429"/>
      <c r="N46" s="3430" t="str">
        <f>项目基本情况!B1</f>
        <v>北京市预评估</v>
      </c>
      <c r="O46" s="3430"/>
      <c r="P46" s="3430"/>
      <c r="Q46" s="1235"/>
    </row>
    <row r="47" spans="1:17" ht="12" customHeight="1">
      <c r="A47" s="38" t="s">
        <v>1530</v>
      </c>
      <c r="B47" s="39"/>
      <c r="C47" s="40"/>
      <c r="D47" s="1027" t="s">
        <v>1531</v>
      </c>
      <c r="E47" s="235" t="s">
        <v>1532</v>
      </c>
      <c r="F47" s="41" t="s">
        <v>1533</v>
      </c>
      <c r="G47" s="2481" t="s">
        <v>1534</v>
      </c>
      <c r="H47" s="2896"/>
      <c r="I47" s="904"/>
      <c r="J47" s="2764"/>
      <c r="K47" s="2453">
        <v>2</v>
      </c>
      <c r="L47" s="3429" t="s">
        <v>2506</v>
      </c>
      <c r="M47" s="3429"/>
      <c r="N47" s="3431">
        <f>'数据-取费表'!B2</f>
        <v>44795</v>
      </c>
      <c r="O47" s="3431"/>
      <c r="P47" s="3431"/>
      <c r="Q47" s="1235"/>
    </row>
    <row r="48" spans="1:17" ht="25.5">
      <c r="A48" s="3504" t="s">
        <v>1536</v>
      </c>
      <c r="B48" s="3438"/>
      <c r="C48" s="3438"/>
      <c r="D48" s="12" t="e">
        <f ca="1">IF(H48="情况1",0,IF(H48="情况2",D52,IF(H48="情况3",D53,IF(H48="情况4",D54))))</f>
        <v>#REF!</v>
      </c>
      <c r="E48" s="2019" t="str">
        <f>IF(H48="情况4","(销售额-原购置价)×税（费）率","销售额×税（费）率")</f>
        <v>销售额×税（费）率</v>
      </c>
      <c r="F48" s="2482">
        <f>IF(H48="情况1","免征",'数据-取费表'!E29)</f>
        <v>5.6000000000000001E-2</v>
      </c>
      <c r="G48" s="2483" t="s">
        <v>1537</v>
      </c>
      <c r="H48" s="2484" t="s">
        <v>1538</v>
      </c>
      <c r="I48" s="2896"/>
      <c r="J48" s="2771"/>
      <c r="K48" s="2453">
        <v>3</v>
      </c>
      <c r="L48" s="3429" t="s">
        <v>2507</v>
      </c>
      <c r="M48" s="3429"/>
      <c r="N48" s="3430" t="e">
        <f ca="1">I102</f>
        <v>#REF!</v>
      </c>
      <c r="O48" s="3430"/>
      <c r="P48" s="3430"/>
      <c r="Q48" s="1235"/>
    </row>
    <row r="49" spans="1:17" ht="25.5" customHeight="1">
      <c r="A49" s="2018" t="s">
        <v>1540</v>
      </c>
      <c r="B49" s="3477" t="s">
        <v>1541</v>
      </c>
      <c r="C49" s="3477"/>
      <c r="D49" s="2485">
        <v>0</v>
      </c>
      <c r="E49" s="261" t="s">
        <v>1542</v>
      </c>
      <c r="F49" s="2486" t="s">
        <v>48</v>
      </c>
      <c r="G49" s="3419"/>
      <c r="H49" s="2487" t="s">
        <v>2581</v>
      </c>
      <c r="I49" s="2488"/>
      <c r="J49" s="2772"/>
      <c r="K49" s="2453">
        <v>4</v>
      </c>
      <c r="L49" s="3429" t="str">
        <f>IF(项目基本情况!F5="房地产抵押价值","房地产抵押价值","抵押担保权已注销时的房地产抵押价值")</f>
        <v>抵押担保权已注销时的房地产抵押价值</v>
      </c>
      <c r="M49" s="3429"/>
      <c r="N49" s="3430" t="str">
        <f>IF(项目基本情况!F5="房地产抵押价值",I110,I112)</f>
        <v>——</v>
      </c>
      <c r="O49" s="3430"/>
      <c r="P49" s="3430"/>
      <c r="Q49" s="1235"/>
    </row>
    <row r="50" spans="1:17" ht="25.5" customHeight="1">
      <c r="A50" s="2008"/>
      <c r="B50" s="3477" t="s">
        <v>1543</v>
      </c>
      <c r="C50" s="3477"/>
      <c r="D50" s="2489"/>
      <c r="E50" s="269"/>
      <c r="F50" s="2486"/>
      <c r="G50" s="3420"/>
      <c r="H50" s="2490" t="s">
        <v>2500</v>
      </c>
      <c r="I50" s="2488"/>
      <c r="J50" s="2772"/>
      <c r="K50" s="3429" t="s">
        <v>2508</v>
      </c>
      <c r="L50" s="3429"/>
      <c r="M50" s="3429"/>
      <c r="N50" s="3429"/>
      <c r="O50" s="3429"/>
      <c r="P50" s="3429"/>
      <c r="Q50" s="1235"/>
    </row>
    <row r="51" spans="1:17" ht="20.45" customHeight="1">
      <c r="A51" s="2491"/>
      <c r="B51" s="3477" t="s">
        <v>1545</v>
      </c>
      <c r="C51" s="3477"/>
      <c r="D51" s="1027"/>
      <c r="E51" s="264"/>
      <c r="F51" s="2486"/>
      <c r="G51" s="3421"/>
      <c r="H51" s="2490" t="s">
        <v>2501</v>
      </c>
      <c r="I51" s="2488"/>
      <c r="J51" s="2772"/>
      <c r="K51" s="2454" t="s">
        <v>2509</v>
      </c>
      <c r="L51" s="3429" t="s">
        <v>2510</v>
      </c>
      <c r="M51" s="3429"/>
      <c r="N51" s="2454" t="s">
        <v>2511</v>
      </c>
      <c r="O51" s="2454" t="s">
        <v>2512</v>
      </c>
      <c r="P51" s="2454" t="s">
        <v>2513</v>
      </c>
      <c r="Q51" s="1235"/>
    </row>
    <row r="52" spans="1:17" ht="24" customHeight="1">
      <c r="A52" s="2009" t="s">
        <v>1551</v>
      </c>
      <c r="B52" s="3477" t="s">
        <v>1552</v>
      </c>
      <c r="C52" s="3477"/>
      <c r="D52" s="1027" t="e">
        <f ca="1">ROUND(D45*'数据-取费表'!E29/(1+'数据-取费表'!F30),0)</f>
        <v>#REF!</v>
      </c>
      <c r="E52" s="2019" t="s">
        <v>1553</v>
      </c>
      <c r="F52" s="2492">
        <f>'数据-取费表'!E29</f>
        <v>5.6000000000000001E-2</v>
      </c>
      <c r="G52" s="2493"/>
      <c r="H52" s="904"/>
      <c r="I52" s="2897"/>
      <c r="J52" s="2772"/>
      <c r="K52" s="2453">
        <v>1</v>
      </c>
      <c r="L52" s="3418" t="s">
        <v>2514</v>
      </c>
      <c r="M52" s="3418"/>
      <c r="N52" s="2455" t="e">
        <f ca="1">D48</f>
        <v>#REF!</v>
      </c>
      <c r="O52" s="2453" t="str">
        <f>E48</f>
        <v>销售额×税（费）率</v>
      </c>
      <c r="P52" s="2456">
        <f>F48</f>
        <v>5.6000000000000001E-2</v>
      </c>
      <c r="Q52" s="1235"/>
    </row>
    <row r="53" spans="1:17" ht="12" customHeight="1">
      <c r="A53" s="2009" t="s">
        <v>1555</v>
      </c>
      <c r="B53" s="3489" t="s">
        <v>2592</v>
      </c>
      <c r="C53" s="3478"/>
      <c r="D53" s="1027" t="e">
        <f ca="1">ROUND(D45*'数据-取费表'!E29/(1+'数据-取费表'!F30),0)</f>
        <v>#REF!</v>
      </c>
      <c r="E53" s="2019" t="s">
        <v>1553</v>
      </c>
      <c r="F53" s="2492">
        <f>'数据-取费表'!E29</f>
        <v>5.6000000000000001E-2</v>
      </c>
      <c r="G53" s="2493"/>
      <c r="H53" s="904"/>
      <c r="I53" s="2897"/>
      <c r="J53" s="2772"/>
      <c r="K53" s="2453">
        <v>2</v>
      </c>
      <c r="L53" s="3418" t="s">
        <v>2515</v>
      </c>
      <c r="M53" s="3418"/>
      <c r="N53" s="2455">
        <f t="shared" ref="N53:P54" si="1">D55</f>
        <v>0</v>
      </c>
      <c r="O53" s="2453" t="str">
        <f t="shared" si="1"/>
        <v>销售额×税（费）率</v>
      </c>
      <c r="P53" s="2456" t="str">
        <f t="shared" si="1"/>
        <v>免征</v>
      </c>
      <c r="Q53" s="1235"/>
    </row>
    <row r="54" spans="1:17" ht="12" customHeight="1">
      <c r="A54" s="2009" t="s">
        <v>1557</v>
      </c>
      <c r="B54" s="3489" t="s">
        <v>2593</v>
      </c>
      <c r="C54" s="3478"/>
      <c r="D54" s="1027" t="e">
        <f ca="1">C68</f>
        <v>#REF!</v>
      </c>
      <c r="E54" s="264" t="s">
        <v>1558</v>
      </c>
      <c r="F54" s="2492">
        <f>'数据-取费表'!E29</f>
        <v>5.6000000000000001E-2</v>
      </c>
      <c r="G54" s="2493"/>
      <c r="H54" s="2898"/>
      <c r="I54" s="2897"/>
      <c r="J54" s="2772"/>
      <c r="K54" s="2453">
        <v>3</v>
      </c>
      <c r="L54" s="3418" t="s">
        <v>2516</v>
      </c>
      <c r="M54" s="3418"/>
      <c r="N54" s="2455">
        <f t="shared" si="1"/>
        <v>0</v>
      </c>
      <c r="O54" s="2453" t="str">
        <f t="shared" si="1"/>
        <v>增值额×税（费）率</v>
      </c>
      <c r="P54" s="2457" t="str">
        <f t="shared" si="1"/>
        <v>免征</v>
      </c>
      <c r="Q54" s="1235"/>
    </row>
    <row r="55" spans="1:17" ht="24" customHeight="1">
      <c r="A55" s="3442" t="s">
        <v>1560</v>
      </c>
      <c r="B55" s="3438"/>
      <c r="C55" s="3438"/>
      <c r="D55" s="12">
        <f>IF(H55="个人住宅",0,ROUND(D45*I55,0))</f>
        <v>0</v>
      </c>
      <c r="E55" s="2019" t="s">
        <v>1561</v>
      </c>
      <c r="F55" s="2492" t="str">
        <f>IF(H55="正常",I55,"免征")</f>
        <v>免征</v>
      </c>
      <c r="G55" s="2493"/>
      <c r="H55" s="2484" t="s">
        <v>2497</v>
      </c>
      <c r="I55" s="74">
        <f>'数据-取费表'!E37</f>
        <v>5.0000000000000001E-4</v>
      </c>
      <c r="J55" s="2772"/>
      <c r="K55" s="2453" t="str">
        <f>IF(H59="非个人房产","",4)</f>
        <v/>
      </c>
      <c r="L55" s="3418" t="str">
        <f>IF(H59="非个人房产","——","个人所得税")</f>
        <v>——</v>
      </c>
      <c r="M55" s="3418"/>
      <c r="N55" s="2458" t="str">
        <f>D59</f>
        <v>——</v>
      </c>
      <c r="O55" s="2459" t="str">
        <f>E59</f>
        <v>——</v>
      </c>
      <c r="P55" s="2460" t="str">
        <f>F59</f>
        <v>——</v>
      </c>
      <c r="Q55" s="1235"/>
    </row>
    <row r="56" spans="1:17" ht="24.75">
      <c r="A56" s="3442" t="s">
        <v>1563</v>
      </c>
      <c r="B56" s="3438"/>
      <c r="C56" s="3438"/>
      <c r="D56" s="12">
        <f>IF(H56="个人住宅",D57,D58)</f>
        <v>0</v>
      </c>
      <c r="E56" s="2019" t="s">
        <v>1564</v>
      </c>
      <c r="F56" s="2492" t="str">
        <f>IF(H56="正常",F58,"免征")</f>
        <v>免征</v>
      </c>
      <c r="G56" s="2494" t="s">
        <v>1565</v>
      </c>
      <c r="H56" s="2495" t="s">
        <v>2497</v>
      </c>
      <c r="I56" s="2899"/>
      <c r="J56" s="2772"/>
      <c r="K56" s="2453" t="str">
        <f>IF(项目基本情况!I6="上海银行",IF(K55="",4,K55+1),"")</f>
        <v/>
      </c>
      <c r="L56" s="3416" t="str">
        <f>IF(项目基本情况!I6="上海银行","其他处置费用","")</f>
        <v/>
      </c>
      <c r="M56" s="3436"/>
      <c r="N56" s="2455" t="str">
        <f>IF(项目基本情况!I6="上海银行",N69,"")</f>
        <v/>
      </c>
      <c r="O56" s="3416" t="str">
        <f>IF(项目基本情况!I6="上海银行","包含处置中涉及的律师、诉讼、拍卖、评估等费用","")</f>
        <v/>
      </c>
      <c r="P56" s="3417"/>
      <c r="Q56" s="1235"/>
    </row>
    <row r="57" spans="1:17" ht="12.75">
      <c r="A57" s="2009" t="s">
        <v>1540</v>
      </c>
      <c r="B57" s="3489" t="s">
        <v>1566</v>
      </c>
      <c r="C57" s="3478"/>
      <c r="D57" s="2485">
        <v>0</v>
      </c>
      <c r="E57" s="261" t="s">
        <v>1542</v>
      </c>
      <c r="F57" s="235"/>
      <c r="G57" s="2493"/>
      <c r="H57" s="2899"/>
      <c r="I57" s="2899"/>
      <c r="J57" s="2772"/>
      <c r="K57" s="3418">
        <f>IF(AND(K55="",K56=""),4,IF(项目基本情况!I6="上海银行",K56+1,K55+1))</f>
        <v>4</v>
      </c>
      <c r="L57" s="3418" t="s">
        <v>2517</v>
      </c>
      <c r="M57" s="2461" t="s">
        <v>2518</v>
      </c>
      <c r="N57" s="2462"/>
      <c r="O57" s="2463">
        <f ca="1">SUMIF(N52:N56,"&lt;9e307")</f>
        <v>0</v>
      </c>
      <c r="P57" s="2464"/>
      <c r="Q57" s="1233" t="e">
        <f ca="1">O57/N49</f>
        <v>#VALUE!</v>
      </c>
    </row>
    <row r="58" spans="1:17" ht="24.75">
      <c r="A58" s="2009" t="s">
        <v>1551</v>
      </c>
      <c r="B58" s="3489" t="s">
        <v>1569</v>
      </c>
      <c r="C58" s="3477"/>
      <c r="D58" s="12" t="e">
        <f ca="1">IF(H58="转让取得",C81,C97)</f>
        <v>#REF!</v>
      </c>
      <c r="E58" s="2019" t="s">
        <v>1564</v>
      </c>
      <c r="F58" s="235" t="s">
        <v>48</v>
      </c>
      <c r="G58" s="2493"/>
      <c r="H58" s="2495" t="s">
        <v>1570</v>
      </c>
      <c r="I58" s="2899"/>
      <c r="J58" s="2772"/>
      <c r="K58" s="3418"/>
      <c r="L58" s="3418"/>
      <c r="M58" s="2461" t="s">
        <v>2519</v>
      </c>
      <c r="N58" s="2465"/>
      <c r="O58" s="2466" t="str">
        <f ca="1">IF(H19="元",NUMBERSTRING(INT(O57),2)&amp;"元整",NUMBERSTRING(INT(O57*10000),2)&amp;"元整")</f>
        <v>零元整</v>
      </c>
      <c r="P58" s="2467"/>
      <c r="Q58" s="1235"/>
    </row>
    <row r="59" spans="1:17" ht="24.75" thickBot="1">
      <c r="A59" s="3505" t="s">
        <v>1572</v>
      </c>
      <c r="B59" s="3506"/>
      <c r="C59" s="3506"/>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2572</v>
      </c>
      <c r="H59" s="2023" t="s">
        <v>2582</v>
      </c>
      <c r="I59" s="2801" t="s">
        <v>2583</v>
      </c>
      <c r="J59" s="2772"/>
      <c r="K59" s="3471">
        <f>K57+1</f>
        <v>5</v>
      </c>
      <c r="L59" s="3418" t="s">
        <v>2520</v>
      </c>
      <c r="M59" s="2453" t="s">
        <v>2518</v>
      </c>
      <c r="N59" s="2468"/>
      <c r="O59" s="2469" t="e">
        <f ca="1">N49-O57</f>
        <v>#VALUE!</v>
      </c>
      <c r="P59" s="2470"/>
      <c r="Q59" s="1235"/>
    </row>
    <row r="60" spans="1:17" ht="12" customHeight="1">
      <c r="A60" s="1384"/>
      <c r="B60" s="1388"/>
      <c r="C60" s="1388"/>
      <c r="D60" s="1388"/>
      <c r="E60" s="769"/>
      <c r="F60" s="2900"/>
      <c r="G60" s="2900"/>
      <c r="H60" s="2901"/>
      <c r="I60" s="31"/>
      <c r="K60" s="3472"/>
      <c r="L60" s="3418"/>
      <c r="M60" s="2461" t="s">
        <v>2519</v>
      </c>
      <c r="N60" s="2465"/>
      <c r="O60" s="2466" t="e">
        <f ca="1">IF(H19="元",NUMBERSTRING(INT(O59),2)&amp;"元整",NUMBERSTRING(INT(O59*10000),2)&amp;"元整")</f>
        <v>#VALUE!</v>
      </c>
      <c r="P60" s="2467"/>
      <c r="Q60" s="1235"/>
    </row>
    <row r="61" spans="1:17" ht="13.5" thickBot="1">
      <c r="A61" s="3507" t="s">
        <v>1574</v>
      </c>
      <c r="B61" s="3507"/>
      <c r="C61" s="3507"/>
      <c r="D61" s="3507"/>
      <c r="E61" s="3507"/>
      <c r="F61" s="2900"/>
      <c r="G61" s="2900"/>
      <c r="H61" s="2902"/>
      <c r="I61" s="31"/>
      <c r="K61" s="2453">
        <f>K59+1</f>
        <v>6</v>
      </c>
      <c r="L61" s="3418" t="s">
        <v>2521</v>
      </c>
      <c r="M61" s="3418"/>
      <c r="N61" s="2471"/>
      <c r="O61" s="2472" t="e">
        <f ca="1">IF(H19="元",ROUND(O59/项目基本情况!C12,0),ROUND(O59*10000/项目基本情况!C12,0))</f>
        <v>#VALUE!</v>
      </c>
      <c r="P61" s="2473"/>
      <c r="Q61" s="1235"/>
    </row>
    <row r="62" spans="1:17" ht="12.75">
      <c r="A62" s="3456" t="s">
        <v>1576</v>
      </c>
      <c r="B62" s="3457"/>
      <c r="C62" s="1534"/>
      <c r="D62" s="1534" t="s">
        <v>1577</v>
      </c>
      <c r="E62" s="45" t="s">
        <v>1578</v>
      </c>
      <c r="F62" s="2900"/>
      <c r="G62" s="2900"/>
      <c r="H62" s="2902"/>
      <c r="I62" s="31"/>
      <c r="K62" s="2474"/>
      <c r="L62" s="2474"/>
      <c r="M62" s="2474"/>
      <c r="N62" s="2474"/>
      <c r="O62" s="2474"/>
      <c r="P62" s="2474"/>
      <c r="Q62" s="1235"/>
    </row>
    <row r="63" spans="1:17" ht="12.75">
      <c r="A63" s="46">
        <v>1</v>
      </c>
      <c r="B63" s="47" t="s">
        <v>1579</v>
      </c>
      <c r="C63" s="2703" t="e">
        <f ca="1">ROUND((C64+C65)/(1+'数据-取费表'!F30),0)</f>
        <v>#REF!</v>
      </c>
      <c r="D63" s="47"/>
      <c r="E63" s="48"/>
      <c r="F63" s="2900"/>
      <c r="G63" s="2900"/>
      <c r="H63" s="2902"/>
      <c r="I63" s="31"/>
      <c r="K63" s="3437" t="s">
        <v>2522</v>
      </c>
      <c r="L63" s="2475" t="s">
        <v>2523</v>
      </c>
      <c r="M63" s="2475" t="e">
        <f>IF(N49&gt;10000,N49*0.5%,IF(AND(N49&gt;1000,N49&lt;=10000),N49*1%,IF(AND(N49&gt;100,N49&lt;=1000),N49*3%,IF(AND(N49&gt;10,N49&lt;=100),N49*5%,N49*8%))))</f>
        <v>#VALUE!</v>
      </c>
      <c r="N63" s="2476" t="e">
        <f>ROUND(M63,1)</f>
        <v>#VALUE!</v>
      </c>
      <c r="O63" s="2474"/>
      <c r="P63" s="2474"/>
      <c r="Q63" s="1235"/>
    </row>
    <row r="64" spans="1:17" ht="12.75">
      <c r="A64" s="49" t="s">
        <v>71</v>
      </c>
      <c r="B64" s="50" t="s">
        <v>1582</v>
      </c>
      <c r="C64" s="2704" t="e">
        <f ca="1">D45</f>
        <v>#REF!</v>
      </c>
      <c r="D64" s="50" t="s">
        <v>41</v>
      </c>
      <c r="E64" s="52"/>
      <c r="F64" s="2900"/>
      <c r="G64" s="2900"/>
      <c r="H64" s="2902"/>
      <c r="I64" s="31"/>
      <c r="K64" s="3437"/>
      <c r="L64" s="2475" t="s">
        <v>2524</v>
      </c>
      <c r="M64" s="2475" t="e">
        <f>IF(N49&gt;2000,N49*0.5%,IF(AND(N49&gt;1000,N49&lt;=2000),N49*0.6%,IF(AND(N49&gt;500,N49&lt;=1000),N49*0.7%,IF(AND(N49&gt;200,N49&lt;=500),N49*0.8%,IF(AND(N49&gt;100,N49&lt;=200),N49*0.9%,IF(AND(N49&gt;50,N49&lt;=100),N49*1%,IF(AND(N49&gt;20,N49&lt;=50),N49*1.5%,IF(AND(N49&gt;10,N49&lt;=20),N49*2%,IF(AND(N49&gt;1,N49&lt;=10),N49*2.5%)))))))))</f>
        <v>#VALUE!</v>
      </c>
      <c r="N64" s="2476" t="e">
        <f t="shared" ref="N64:N65" si="2">ROUND(M64,1)</f>
        <v>#VALUE!</v>
      </c>
      <c r="O64" s="2474" t="s">
        <v>2525</v>
      </c>
      <c r="P64" s="2474"/>
      <c r="Q64" s="1235"/>
    </row>
    <row r="65" spans="1:36" ht="12.75">
      <c r="A65" s="49" t="s">
        <v>72</v>
      </c>
      <c r="B65" s="50" t="s">
        <v>1585</v>
      </c>
      <c r="C65" s="2705"/>
      <c r="D65" s="50"/>
      <c r="E65" s="52"/>
      <c r="F65" s="2900"/>
      <c r="G65" s="2900"/>
      <c r="H65" s="2902"/>
      <c r="I65" s="31"/>
      <c r="K65" s="3437"/>
      <c r="L65" s="2475" t="s">
        <v>2526</v>
      </c>
      <c r="M65" s="2475" t="e">
        <f>IF(N49&gt;1000,N49*0.1%,IF(AND(N49&gt;500,N49&lt;=1000),N49*0.5%,IF(AND(N49&gt;50,N49&lt;=500),N49*1%,IF(AND(N49&gt;1,N49&lt;=50),N49*1.5%))))</f>
        <v>#VALUE!</v>
      </c>
      <c r="N65" s="2476" t="e">
        <f t="shared" si="2"/>
        <v>#VALUE!</v>
      </c>
      <c r="O65" s="2474" t="s">
        <v>2525</v>
      </c>
      <c r="P65" s="2474"/>
      <c r="Q65" s="1235"/>
    </row>
    <row r="66" spans="1:36" ht="12.75">
      <c r="A66" s="53" t="s">
        <v>47</v>
      </c>
      <c r="B66" s="54" t="s">
        <v>1587</v>
      </c>
      <c r="C66" s="2706"/>
      <c r="D66" s="54" t="s">
        <v>41</v>
      </c>
      <c r="E66" s="1243" t="s">
        <v>1588</v>
      </c>
      <c r="F66" s="2900"/>
      <c r="G66" s="2900"/>
      <c r="H66" s="2902"/>
      <c r="I66" s="31"/>
      <c r="K66" s="3437"/>
      <c r="L66" s="2475" t="s">
        <v>2527</v>
      </c>
      <c r="M66" s="2475" t="e">
        <f>N49*0.5%</f>
        <v>#VALUE!</v>
      </c>
      <c r="N66" s="2476" t="e">
        <f>IF(M66&gt;0.5,0.5,ROUND(M66,0))</f>
        <v>#VALUE!</v>
      </c>
      <c r="O66" s="2474" t="s">
        <v>2528</v>
      </c>
      <c r="P66" s="2474"/>
      <c r="Q66" s="1235"/>
    </row>
    <row r="67" spans="1:36" ht="12.75">
      <c r="A67" s="53" t="s">
        <v>42</v>
      </c>
      <c r="B67" s="54" t="s">
        <v>1591</v>
      </c>
      <c r="C67" s="2707" t="e">
        <f ca="1">C63-C66</f>
        <v>#REF!</v>
      </c>
      <c r="D67" s="50" t="s">
        <v>41</v>
      </c>
      <c r="E67" s="52"/>
      <c r="F67" s="2900"/>
      <c r="G67" s="2900"/>
      <c r="H67" s="2902"/>
      <c r="I67" s="31"/>
      <c r="K67" s="3437"/>
      <c r="L67" s="2475" t="s">
        <v>2529</v>
      </c>
      <c r="M67" s="2475" t="e">
        <f>IF(N49&gt;=10000,(8.25+(N49-10000)*0.01%),IF(AND(N49&gt;=8000,N49&lt;10000),(7.85+(N49-8000)*0.02%),IF(AND(N49&gt;=5000,N49&lt;8000),(6.65+(N49-5000)*0.04%),IF(AND(N49&gt;=2000,N49&lt;5000),(4.25+(PN49-2000)*0.08%),IF(AND(N49&gt;=1000,N49&lt;2000),(2.75+(N49-1000)*0.15%),IF(AND(N49&gt;=100,N49&lt;1000),(0.5+(N49-100)*0.25%),IF(AND(N49&gt;0,N49&lt;100),N49*0.5%)))))))</f>
        <v>#VALUE!</v>
      </c>
      <c r="N67" s="2476" t="e">
        <f>ROUND(M67*0.9,1)</f>
        <v>#VALUE!</v>
      </c>
      <c r="O67" s="2474"/>
      <c r="P67" s="2474"/>
      <c r="Q67" s="1235"/>
    </row>
    <row r="68" spans="1:36" ht="13.5" thickBot="1">
      <c r="A68" s="55" t="s">
        <v>46</v>
      </c>
      <c r="B68" s="56" t="s">
        <v>1593</v>
      </c>
      <c r="C68" s="2708" t="e">
        <f ca="1">IF(C67&lt;=0,0,ROUND(C67*D68,0))</f>
        <v>#REF!</v>
      </c>
      <c r="D68" s="2169">
        <f>'数据-取费表'!E29</f>
        <v>5.6000000000000001E-2</v>
      </c>
      <c r="E68" s="57"/>
      <c r="F68" s="2900"/>
      <c r="G68" s="2900"/>
      <c r="H68" s="2902"/>
      <c r="I68" s="31"/>
      <c r="K68" s="3437"/>
      <c r="L68" s="2475" t="s">
        <v>2530</v>
      </c>
      <c r="M68" s="2475" t="e">
        <f>IF(N49&gt;10000,N49*0.5%,IF(AND(N49&gt;5000,N49&lt;=10000),N49*1%,IF(AND(N49&gt;1000,N49&lt;=5000),N49*2%,IF(AND(N49&gt;200,N49&lt;=1000),N49*3%,N49*5%))))</f>
        <v>#VALUE!</v>
      </c>
      <c r="N68" s="2476" t="e">
        <f>ROUND(M68,1)</f>
        <v>#VALUE!</v>
      </c>
      <c r="O68" s="2474"/>
      <c r="P68" s="2474"/>
      <c r="Q68" s="1235"/>
    </row>
    <row r="69" spans="1:36" s="1392" customFormat="1" ht="7.5" customHeight="1">
      <c r="A69" s="1404"/>
      <c r="B69" s="1405"/>
      <c r="C69" s="1406"/>
      <c r="D69" s="1407"/>
      <c r="E69" s="1408"/>
      <c r="F69" s="769"/>
      <c r="G69" s="769"/>
      <c r="H69" s="1397"/>
      <c r="I69" s="1388"/>
      <c r="J69" s="2760"/>
      <c r="K69" s="3437"/>
      <c r="L69" s="2475" t="s">
        <v>54</v>
      </c>
      <c r="M69" s="2475"/>
      <c r="N69" s="2476" t="e">
        <f>ROUND(SUM(N63:N68),0)</f>
        <v>#VALUE!</v>
      </c>
      <c r="O69" s="2477" t="e">
        <f>N69/N49</f>
        <v>#VALUE!</v>
      </c>
      <c r="P69" s="2474"/>
      <c r="Q69" s="1235"/>
      <c r="R69" s="658"/>
      <c r="S69" s="658"/>
      <c r="T69" s="658"/>
      <c r="U69" s="658"/>
      <c r="V69" s="658"/>
      <c r="W69" s="658"/>
      <c r="X69" s="658"/>
      <c r="Y69" s="658"/>
      <c r="Z69" s="658"/>
      <c r="AA69" s="658"/>
      <c r="AB69" s="1235"/>
      <c r="AC69" s="1235"/>
      <c r="AD69" s="1235"/>
      <c r="AE69" s="1235"/>
      <c r="AF69" s="1235"/>
      <c r="AG69" s="1235"/>
      <c r="AH69" s="1235"/>
      <c r="AI69" s="1235"/>
      <c r="AJ69" s="1235"/>
    </row>
    <row r="70" spans="1:36" s="1410" customFormat="1" ht="15" thickBot="1">
      <c r="A70" s="3458" t="s">
        <v>1596</v>
      </c>
      <c r="B70" s="3459"/>
      <c r="C70" s="3459"/>
      <c r="D70" s="3459"/>
      <c r="E70" s="3459"/>
      <c r="F70" s="3459"/>
      <c r="G70" s="3459"/>
      <c r="H70" s="3459"/>
      <c r="I70" s="1409"/>
      <c r="J70" s="2773"/>
      <c r="P70" s="933"/>
      <c r="Q70" s="933"/>
      <c r="R70" s="933"/>
      <c r="S70" s="933"/>
      <c r="T70" s="933"/>
      <c r="U70" s="933"/>
      <c r="V70" s="933"/>
      <c r="W70" s="933"/>
      <c r="X70" s="933"/>
      <c r="Y70" s="933"/>
      <c r="Z70" s="933"/>
      <c r="AA70" s="933"/>
      <c r="AB70" s="1411"/>
      <c r="AC70" s="1411"/>
      <c r="AD70" s="1411"/>
      <c r="AE70" s="1411"/>
      <c r="AF70" s="1411"/>
      <c r="AG70" s="1411"/>
      <c r="AH70" s="1411"/>
      <c r="AI70" s="1411"/>
      <c r="AJ70" s="1411"/>
    </row>
    <row r="71" spans="1:36" s="1410" customFormat="1" ht="14.25">
      <c r="A71" s="3456" t="s">
        <v>1576</v>
      </c>
      <c r="B71" s="3457"/>
      <c r="C71" s="1534"/>
      <c r="D71" s="1534" t="s">
        <v>1577</v>
      </c>
      <c r="E71" s="58" t="s">
        <v>1578</v>
      </c>
      <c r="F71" s="59"/>
      <c r="G71" s="59"/>
      <c r="H71" s="60"/>
      <c r="I71" s="1412"/>
      <c r="J71" s="2774"/>
      <c r="P71" s="933"/>
      <c r="Q71" s="933"/>
      <c r="R71" s="933"/>
      <c r="S71" s="933"/>
      <c r="T71" s="933"/>
      <c r="U71" s="933"/>
      <c r="V71" s="933"/>
      <c r="W71" s="933"/>
      <c r="X71" s="933"/>
      <c r="Y71" s="933"/>
      <c r="Z71" s="933"/>
      <c r="AA71" s="933"/>
      <c r="AB71" s="1411"/>
      <c r="AC71" s="1411"/>
      <c r="AD71" s="1411"/>
      <c r="AE71" s="1411"/>
      <c r="AF71" s="1411"/>
      <c r="AG71" s="1411"/>
      <c r="AH71" s="1411"/>
      <c r="AI71" s="1411"/>
      <c r="AJ71" s="1411"/>
    </row>
    <row r="72" spans="1:36" s="1410" customFormat="1" ht="14.25">
      <c r="A72" s="61">
        <v>1</v>
      </c>
      <c r="B72" s="54" t="s">
        <v>1597</v>
      </c>
      <c r="C72" s="2707" t="e">
        <f ca="1">ROUND(D45/(1+'数据-取费表'!F30),0)</f>
        <v>#REF!</v>
      </c>
      <c r="D72" s="50" t="s">
        <v>41</v>
      </c>
      <c r="E72" s="12" t="s">
        <v>1598</v>
      </c>
      <c r="F72" s="2016"/>
      <c r="G72" s="2016"/>
      <c r="H72" s="62"/>
      <c r="I72" s="1412"/>
      <c r="J72" s="2774"/>
      <c r="P72" s="933"/>
      <c r="Q72" s="933"/>
      <c r="R72" s="933"/>
      <c r="S72" s="933"/>
      <c r="T72" s="933"/>
      <c r="U72" s="933"/>
      <c r="V72" s="933"/>
      <c r="W72" s="933"/>
      <c r="X72" s="933"/>
      <c r="Y72" s="933"/>
      <c r="Z72" s="933"/>
      <c r="AA72" s="933"/>
      <c r="AB72" s="1411"/>
      <c r="AC72" s="1411"/>
      <c r="AD72" s="1411"/>
      <c r="AE72" s="1411"/>
      <c r="AF72" s="1411"/>
      <c r="AG72" s="1411"/>
      <c r="AH72" s="1411"/>
      <c r="AI72" s="1411"/>
      <c r="AJ72" s="1411"/>
    </row>
    <row r="73" spans="1:36" s="1410" customFormat="1" ht="14.25">
      <c r="A73" s="63">
        <v>2</v>
      </c>
      <c r="B73" s="41" t="s">
        <v>1599</v>
      </c>
      <c r="C73" s="2707" t="e">
        <f ca="1">C74+C78</f>
        <v>#REF!</v>
      </c>
      <c r="D73" s="50" t="s">
        <v>41</v>
      </c>
      <c r="E73" s="2015"/>
      <c r="F73" s="2016"/>
      <c r="G73" s="2016"/>
      <c r="H73" s="62"/>
      <c r="I73" s="1412"/>
      <c r="J73" s="2774"/>
      <c r="P73" s="933"/>
      <c r="Q73" s="933"/>
      <c r="R73" s="933"/>
      <c r="S73" s="933"/>
      <c r="T73" s="933"/>
      <c r="U73" s="933"/>
      <c r="V73" s="933"/>
      <c r="W73" s="933"/>
      <c r="X73" s="933"/>
      <c r="Y73" s="933"/>
      <c r="Z73" s="933"/>
      <c r="AA73" s="933"/>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3"/>
      <c r="Q74" s="933"/>
      <c r="R74" s="933"/>
      <c r="S74" s="933"/>
      <c r="T74" s="933"/>
      <c r="U74" s="933"/>
      <c r="V74" s="933"/>
      <c r="W74" s="933"/>
      <c r="X74" s="933"/>
      <c r="Y74" s="933"/>
      <c r="Z74" s="933"/>
      <c r="AA74" s="933"/>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3"/>
      <c r="Q75" s="933"/>
      <c r="R75" s="933"/>
      <c r="S75" s="933"/>
      <c r="T75" s="933"/>
      <c r="U75" s="933"/>
      <c r="V75" s="933"/>
      <c r="W75" s="933"/>
      <c r="X75" s="933"/>
      <c r="Y75" s="933"/>
      <c r="Z75" s="933"/>
      <c r="AA75" s="933"/>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89" t="s">
        <v>1606</v>
      </c>
      <c r="F76" s="3477"/>
      <c r="G76" s="3477"/>
      <c r="H76" s="3490"/>
      <c r="I76" s="1412"/>
      <c r="J76" s="2774"/>
      <c r="P76" s="933"/>
      <c r="Q76" s="933"/>
      <c r="R76" s="933"/>
      <c r="S76" s="933"/>
      <c r="T76" s="933"/>
      <c r="U76" s="933"/>
      <c r="V76" s="933"/>
      <c r="W76" s="933"/>
      <c r="X76" s="933"/>
      <c r="Y76" s="933"/>
      <c r="Z76" s="933"/>
      <c r="AA76" s="933"/>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3"/>
      <c r="L77" s="933"/>
      <c r="M77" s="933"/>
      <c r="N77" s="933"/>
      <c r="O77" s="933"/>
      <c r="P77" s="933"/>
      <c r="Q77" s="933"/>
      <c r="R77" s="933"/>
      <c r="S77" s="933"/>
      <c r="T77" s="933"/>
      <c r="U77" s="933"/>
      <c r="V77" s="933"/>
      <c r="W77" s="933"/>
      <c r="X77" s="933"/>
      <c r="Y77" s="933"/>
      <c r="Z77" s="933"/>
      <c r="AA77" s="933"/>
      <c r="AB77" s="1411"/>
      <c r="AC77" s="1411"/>
      <c r="AD77" s="1411"/>
      <c r="AE77" s="1411"/>
      <c r="AF77" s="1411"/>
      <c r="AG77" s="1411"/>
      <c r="AH77" s="1411"/>
      <c r="AI77" s="1411"/>
      <c r="AJ77" s="1411"/>
    </row>
    <row r="78" spans="1:36" s="1410" customFormat="1" ht="24.75" customHeight="1">
      <c r="A78" s="49" t="s">
        <v>77</v>
      </c>
      <c r="B78" s="50" t="s">
        <v>1610</v>
      </c>
      <c r="C78" s="2715" t="e">
        <f ca="1">ROUND(D45*D78/(1+'数据-取费表'!F30),0)</f>
        <v>#REF!</v>
      </c>
      <c r="D78" s="2716">
        <f>'数据-取费表'!E31</f>
        <v>6.000000000000001E-3</v>
      </c>
      <c r="E78" s="3425" t="s">
        <v>1611</v>
      </c>
      <c r="F78" s="3426"/>
      <c r="G78" s="3426"/>
      <c r="H78" s="3446"/>
      <c r="I78" s="1414"/>
      <c r="J78" s="2776"/>
      <c r="K78" s="933"/>
      <c r="L78" s="933"/>
      <c r="M78" s="933"/>
      <c r="N78" s="933"/>
      <c r="O78" s="933"/>
      <c r="P78" s="933"/>
      <c r="Q78" s="933"/>
      <c r="R78" s="933"/>
      <c r="S78" s="933"/>
      <c r="T78" s="933"/>
      <c r="U78" s="933"/>
      <c r="V78" s="933"/>
      <c r="W78" s="933"/>
      <c r="X78" s="933"/>
      <c r="Y78" s="933"/>
      <c r="Z78" s="933"/>
      <c r="AA78" s="933"/>
      <c r="AB78" s="1411"/>
      <c r="AC78" s="1411"/>
      <c r="AD78" s="1411"/>
      <c r="AE78" s="1411"/>
      <c r="AF78" s="1411"/>
      <c r="AG78" s="1411"/>
      <c r="AH78" s="1411"/>
      <c r="AI78" s="1411"/>
      <c r="AJ78" s="1411"/>
    </row>
    <row r="79" spans="1:36" s="1410" customFormat="1" ht="14.25">
      <c r="A79" s="53" t="s">
        <v>42</v>
      </c>
      <c r="B79" s="54" t="s">
        <v>1612</v>
      </c>
      <c r="C79" s="2707" t="e">
        <f ca="1">C72-C73</f>
        <v>#REF!</v>
      </c>
      <c r="D79" s="50" t="s">
        <v>41</v>
      </c>
      <c r="E79" s="2015"/>
      <c r="F79" s="2016"/>
      <c r="G79" s="2016"/>
      <c r="H79" s="62"/>
      <c r="I79" s="1412"/>
      <c r="J79" s="2774"/>
      <c r="K79" s="933"/>
      <c r="L79" s="933"/>
      <c r="M79" s="933"/>
      <c r="N79" s="933"/>
      <c r="O79" s="933"/>
      <c r="P79" s="933"/>
      <c r="Q79" s="933"/>
      <c r="R79" s="933"/>
      <c r="S79" s="933"/>
      <c r="T79" s="933"/>
      <c r="U79" s="933"/>
      <c r="V79" s="933"/>
      <c r="W79" s="933"/>
      <c r="X79" s="933"/>
      <c r="Y79" s="933"/>
      <c r="Z79" s="933"/>
      <c r="AA79" s="933"/>
      <c r="AB79" s="1411"/>
      <c r="AC79" s="1411"/>
      <c r="AD79" s="1411"/>
      <c r="AE79" s="1411"/>
      <c r="AF79" s="1411"/>
      <c r="AG79" s="1411"/>
      <c r="AH79" s="1411"/>
      <c r="AI79" s="1411"/>
      <c r="AJ79" s="1411"/>
    </row>
    <row r="80" spans="1:36" s="1410" customFormat="1" ht="24">
      <c r="A80" s="53" t="s">
        <v>43</v>
      </c>
      <c r="B80" s="54" t="s">
        <v>1613</v>
      </c>
      <c r="C80" s="2717"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16"/>
      <c r="G80" s="2016"/>
      <c r="H80" s="62"/>
      <c r="I80" s="1412"/>
      <c r="J80" s="2774"/>
      <c r="K80" s="933"/>
      <c r="L80" s="933"/>
      <c r="M80" s="933"/>
      <c r="N80" s="933"/>
      <c r="O80" s="933"/>
      <c r="P80" s="933"/>
      <c r="Q80" s="933"/>
      <c r="R80" s="933"/>
      <c r="S80" s="933"/>
      <c r="T80" s="933"/>
      <c r="U80" s="933"/>
      <c r="V80" s="933"/>
      <c r="W80" s="933"/>
      <c r="X80" s="933"/>
      <c r="Y80" s="933"/>
      <c r="Z80" s="933"/>
      <c r="AA80" s="933"/>
      <c r="AB80" s="1411"/>
      <c r="AC80" s="1411"/>
      <c r="AD80" s="1411"/>
      <c r="AE80" s="1411"/>
      <c r="AF80" s="1411"/>
      <c r="AG80" s="1411"/>
      <c r="AH80" s="1411"/>
      <c r="AI80" s="1411"/>
      <c r="AJ80" s="1411"/>
    </row>
    <row r="81" spans="1:36" s="1410" customFormat="1" ht="24.75" thickBot="1">
      <c r="A81" s="55" t="s">
        <v>44</v>
      </c>
      <c r="B81" s="56" t="s">
        <v>1614</v>
      </c>
      <c r="C81" s="2718" t="e">
        <f ca="1">ROUND(IF(C79&lt;=0,0,IF(C80&gt;=200%,C79*60%-C73*35%,IF(C80&gt;=100%,C79*50%-C73*15%,IF(C80&gt;=50%,C79*40%-C73*5%,IF(C80&lt;50%,C79*30%,0))))),0)</f>
        <v>#REF!</v>
      </c>
      <c r="D81" s="2099"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12"/>
      <c r="J81" s="2774"/>
      <c r="K81" s="933"/>
      <c r="L81" s="933"/>
      <c r="M81" s="933"/>
      <c r="N81" s="933"/>
      <c r="O81" s="933"/>
      <c r="P81" s="933"/>
      <c r="Q81" s="933"/>
      <c r="R81" s="933"/>
      <c r="S81" s="933"/>
      <c r="T81" s="933"/>
      <c r="U81" s="933"/>
      <c r="V81" s="933"/>
      <c r="W81" s="933"/>
      <c r="X81" s="933"/>
      <c r="Y81" s="933"/>
      <c r="Z81" s="933"/>
      <c r="AA81" s="933"/>
      <c r="AB81" s="1411"/>
      <c r="AC81" s="1411"/>
      <c r="AD81" s="1411"/>
      <c r="AE81" s="1411"/>
      <c r="AF81" s="1411"/>
      <c r="AG81" s="1411"/>
      <c r="AH81" s="1411"/>
      <c r="AI81" s="1411"/>
      <c r="AJ81" s="1411"/>
    </row>
    <row r="82" spans="1:36" s="1410" customFormat="1" ht="7.5" customHeight="1">
      <c r="A82" s="606"/>
      <c r="B82" s="607"/>
      <c r="C82" s="9"/>
      <c r="D82" s="9"/>
      <c r="E82" s="607"/>
      <c r="F82" s="607"/>
      <c r="G82" s="607"/>
      <c r="H82" s="608"/>
      <c r="I82" s="1414"/>
      <c r="J82" s="2776"/>
      <c r="K82" s="933"/>
      <c r="L82" s="933"/>
      <c r="M82" s="933"/>
      <c r="N82" s="933"/>
      <c r="O82" s="933"/>
      <c r="P82" s="933"/>
      <c r="Q82" s="933"/>
      <c r="R82" s="933"/>
      <c r="S82" s="933"/>
      <c r="T82" s="933"/>
      <c r="U82" s="933"/>
      <c r="V82" s="933"/>
      <c r="W82" s="933"/>
      <c r="X82" s="933"/>
      <c r="Y82" s="933"/>
      <c r="Z82" s="933"/>
      <c r="AA82" s="933"/>
      <c r="AB82" s="1411"/>
      <c r="AC82" s="1411"/>
      <c r="AD82" s="1411"/>
      <c r="AE82" s="1411"/>
      <c r="AF82" s="1411"/>
      <c r="AG82" s="1411"/>
      <c r="AH82" s="1411"/>
      <c r="AI82" s="1411"/>
      <c r="AJ82" s="1411"/>
    </row>
    <row r="83" spans="1:36" s="1410" customFormat="1" ht="15" thickBot="1">
      <c r="A83" s="3458" t="s">
        <v>1615</v>
      </c>
      <c r="B83" s="3459"/>
      <c r="C83" s="3459"/>
      <c r="D83" s="3459"/>
      <c r="E83" s="3459"/>
      <c r="F83" s="3459"/>
      <c r="G83" s="3459"/>
      <c r="H83" s="3459"/>
      <c r="I83" s="9"/>
      <c r="J83" s="2775"/>
      <c r="K83" s="933"/>
      <c r="L83" s="933"/>
      <c r="M83" s="933"/>
      <c r="N83" s="933"/>
      <c r="O83" s="933"/>
      <c r="P83" s="933"/>
      <c r="Q83" s="933"/>
      <c r="R83" s="933"/>
      <c r="S83" s="933"/>
      <c r="T83" s="933"/>
      <c r="U83" s="933"/>
      <c r="V83" s="933"/>
      <c r="W83" s="933"/>
      <c r="X83" s="933"/>
      <c r="Y83" s="933"/>
      <c r="Z83" s="933"/>
      <c r="AA83" s="933"/>
      <c r="AB83" s="1411"/>
      <c r="AC83" s="1411"/>
      <c r="AD83" s="1411"/>
      <c r="AE83" s="1411"/>
      <c r="AF83" s="1411"/>
      <c r="AG83" s="1411"/>
      <c r="AH83" s="1411"/>
      <c r="AI83" s="1411"/>
      <c r="AJ83" s="1411"/>
    </row>
    <row r="84" spans="1:36" s="1410" customFormat="1" ht="14.25">
      <c r="A84" s="3456" t="s">
        <v>1576</v>
      </c>
      <c r="B84" s="3457"/>
      <c r="C84" s="1534"/>
      <c r="D84" s="1534" t="s">
        <v>1577</v>
      </c>
      <c r="E84" s="58" t="s">
        <v>1578</v>
      </c>
      <c r="F84" s="59"/>
      <c r="G84" s="59"/>
      <c r="H84" s="72"/>
      <c r="I84" s="9"/>
      <c r="J84" s="2775"/>
      <c r="K84" s="933"/>
      <c r="L84" s="933"/>
      <c r="M84" s="933"/>
      <c r="N84" s="933"/>
      <c r="O84" s="933"/>
      <c r="P84" s="933"/>
      <c r="Q84" s="933"/>
      <c r="R84" s="933"/>
      <c r="S84" s="933"/>
      <c r="T84" s="933"/>
      <c r="U84" s="933"/>
      <c r="V84" s="933"/>
      <c r="W84" s="933"/>
      <c r="X84" s="933"/>
      <c r="Y84" s="933"/>
      <c r="Z84" s="933"/>
      <c r="AA84" s="933"/>
      <c r="AB84" s="1411"/>
      <c r="AC84" s="1411"/>
      <c r="AD84" s="1411"/>
      <c r="AE84" s="1411"/>
      <c r="AF84" s="1411"/>
      <c r="AG84" s="1411"/>
      <c r="AH84" s="1411"/>
      <c r="AI84" s="1411"/>
      <c r="AJ84" s="1411"/>
    </row>
    <row r="85" spans="1:36" s="1410" customFormat="1" ht="24">
      <c r="A85" s="61">
        <v>1</v>
      </c>
      <c r="B85" s="54" t="s">
        <v>1597</v>
      </c>
      <c r="C85" s="2707" t="e">
        <f ca="1">ROUND(D45/(1+'数据-取费表'!F30),0)</f>
        <v>#REF!</v>
      </c>
      <c r="D85" s="50" t="s">
        <v>41</v>
      </c>
      <c r="E85" s="2015" t="s">
        <v>1598</v>
      </c>
      <c r="F85" s="2016"/>
      <c r="G85" s="2016"/>
      <c r="H85" s="73"/>
      <c r="I85" s="9"/>
      <c r="J85" s="2775"/>
      <c r="K85" s="933"/>
      <c r="L85" s="933"/>
      <c r="M85" s="933"/>
      <c r="N85" s="933"/>
      <c r="O85" s="933"/>
      <c r="P85" s="933"/>
      <c r="Q85" s="933"/>
      <c r="R85" s="933"/>
      <c r="S85" s="933"/>
      <c r="T85" s="933"/>
      <c r="U85" s="933"/>
      <c r="V85" s="933"/>
      <c r="W85" s="933"/>
      <c r="X85" s="933"/>
      <c r="Y85" s="933"/>
      <c r="Z85" s="933"/>
      <c r="AA85" s="933"/>
      <c r="AB85" s="1411"/>
      <c r="AC85" s="1411"/>
      <c r="AD85" s="1411"/>
      <c r="AE85" s="1411"/>
      <c r="AF85" s="1411"/>
      <c r="AG85" s="1411"/>
      <c r="AH85" s="1411"/>
      <c r="AI85" s="1411"/>
      <c r="AJ85" s="1411"/>
    </row>
    <row r="86" spans="1:36" s="1410" customFormat="1" ht="14.25">
      <c r="A86" s="63">
        <v>2</v>
      </c>
      <c r="B86" s="41" t="s">
        <v>1599</v>
      </c>
      <c r="C86" s="2707" t="e">
        <f ca="1">IF(H88="仅含出让金",C87+C90+C91+C92+C93+C94,C87+C91+C92+C93+C94)</f>
        <v>#REF!</v>
      </c>
      <c r="D86" s="2719"/>
      <c r="E86" s="2015"/>
      <c r="F86" s="2016"/>
      <c r="G86" s="2016"/>
      <c r="H86" s="73"/>
      <c r="I86" s="9"/>
      <c r="J86" s="2775"/>
      <c r="K86" s="933"/>
      <c r="L86" s="933"/>
      <c r="M86" s="933"/>
      <c r="N86" s="933"/>
      <c r="O86" s="933"/>
      <c r="P86" s="933"/>
      <c r="Q86" s="933"/>
      <c r="R86" s="933"/>
      <c r="S86" s="933"/>
      <c r="T86" s="933"/>
      <c r="U86" s="933"/>
      <c r="V86" s="933"/>
      <c r="W86" s="933"/>
      <c r="X86" s="933"/>
      <c r="Y86" s="933"/>
      <c r="Z86" s="933"/>
      <c r="AA86" s="933"/>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3"/>
      <c r="L87" s="933"/>
      <c r="M87" s="933"/>
      <c r="N87" s="933"/>
      <c r="O87" s="933"/>
      <c r="P87" s="933"/>
      <c r="Q87" s="933"/>
      <c r="R87" s="933"/>
      <c r="S87" s="933"/>
      <c r="T87" s="933"/>
      <c r="U87" s="933"/>
      <c r="V87" s="933"/>
      <c r="W87" s="933"/>
      <c r="X87" s="933"/>
      <c r="Y87" s="933"/>
      <c r="Z87" s="933"/>
      <c r="AA87" s="933"/>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2576</v>
      </c>
      <c r="L88" s="1411"/>
      <c r="M88" s="1411"/>
      <c r="N88" s="1411"/>
      <c r="O88" s="1411"/>
      <c r="P88" s="1411"/>
      <c r="Q88" s="1411"/>
      <c r="R88" s="1411"/>
      <c r="S88" s="1411"/>
      <c r="T88" s="933"/>
      <c r="U88" s="933"/>
      <c r="V88" s="933"/>
      <c r="W88" s="933"/>
      <c r="X88" s="933"/>
      <c r="Y88" s="933"/>
      <c r="Z88" s="933"/>
      <c r="AA88" s="933"/>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3"/>
      <c r="L89" s="933"/>
      <c r="M89" s="933"/>
      <c r="N89" s="933"/>
      <c r="O89" s="933"/>
      <c r="P89" s="933"/>
      <c r="Q89" s="933"/>
      <c r="R89" s="933"/>
      <c r="S89" s="933"/>
      <c r="T89" s="933"/>
      <c r="U89" s="933"/>
      <c r="V89" s="933"/>
      <c r="W89" s="933"/>
      <c r="X89" s="933"/>
      <c r="Y89" s="933"/>
      <c r="Z89" s="933"/>
      <c r="AA89" s="933"/>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465" t="s">
        <v>2492</v>
      </c>
      <c r="H90" s="3465"/>
      <c r="I90" s="9"/>
      <c r="J90" s="2775"/>
      <c r="K90" s="2891" t="s">
        <v>2577</v>
      </c>
      <c r="L90" s="1411"/>
      <c r="M90" s="1411"/>
      <c r="N90" s="1411"/>
      <c r="O90" s="1411"/>
      <c r="P90" s="1411"/>
      <c r="Q90" s="1411"/>
      <c r="R90" s="1411"/>
      <c r="S90" s="1411"/>
      <c r="T90" s="1411"/>
      <c r="U90" s="933"/>
      <c r="V90" s="933"/>
      <c r="W90" s="933"/>
      <c r="X90" s="933"/>
      <c r="Y90" s="933"/>
      <c r="Z90" s="933"/>
      <c r="AA90" s="933"/>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25" t="s">
        <v>1623</v>
      </c>
      <c r="F91" s="3426"/>
      <c r="G91" s="3426"/>
      <c r="H91" s="1416" t="s">
        <v>1624</v>
      </c>
      <c r="I91" s="1417"/>
      <c r="J91" s="2777"/>
      <c r="K91" s="933"/>
      <c r="L91" s="933"/>
      <c r="M91" s="933"/>
      <c r="N91" s="933"/>
      <c r="O91" s="933"/>
      <c r="P91" s="933"/>
      <c r="Q91" s="933"/>
      <c r="R91" s="933"/>
      <c r="S91" s="933"/>
      <c r="T91" s="933"/>
      <c r="U91" s="933"/>
      <c r="V91" s="933"/>
      <c r="W91" s="933"/>
      <c r="X91" s="933"/>
      <c r="Y91" s="933"/>
      <c r="Z91" s="933"/>
      <c r="AA91" s="933"/>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25" t="s">
        <v>1626</v>
      </c>
      <c r="F92" s="3426"/>
      <c r="G92" s="3426"/>
      <c r="H92" s="3446"/>
      <c r="I92" s="9"/>
      <c r="J92" s="2775"/>
      <c r="K92" s="2892" t="s">
        <v>2578</v>
      </c>
      <c r="L92" s="1411"/>
      <c r="M92" s="1411"/>
      <c r="N92" s="1411"/>
      <c r="O92" s="1411"/>
      <c r="P92" s="1411"/>
      <c r="Q92" s="933"/>
      <c r="R92" s="933"/>
      <c r="S92" s="933"/>
      <c r="T92" s="933"/>
      <c r="U92" s="933"/>
      <c r="V92" s="933"/>
      <c r="W92" s="933"/>
      <c r="X92" s="933"/>
      <c r="Y92" s="933"/>
      <c r="Z92" s="933"/>
      <c r="AA92" s="933"/>
      <c r="AB92" s="1411"/>
      <c r="AC92" s="1411"/>
      <c r="AD92" s="1411"/>
      <c r="AE92" s="1411"/>
      <c r="AF92" s="1411"/>
      <c r="AG92" s="1411"/>
      <c r="AH92" s="1411"/>
      <c r="AI92" s="1411"/>
      <c r="AJ92" s="1411"/>
    </row>
    <row r="93" spans="1:36" s="1410" customFormat="1" ht="25.5" customHeight="1">
      <c r="A93" s="49" t="s">
        <v>80</v>
      </c>
      <c r="B93" s="50" t="s">
        <v>1610</v>
      </c>
      <c r="C93" s="2715" t="e">
        <f ca="1">ROUND(D45*D93/(1+'数据-取费表'!F30),0)</f>
        <v>#REF!</v>
      </c>
      <c r="D93" s="2716">
        <f>'数据-取费表'!E31</f>
        <v>6.000000000000001E-3</v>
      </c>
      <c r="E93" s="3425" t="s">
        <v>1611</v>
      </c>
      <c r="F93" s="3426"/>
      <c r="G93" s="3426"/>
      <c r="H93" s="3446"/>
      <c r="I93" s="9"/>
      <c r="J93" s="2775"/>
      <c r="K93" s="933"/>
      <c r="L93" s="933"/>
      <c r="M93" s="933"/>
      <c r="N93" s="933"/>
      <c r="O93" s="933"/>
      <c r="P93" s="933"/>
      <c r="Q93" s="933"/>
      <c r="R93" s="933"/>
      <c r="S93" s="933"/>
      <c r="T93" s="933"/>
      <c r="U93" s="933"/>
      <c r="V93" s="933"/>
      <c r="W93" s="933"/>
      <c r="X93" s="933"/>
      <c r="Y93" s="933"/>
      <c r="Z93" s="933"/>
      <c r="AA93" s="933"/>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25" t="s">
        <v>1628</v>
      </c>
      <c r="F94" s="3426"/>
      <c r="G94" s="3426"/>
      <c r="H94" s="3446"/>
      <c r="I94" s="9"/>
      <c r="J94" s="2775"/>
      <c r="K94" s="933"/>
      <c r="L94" s="933"/>
      <c r="M94" s="933"/>
      <c r="N94" s="933"/>
      <c r="O94" s="933"/>
      <c r="P94" s="933"/>
      <c r="Q94" s="933"/>
      <c r="R94" s="933"/>
      <c r="S94" s="933"/>
      <c r="T94" s="933"/>
      <c r="U94" s="933"/>
      <c r="V94" s="933"/>
      <c r="W94" s="933"/>
      <c r="X94" s="933"/>
      <c r="Y94" s="933"/>
      <c r="Z94" s="933"/>
      <c r="AA94" s="933"/>
      <c r="AB94" s="1411"/>
      <c r="AC94" s="1411"/>
      <c r="AD94" s="1411"/>
      <c r="AE94" s="1411"/>
      <c r="AF94" s="1411"/>
      <c r="AG94" s="1411"/>
      <c r="AH94" s="1411"/>
      <c r="AI94" s="1411"/>
      <c r="AJ94" s="1411"/>
    </row>
    <row r="95" spans="1:36" s="1410" customFormat="1" ht="14.25">
      <c r="A95" s="53" t="s">
        <v>42</v>
      </c>
      <c r="B95" s="54" t="s">
        <v>1612</v>
      </c>
      <c r="C95" s="2707" t="e">
        <f ca="1">ROUND(C85-C86,0)</f>
        <v>#REF!</v>
      </c>
      <c r="D95" s="50" t="s">
        <v>41</v>
      </c>
      <c r="E95" s="2015"/>
      <c r="F95" s="2016"/>
      <c r="G95" s="2016"/>
      <c r="H95" s="73"/>
      <c r="I95" s="9"/>
      <c r="J95" s="2775"/>
      <c r="K95" s="933"/>
      <c r="L95" s="933"/>
      <c r="M95" s="933"/>
      <c r="N95" s="933"/>
      <c r="O95" s="933"/>
      <c r="P95" s="933"/>
      <c r="Q95" s="933"/>
      <c r="R95" s="933"/>
      <c r="S95" s="933"/>
      <c r="T95" s="933"/>
      <c r="U95" s="933"/>
      <c r="V95" s="933"/>
      <c r="W95" s="933"/>
      <c r="X95" s="933"/>
      <c r="Y95" s="933"/>
      <c r="Z95" s="933"/>
      <c r="AA95" s="933"/>
      <c r="AB95" s="1411"/>
      <c r="AC95" s="1411"/>
      <c r="AD95" s="1411"/>
      <c r="AE95" s="1411"/>
      <c r="AF95" s="1411"/>
      <c r="AG95" s="1411"/>
      <c r="AH95" s="1411"/>
      <c r="AI95" s="1411"/>
      <c r="AJ95" s="1411"/>
    </row>
    <row r="96" spans="1:36" s="1410" customFormat="1" ht="24">
      <c r="A96" s="53" t="s">
        <v>43</v>
      </c>
      <c r="B96" s="54" t="s">
        <v>1613</v>
      </c>
      <c r="C96" s="2717"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16"/>
      <c r="G96" s="2016"/>
      <c r="H96" s="73"/>
      <c r="I96" s="9"/>
      <c r="J96" s="2775"/>
      <c r="K96" s="933"/>
      <c r="L96" s="933"/>
      <c r="M96" s="933"/>
      <c r="N96" s="933"/>
      <c r="O96" s="933"/>
      <c r="P96" s="933"/>
      <c r="Q96" s="933"/>
      <c r="R96" s="933"/>
      <c r="S96" s="933"/>
      <c r="T96" s="933"/>
      <c r="U96" s="933"/>
      <c r="V96" s="933"/>
      <c r="W96" s="933"/>
      <c r="X96" s="933"/>
      <c r="Y96" s="933"/>
      <c r="Z96" s="933"/>
      <c r="AA96" s="933"/>
      <c r="AB96" s="1411"/>
      <c r="AC96" s="1411"/>
      <c r="AD96" s="1411"/>
      <c r="AE96" s="1411"/>
      <c r="AF96" s="1411"/>
      <c r="AG96" s="1411"/>
      <c r="AH96" s="1411"/>
      <c r="AI96" s="1411"/>
      <c r="AJ96" s="1411"/>
    </row>
    <row r="97" spans="1:36" s="1410" customFormat="1" ht="24.75" thickBot="1">
      <c r="A97" s="55" t="s">
        <v>44</v>
      </c>
      <c r="B97" s="56" t="s">
        <v>1614</v>
      </c>
      <c r="C97" s="2718" t="e">
        <f ca="1">ROUND(IF(C95&lt;=0,0,IF(C96&gt;=200%,C95*60%-C86*35%,IF(C96&gt;=100%,C95*50%-C86*15%,IF(C96&gt;=50%,C95*40%-C86*5%,IF(C96&lt;50%,C95*30%,0))))),0)</f>
        <v>#REF!</v>
      </c>
      <c r="D97" s="2099"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775"/>
      <c r="K97" s="933"/>
      <c r="L97" s="933"/>
      <c r="M97" s="933"/>
      <c r="N97" s="933"/>
      <c r="O97" s="933"/>
      <c r="P97" s="933"/>
      <c r="Q97" s="933"/>
      <c r="R97" s="933"/>
      <c r="S97" s="933"/>
      <c r="T97" s="933"/>
      <c r="U97" s="933"/>
      <c r="V97" s="933"/>
      <c r="W97" s="933"/>
      <c r="X97" s="933"/>
      <c r="Y97" s="933"/>
      <c r="Z97" s="933"/>
      <c r="AA97" s="933"/>
      <c r="AB97" s="1411"/>
      <c r="AC97" s="1411"/>
      <c r="AD97" s="1411"/>
      <c r="AE97" s="1411"/>
      <c r="AF97" s="1411"/>
      <c r="AG97" s="1411"/>
      <c r="AH97" s="1411"/>
      <c r="AI97" s="1411"/>
      <c r="AJ97" s="1411"/>
    </row>
    <row r="98" spans="1:36" ht="21.75" customHeight="1" thickBot="1">
      <c r="A98" s="1398" t="s">
        <v>1629</v>
      </c>
      <c r="B98" s="1388"/>
      <c r="C98" s="1388"/>
      <c r="D98" s="1388"/>
      <c r="E98" s="769"/>
      <c r="F98" s="769"/>
      <c r="G98" s="769"/>
      <c r="H98" s="1397"/>
      <c r="I98" s="1388"/>
    </row>
    <row r="99" spans="1:36" ht="15.75">
      <c r="A99" s="3443" t="s">
        <v>1630</v>
      </c>
      <c r="B99" s="3444"/>
      <c r="C99" s="3444"/>
      <c r="D99" s="3445"/>
      <c r="E99" s="1388"/>
      <c r="F99" s="3453" t="s">
        <v>1631</v>
      </c>
      <c r="G99" s="3454"/>
      <c r="H99" s="3454"/>
      <c r="I99" s="3455"/>
      <c r="J99" s="2778"/>
    </row>
    <row r="100" spans="1:36" ht="15">
      <c r="A100" s="3460" t="s">
        <v>1632</v>
      </c>
      <c r="B100" s="3461"/>
      <c r="C100" s="1234">
        <f>C4</f>
        <v>0</v>
      </c>
      <c r="D100" s="2726">
        <f>D4</f>
        <v>0</v>
      </c>
      <c r="E100" s="1388"/>
      <c r="F100" s="3462" t="s">
        <v>2536</v>
      </c>
      <c r="G100" s="3464"/>
      <c r="H100" s="3462" t="s">
        <v>2537</v>
      </c>
      <c r="I100" s="3463"/>
      <c r="J100" s="2779"/>
    </row>
    <row r="101" spans="1:36" ht="12.75">
      <c r="A101" s="3479" t="s">
        <v>2569</v>
      </c>
      <c r="B101" s="2234" t="str">
        <f>IF(H19="元","总价（元）","总价（万元）")</f>
        <v>总价（万元）</v>
      </c>
      <c r="C101" s="1234" t="e">
        <f ca="1">C19</f>
        <v>#REF!</v>
      </c>
      <c r="D101" s="2726" t="e">
        <f ca="1">D19</f>
        <v>#REF!</v>
      </c>
      <c r="E101" s="1388"/>
      <c r="F101" s="3462" t="str">
        <f>项目基本情况!I1</f>
        <v>北京市房地产</v>
      </c>
      <c r="G101" s="3464"/>
      <c r="H101" s="3466">
        <f>项目基本情况!C12</f>
        <v>400.8</v>
      </c>
      <c r="I101" s="3463"/>
      <c r="J101" s="2779"/>
    </row>
    <row r="102" spans="1:36" ht="12.75">
      <c r="A102" s="3479"/>
      <c r="B102" s="2234" t="s">
        <v>2570</v>
      </c>
      <c r="C102" s="2727" t="e">
        <f ca="1">C20</f>
        <v>#REF!</v>
      </c>
      <c r="D102" s="2728" t="e">
        <f ca="1">D20</f>
        <v>#REF!</v>
      </c>
      <c r="E102" s="1388"/>
      <c r="F102" s="3449" t="s">
        <v>2566</v>
      </c>
      <c r="G102" s="3450"/>
      <c r="H102" s="2736" t="str">
        <f>C106</f>
        <v>总价（万元）</v>
      </c>
      <c r="I102" s="2737" t="e">
        <f ca="1">H121</f>
        <v>#REF!</v>
      </c>
      <c r="J102" s="2779"/>
    </row>
    <row r="103" spans="1:36" ht="12.75">
      <c r="A103" s="3479" t="s">
        <v>2571</v>
      </c>
      <c r="B103" s="2172" t="str">
        <f>B101</f>
        <v>总价（万元）</v>
      </c>
      <c r="C103" s="2731" t="e">
        <f ca="1">H121</f>
        <v>#REF!</v>
      </c>
      <c r="D103" s="2729"/>
      <c r="E103" s="1388"/>
      <c r="F103" s="3449"/>
      <c r="G103" s="3450"/>
      <c r="H103" s="2736" t="s">
        <v>2539</v>
      </c>
      <c r="I103" s="52" t="e">
        <f ca="1">I121</f>
        <v>#REF!</v>
      </c>
      <c r="J103" s="2763"/>
    </row>
    <row r="104" spans="1:36" ht="13.5" thickBot="1">
      <c r="A104" s="3480"/>
      <c r="B104" s="2733" t="s">
        <v>2570</v>
      </c>
      <c r="C104" s="2734" t="e">
        <f ca="1">I121</f>
        <v>#REF!</v>
      </c>
      <c r="D104" s="2735"/>
      <c r="E104" s="1388"/>
      <c r="F104" s="3449"/>
      <c r="G104" s="3450"/>
      <c r="H104" s="3481"/>
      <c r="I104" s="3482"/>
      <c r="J104" s="2780"/>
    </row>
    <row r="105" spans="1:36" ht="15">
      <c r="A105" s="3443" t="s">
        <v>1633</v>
      </c>
      <c r="B105" s="3444"/>
      <c r="C105" s="3444"/>
      <c r="D105" s="3445"/>
      <c r="E105" s="1388"/>
      <c r="F105" s="3485" t="s">
        <v>2540</v>
      </c>
      <c r="G105" s="3486"/>
      <c r="H105" s="2738" t="str">
        <f>C108</f>
        <v>总额（万元）</v>
      </c>
      <c r="I105" s="2737">
        <f>SUMIF(I106:I108,"&lt;9E307")</f>
        <v>0</v>
      </c>
      <c r="J105" s="2779"/>
    </row>
    <row r="106" spans="1:36" ht="14.25">
      <c r="A106" s="3449" t="s">
        <v>2563</v>
      </c>
      <c r="B106" s="3450"/>
      <c r="C106" s="2736" t="str">
        <f>B101</f>
        <v>总价（万元）</v>
      </c>
      <c r="D106" s="2737" t="e">
        <f ca="1">H121</f>
        <v>#REF!</v>
      </c>
      <c r="E106" s="1388"/>
      <c r="F106" s="3451" t="s">
        <v>2541</v>
      </c>
      <c r="G106" s="3452"/>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49"/>
      <c r="B107" s="3450"/>
      <c r="C107" s="2736" t="s">
        <v>2564</v>
      </c>
      <c r="D107" s="52" t="e">
        <f ca="1">I121</f>
        <v>#REF!</v>
      </c>
      <c r="E107" s="1388"/>
      <c r="F107" s="3451" t="s">
        <v>2542</v>
      </c>
      <c r="G107" s="3452"/>
      <c r="H107" s="2738" t="str">
        <f>C110</f>
        <v>总额（万元）</v>
      </c>
      <c r="I107" s="52">
        <f>C37</f>
        <v>0</v>
      </c>
      <c r="J107" s="2763"/>
    </row>
    <row r="108" spans="1:36" ht="12.75">
      <c r="A108" s="3520" t="s">
        <v>2540</v>
      </c>
      <c r="B108" s="3521"/>
      <c r="C108" s="2738" t="str">
        <f>IF(H19="元","总额（元）","总额（万元）")</f>
        <v>总额（万元）</v>
      </c>
      <c r="D108" s="2737">
        <f>IF(D36="正常操作",I106+I107+I108,I107+I108)</f>
        <v>0</v>
      </c>
      <c r="E108" s="1388"/>
      <c r="F108" s="3451" t="s">
        <v>2567</v>
      </c>
      <c r="G108" s="3452"/>
      <c r="H108" s="2738" t="str">
        <f>C111</f>
        <v>总额（万元）</v>
      </c>
      <c r="I108" s="52">
        <f>C38</f>
        <v>0</v>
      </c>
      <c r="J108" s="2763"/>
    </row>
    <row r="109" spans="1:36" ht="12.75">
      <c r="A109" s="3451" t="s">
        <v>2541</v>
      </c>
      <c r="B109" s="3452"/>
      <c r="C109" s="2738" t="str">
        <f>C108</f>
        <v>总额（万元）</v>
      </c>
      <c r="D109" s="52">
        <f>IF(D36="同一抵押权人同一抵押物续贷",C36&amp;"（未扣减，详见特别提示）",C36)</f>
        <v>0</v>
      </c>
      <c r="E109" s="1388"/>
      <c r="F109" s="3449"/>
      <c r="G109" s="3450"/>
      <c r="H109" s="3483"/>
      <c r="I109" s="3484"/>
      <c r="J109" s="2781"/>
    </row>
    <row r="110" spans="1:36" ht="28.5" customHeight="1">
      <c r="A110" s="3451" t="s">
        <v>2565</v>
      </c>
      <c r="B110" s="3452"/>
      <c r="C110" s="2738" t="str">
        <f>C108</f>
        <v>总额（万元）</v>
      </c>
      <c r="D110" s="52">
        <f>C37</f>
        <v>0</v>
      </c>
      <c r="E110" s="1388"/>
      <c r="F110" s="3432" t="str">
        <f>IF(项目基本情况!F5="已注销","——","3.房地产抵押价值")</f>
        <v>3.房地产抵押价值</v>
      </c>
      <c r="G110" s="3433"/>
      <c r="H110" s="2724" t="str">
        <f>C112</f>
        <v>总价（万元）</v>
      </c>
      <c r="I110" s="2737" t="e">
        <f ca="1">IF(F110="——","——",I102-I105)</f>
        <v>#REF!</v>
      </c>
      <c r="J110" s="2779"/>
    </row>
    <row r="111" spans="1:36" ht="12.75">
      <c r="A111" s="3451" t="s">
        <v>2544</v>
      </c>
      <c r="B111" s="3452"/>
      <c r="C111" s="2738" t="str">
        <f>C108</f>
        <v>总额（万元）</v>
      </c>
      <c r="D111" s="52">
        <f>C38</f>
        <v>0</v>
      </c>
      <c r="E111" s="1388"/>
      <c r="F111" s="3434"/>
      <c r="G111" s="3435"/>
      <c r="H111" s="2736" t="s">
        <v>2539</v>
      </c>
      <c r="I111" s="2740" t="e">
        <f ca="1">D113</f>
        <v>#REF!</v>
      </c>
      <c r="J111" s="2782"/>
    </row>
    <row r="112" spans="1:36" ht="26.25" customHeight="1">
      <c r="A112" s="3449" t="str">
        <f>IF(项目基本情况!F5="已注销","——","3.房地产抵押价值")</f>
        <v>3.房地产抵押价值</v>
      </c>
      <c r="B112" s="3450"/>
      <c r="C112" s="2736" t="str">
        <f>B101</f>
        <v>总价（万元）</v>
      </c>
      <c r="D112" s="2737" t="e">
        <f ca="1">IF(A112="——","——",D106-D108)</f>
        <v>#REF!</v>
      </c>
      <c r="E112" s="1388"/>
      <c r="F112" s="3432" t="str">
        <f>IF(项目基本情况!F5="已注销及未注销","4.抵押担保权已注销时的房地产抵押价值",IF(项目基本情况!F5="已注销","3.抵押担保权已注销时的房地产抵押价值","——"))</f>
        <v>——</v>
      </c>
      <c r="G112" s="3433"/>
      <c r="H112" s="2724" t="str">
        <f>C114</f>
        <v>总价（万元）</v>
      </c>
      <c r="I112" s="2737" t="str">
        <f>IF(F112="——","——",I102-I107-I108)</f>
        <v>——</v>
      </c>
      <c r="J112" s="2779"/>
    </row>
    <row r="113" spans="1:16" ht="12.75">
      <c r="A113" s="3449"/>
      <c r="B113" s="3450"/>
      <c r="C113" s="2736" t="s">
        <v>2532</v>
      </c>
      <c r="D113" s="52" t="e">
        <f ca="1">ROUND(IF(D112=D106,D107,IF(H19="元",D112/项目基本情况!C12,D112*10000/项目基本情况!C12)),0)</f>
        <v>#REF!</v>
      </c>
      <c r="E113" s="1388"/>
      <c r="F113" s="3434"/>
      <c r="G113" s="3435"/>
      <c r="H113" s="2736" t="s">
        <v>2568</v>
      </c>
      <c r="I113" s="52" t="str">
        <f>D115</f>
        <v>——</v>
      </c>
      <c r="J113" s="2763"/>
    </row>
    <row r="114" spans="1:16" ht="12.75">
      <c r="A114" s="3449" t="str">
        <f>IF(项目基本情况!F5="已注销及未注销","4.抵押担保权已注销时的房地产抵押价值",IF(项目基本情况!F5="已注销","3.抵押担保权已注销时的房地产抵押价值","——"))</f>
        <v>——</v>
      </c>
      <c r="B114" s="3450"/>
      <c r="C114" s="2736" t="str">
        <f>B101</f>
        <v>总价（万元）</v>
      </c>
      <c r="D114" s="2737" t="str">
        <f>IF(A114="——","——",D106-D110-D111)</f>
        <v>——</v>
      </c>
      <c r="E114" s="1388"/>
      <c r="F114" s="3432" t="str">
        <f>IF(项目基本情况!G5="抵押净值",IF(OR(项目基本情况!F5="已注销",项目基本情况!F5="房地产抵押价值"),"4.抵押净值","5.抵押净值"),"——")</f>
        <v>——</v>
      </c>
      <c r="G114" s="3433"/>
      <c r="H114" s="2736" t="str">
        <f>C116</f>
        <v>总价（万元）</v>
      </c>
      <c r="I114" s="2737" t="str">
        <f>IF(F114="——","——",O59)</f>
        <v>——</v>
      </c>
      <c r="J114" s="2779"/>
    </row>
    <row r="115" spans="1:16" ht="13.5" thickBot="1">
      <c r="A115" s="3449"/>
      <c r="B115" s="3450"/>
      <c r="C115" s="2736" t="s">
        <v>2532</v>
      </c>
      <c r="D115" s="52" t="str">
        <f>IF(A114="——","——",ROUND(IF(D114=D106,D107,IF(H19="元",D114/项目基本情况!C12,D114*10000/项目基本情况!C12)),0))</f>
        <v>——</v>
      </c>
      <c r="E115" s="1388"/>
      <c r="F115" s="3512"/>
      <c r="G115" s="3513"/>
      <c r="H115" s="2741" t="s">
        <v>2532</v>
      </c>
      <c r="I115" s="2725" t="e">
        <f ca="1">D117</f>
        <v>#REF!</v>
      </c>
      <c r="J115" s="2763"/>
    </row>
    <row r="116" spans="1:16" ht="15.75">
      <c r="A116" s="3449" t="str">
        <f>IF(项目基本情况!G5="抵押净值",IF(OR(项目基本情况!F5="已注销",项目基本情况!F5="房地产抵押价值"),"4.抵押净值","5.抵押净值"),"——")</f>
        <v>——</v>
      </c>
      <c r="B116" s="3450"/>
      <c r="C116" s="2736" t="str">
        <f>B101</f>
        <v>总价（万元）</v>
      </c>
      <c r="D116" s="2737" t="str">
        <f>IF(A116="——","——",O59)</f>
        <v>——</v>
      </c>
      <c r="E116" s="1388"/>
      <c r="F116" s="3427"/>
      <c r="G116" s="3427"/>
      <c r="H116" s="3468"/>
      <c r="I116" s="3468"/>
      <c r="J116" s="2783"/>
      <c r="O116" s="32"/>
      <c r="P116" s="32"/>
    </row>
    <row r="117" spans="1:16" ht="13.5" thickBot="1">
      <c r="A117" s="3518"/>
      <c r="B117" s="3519"/>
      <c r="C117" s="2741" t="s">
        <v>2532</v>
      </c>
      <c r="D117" s="2725" t="e">
        <f ca="1">IF(D116=D112,D113,IF(A116="——","——",O61))</f>
        <v>#REF!</v>
      </c>
      <c r="E117" s="1388"/>
      <c r="F117" s="3511" t="str">
        <f>IF(B32="总价","（以上估价结果中单价为总价除以建筑面积得出）","（以上估价结果中总价为楼面单价乘以建筑面积得出）")</f>
        <v>（以上估价结果中总价为楼面单价乘以建筑面积得出）</v>
      </c>
      <c r="G117" s="3511"/>
      <c r="H117" s="3511"/>
      <c r="I117" s="3511"/>
      <c r="J117" s="2784"/>
      <c r="O117" s="32"/>
      <c r="P117" s="32"/>
    </row>
    <row r="118" spans="1:16" ht="15">
      <c r="A118" s="3469" t="s">
        <v>1634</v>
      </c>
      <c r="B118" s="3470"/>
      <c r="C118" s="3470"/>
      <c r="D118" s="3470"/>
      <c r="E118" s="3470"/>
      <c r="F118" s="3470"/>
      <c r="G118" s="3470"/>
      <c r="H118" s="3470"/>
      <c r="I118" s="3470"/>
      <c r="J118" s="2785"/>
    </row>
    <row r="119" spans="1:16" ht="12.75">
      <c r="A119" s="3442" t="s">
        <v>2550</v>
      </c>
      <c r="B119" s="3440" t="s">
        <v>2560</v>
      </c>
      <c r="C119" s="3440" t="s">
        <v>2561</v>
      </c>
      <c r="D119" s="3447" t="s">
        <v>2552</v>
      </c>
      <c r="E119" s="3448"/>
      <c r="F119" s="3438" t="s">
        <v>2562</v>
      </c>
      <c r="G119" s="3438"/>
      <c r="H119" s="3438" t="s">
        <v>2553</v>
      </c>
      <c r="I119" s="3439"/>
      <c r="J119" s="2763"/>
    </row>
    <row r="120" spans="1:16" ht="12.75">
      <c r="A120" s="3442"/>
      <c r="B120" s="3441"/>
      <c r="C120" s="3441"/>
      <c r="D120" s="2019" t="s">
        <v>2554</v>
      </c>
      <c r="E120" s="2019" t="s">
        <v>2559</v>
      </c>
      <c r="F120" s="2019" t="s">
        <v>2554</v>
      </c>
      <c r="G120" s="2019" t="s">
        <v>2555</v>
      </c>
      <c r="H120" s="2019" t="s">
        <v>2554</v>
      </c>
      <c r="I120" s="52" t="s">
        <v>2555</v>
      </c>
      <c r="J120" s="2763"/>
    </row>
    <row r="121" spans="1:16" ht="12.75">
      <c r="A121" s="2009" t="str">
        <f>项目基本情况!I1</f>
        <v>北京市房地产</v>
      </c>
      <c r="B121" s="2019">
        <f>项目基本情况!C12</f>
        <v>400.8</v>
      </c>
      <c r="C121" s="2019">
        <f>项目基本情况!C13</f>
        <v>0</v>
      </c>
      <c r="D121" s="2019" t="e">
        <f ca="1">ROUND(IF(B32="总价",C34,IF('数据-取费表'!B3="万元",E121*B121/10000,E121*B121)),0)</f>
        <v>#REF!</v>
      </c>
      <c r="E121" s="2019" t="e">
        <f ca="1">ROUND(IF(B32="楼面单价",C34,IF(H19="元",D121/B121,D121*10000/B121)),0)</f>
        <v>#REF!</v>
      </c>
      <c r="F121" s="2019" t="e">
        <f ca="1">ROUND(IF(B32="总价",C35,IF('数据-取费表'!B3="万元",G121*B121/10000,G121*B121)),0)</f>
        <v>#REF!</v>
      </c>
      <c r="G121" s="2019" t="e">
        <f ca="1">ROUND(IF(B32="楼面单价",C35,IF(H19="元",F121/B121,F121*10000/B121)),0)</f>
        <v>#REF!</v>
      </c>
      <c r="H121" s="2019" t="e">
        <f ca="1">ROUND(IF(B32="总价",C32,IF('数据-取费表'!B3="万元",I121*B121/10000,I121*B121)),0)</f>
        <v>#REF!</v>
      </c>
      <c r="I121" s="52" t="e">
        <f ca="1">ROUND(IF(B32="楼面单价",C32,IF(H19="元",H121/B121,H121*10000/B121)),0)</f>
        <v>#REF!</v>
      </c>
      <c r="J121" s="2763"/>
    </row>
    <row r="122" spans="1:16" ht="12.75">
      <c r="A122" s="3442" t="s">
        <v>2556</v>
      </c>
      <c r="B122" s="3438"/>
      <c r="C122" s="3438"/>
      <c r="D122" s="3473" t="e">
        <f ca="1">IF(H19="元",NUMBERSTRING(INT(D121),2)&amp;"元整",NUMBERSTRING(INT(D121*10000),2)&amp;"元整")</f>
        <v>#REF!</v>
      </c>
      <c r="E122" s="3474"/>
      <c r="F122" s="3473" t="e">
        <f ca="1">IF(H19="元",NUMBERSTRING(INT(F121),2)&amp;"元整",NUMBERSTRING(INT(F121*10000),2)&amp;"元整")</f>
        <v>#REF!</v>
      </c>
      <c r="G122" s="3474"/>
      <c r="H122" s="3473" t="e">
        <f ca="1">IF(H19="元",NUMBERSTRING(INT(H121),2)&amp;"元整",NUMBERSTRING(INT(H121*10000),2)&amp;"元整")</f>
        <v>#REF!</v>
      </c>
      <c r="I122" s="3522"/>
      <c r="J122" s="2786"/>
    </row>
    <row r="123" spans="1:16" ht="12.75">
      <c r="A123" s="3462" t="str">
        <f>IF(项目基本情况!D5="房地产市场价值","——",MID(A108,3,LEN(A108)-2))</f>
        <v>估价师所知悉的法定优先受偿款</v>
      </c>
      <c r="B123" s="3475"/>
      <c r="C123" s="3464"/>
      <c r="D123" s="3466">
        <f>I105</f>
        <v>0</v>
      </c>
      <c r="E123" s="3475"/>
      <c r="F123" s="3475"/>
      <c r="G123" s="3475"/>
      <c r="H123" s="3475"/>
      <c r="I123" s="3463"/>
      <c r="J123" s="2779"/>
    </row>
    <row r="124" spans="1:16" ht="12.75">
      <c r="A124" s="3476" t="s">
        <v>2556</v>
      </c>
      <c r="B124" s="3477"/>
      <c r="C124" s="3478"/>
      <c r="D124" s="3514">
        <f>H109</f>
        <v>0</v>
      </c>
      <c r="E124" s="3515"/>
      <c r="F124" s="3515"/>
      <c r="G124" s="3515"/>
      <c r="H124" s="3515"/>
      <c r="I124" s="3516"/>
      <c r="J124" s="2787"/>
    </row>
    <row r="125" spans="1:16" ht="12.75">
      <c r="A125" s="3449" t="str">
        <f>IF(项目基本情况!D5="房地产市场价值","——",MID(A112,3,LEN(A112)-2))</f>
        <v>房地产抵押价值</v>
      </c>
      <c r="B125" s="3450"/>
      <c r="C125" s="3450"/>
      <c r="D125" s="3466" t="e">
        <f ca="1">I110</f>
        <v>#REF!</v>
      </c>
      <c r="E125" s="3475"/>
      <c r="F125" s="3475"/>
      <c r="G125" s="3475"/>
      <c r="H125" s="3475"/>
      <c r="I125" s="3463"/>
      <c r="J125" s="2779"/>
    </row>
    <row r="126" spans="1:16" ht="12.75">
      <c r="A126" s="3442" t="s">
        <v>2556</v>
      </c>
      <c r="B126" s="3438"/>
      <c r="C126" s="3438"/>
      <c r="D126" s="3514" t="e">
        <f ca="1">I111</f>
        <v>#REF!</v>
      </c>
      <c r="E126" s="3515"/>
      <c r="F126" s="3515"/>
      <c r="G126" s="3515"/>
      <c r="H126" s="3515"/>
      <c r="I126" s="3516"/>
      <c r="J126" s="2787"/>
    </row>
    <row r="127" spans="1:16" ht="13.5" thickBot="1">
      <c r="A127" s="3449" t="str">
        <f>IF(项目基本情况!D5="房地产市场价值","——",MID(A114,3,LEN(A114)-2))</f>
        <v/>
      </c>
      <c r="B127" s="3450"/>
      <c r="C127" s="3450"/>
      <c r="D127" s="3422" t="str">
        <f>I112</f>
        <v>——</v>
      </c>
      <c r="E127" s="3423"/>
      <c r="F127" s="3423"/>
      <c r="G127" s="3423"/>
      <c r="H127" s="3423"/>
      <c r="I127" s="3424"/>
      <c r="J127" s="2779"/>
    </row>
    <row r="128" spans="1:16" ht="14.25" thickTop="1" thickBot="1">
      <c r="A128" s="3442" t="s">
        <v>2556</v>
      </c>
      <c r="B128" s="3438"/>
      <c r="C128" s="3489"/>
      <c r="D128" s="3467" t="str">
        <f>I113</f>
        <v>——</v>
      </c>
      <c r="E128" s="3467"/>
      <c r="F128" s="3467"/>
      <c r="G128" s="3467"/>
      <c r="H128" s="3467"/>
      <c r="I128" s="3467"/>
      <c r="J128" s="2787"/>
    </row>
    <row r="129" spans="1:10" ht="14.25" thickTop="1" thickBot="1">
      <c r="A129" s="3449" t="str">
        <f>IF(项目基本情况!D5="房地产市场价值","——",MID(F114,3,LEN(F114)-2))</f>
        <v/>
      </c>
      <c r="B129" s="3450"/>
      <c r="C129" s="3466"/>
      <c r="D129" s="3517" t="str">
        <f>I114</f>
        <v>——</v>
      </c>
      <c r="E129" s="3517"/>
      <c r="F129" s="3517"/>
      <c r="G129" s="3517"/>
      <c r="H129" s="3517"/>
      <c r="I129" s="3517"/>
      <c r="J129" s="2779"/>
    </row>
    <row r="130" spans="1:10" ht="14.25" thickTop="1" thickBot="1">
      <c r="A130" s="3505" t="s">
        <v>2556</v>
      </c>
      <c r="B130" s="3506"/>
      <c r="C130" s="3506"/>
      <c r="D130" s="3523">
        <f>H116</f>
        <v>0</v>
      </c>
      <c r="E130" s="3524"/>
      <c r="F130" s="3524"/>
      <c r="G130" s="3524"/>
      <c r="H130" s="3524"/>
      <c r="I130" s="3525"/>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510" t="str">
        <f>IF(B32="总价","（以上估价结果中楼面单价为总价除以建筑面积得出）","（以上估价结果中总价为楼面单价乘以建筑面积得出）")</f>
        <v>（以上估价结果中总价为楼面单价乘以建筑面积得出）</v>
      </c>
      <c r="B132" s="3510"/>
      <c r="C132" s="3510"/>
      <c r="D132" s="3510"/>
      <c r="E132" s="3510"/>
      <c r="F132" s="3510"/>
      <c r="G132" s="3510"/>
      <c r="H132" s="3510"/>
      <c r="I132" s="3510"/>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8"/>
      <c r="J138" s="2790"/>
    </row>
    <row r="139" spans="1:10" ht="21.75" customHeight="1">
      <c r="A139" s="658"/>
      <c r="B139" s="658"/>
      <c r="C139" s="658"/>
      <c r="D139" s="658"/>
      <c r="E139" s="658"/>
      <c r="F139" s="1431" t="s">
        <v>1637</v>
      </c>
      <c r="G139" s="1432"/>
      <c r="H139" s="1432"/>
      <c r="I139" s="1433" t="s">
        <v>1638</v>
      </c>
      <c r="J139" s="2791"/>
    </row>
    <row r="140" spans="1:10" ht="21.75" customHeight="1">
      <c r="A140" s="658"/>
      <c r="B140" s="1434" t="s">
        <v>1639</v>
      </c>
      <c r="C140" s="658"/>
      <c r="D140" s="658"/>
      <c r="E140" s="658"/>
      <c r="F140" s="658"/>
      <c r="G140" s="658"/>
      <c r="H140" s="658"/>
      <c r="I140" s="658"/>
      <c r="J140" s="2790"/>
    </row>
    <row r="141" spans="1:10" ht="21.75" customHeight="1">
      <c r="A141" s="658"/>
      <c r="B141" s="658"/>
      <c r="C141" s="658"/>
      <c r="D141" s="658"/>
      <c r="E141" s="658"/>
      <c r="F141" s="658"/>
      <c r="G141" s="658"/>
      <c r="H141" s="658"/>
      <c r="I141" s="658"/>
      <c r="J141" s="2790"/>
    </row>
    <row r="142" spans="1:10" ht="21.75" customHeight="1">
      <c r="A142" s="658"/>
      <c r="B142" s="1432"/>
      <c r="C142" s="1432"/>
      <c r="D142" s="1432"/>
      <c r="E142" s="1432"/>
      <c r="F142" s="1432"/>
      <c r="G142" s="1432"/>
      <c r="H142" s="1432"/>
      <c r="I142" s="1433" t="s">
        <v>1640</v>
      </c>
      <c r="J142" s="2791"/>
    </row>
    <row r="143" spans="1:10" ht="21.75" customHeight="1">
      <c r="A143" s="658"/>
      <c r="B143" s="1434" t="s">
        <v>1641</v>
      </c>
      <c r="C143" s="658"/>
      <c r="D143" s="658"/>
      <c r="E143" s="658"/>
      <c r="F143" s="658"/>
      <c r="G143" s="658"/>
      <c r="H143" s="658"/>
      <c r="I143" s="658"/>
      <c r="J143" s="2790"/>
    </row>
    <row r="144" spans="1:10" ht="21.75" customHeight="1">
      <c r="A144" s="658"/>
      <c r="B144" s="1434"/>
      <c r="C144" s="658"/>
      <c r="D144" s="658"/>
      <c r="E144" s="658"/>
      <c r="F144" s="658"/>
      <c r="G144" s="658"/>
      <c r="H144" s="658"/>
      <c r="I144" s="658"/>
      <c r="J144" s="2790"/>
    </row>
    <row r="145" spans="1:36" ht="21.75" customHeight="1">
      <c r="A145" s="658"/>
      <c r="B145" s="1432"/>
      <c r="C145" s="1432"/>
      <c r="D145" s="1432"/>
      <c r="E145" s="1432"/>
      <c r="F145" s="1432"/>
      <c r="G145" s="1432"/>
      <c r="H145" s="1432"/>
      <c r="I145" s="1433" t="s">
        <v>1640</v>
      </c>
      <c r="J145" s="2791"/>
    </row>
    <row r="146" spans="1:36" ht="21.75" customHeight="1">
      <c r="A146" s="658"/>
      <c r="B146" s="1434"/>
      <c r="C146" s="1435"/>
      <c r="D146" s="1436"/>
      <c r="E146" s="1436"/>
      <c r="F146" s="1437"/>
      <c r="G146" s="658"/>
      <c r="H146" s="658"/>
      <c r="I146" s="658"/>
      <c r="J146" s="2790"/>
    </row>
    <row r="147" spans="1:36" s="32" customFormat="1" ht="21.75" customHeight="1">
      <c r="A147" s="658"/>
      <c r="B147" s="1434"/>
      <c r="C147" s="1435"/>
      <c r="D147" s="1436"/>
      <c r="E147" s="1436"/>
      <c r="F147" s="658"/>
      <c r="G147" s="658"/>
      <c r="H147" s="658"/>
      <c r="I147" s="658"/>
      <c r="J147" s="2790"/>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790"/>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790"/>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790"/>
    </row>
    <row r="151" spans="1:36" s="658" customFormat="1" ht="21.75" customHeight="1">
      <c r="J151" s="2790"/>
    </row>
    <row r="152" spans="1:36" s="658" customFormat="1" ht="21.75" customHeight="1">
      <c r="J152" s="2790"/>
    </row>
    <row r="153" spans="1:36" s="658" customFormat="1" ht="21.75" customHeight="1">
      <c r="J153" s="2790"/>
    </row>
    <row r="154" spans="1:36" s="658" customFormat="1" ht="21.75" customHeight="1">
      <c r="J154" s="2790"/>
    </row>
    <row r="155" spans="1:36" s="658" customFormat="1" ht="21.75" customHeight="1">
      <c r="J155" s="2790"/>
    </row>
    <row r="156" spans="1:36" s="658" customFormat="1" ht="21.75" customHeight="1">
      <c r="J156" s="2790"/>
    </row>
    <row r="157" spans="1:36" s="658" customFormat="1" ht="21.75" customHeight="1">
      <c r="J157" s="2790"/>
    </row>
    <row r="158" spans="1:36" s="658" customFormat="1" ht="21.75" customHeight="1">
      <c r="J158" s="2790"/>
    </row>
    <row r="159" spans="1:36" s="658" customFormat="1" ht="21.75" customHeight="1">
      <c r="J159" s="2790"/>
    </row>
    <row r="160" spans="1:36" s="658" customFormat="1" ht="21.75" customHeight="1">
      <c r="J160" s="2790"/>
    </row>
    <row r="161" spans="10:10" s="658" customFormat="1" ht="21.75" customHeight="1">
      <c r="J161" s="2790"/>
    </row>
    <row r="162" spans="10:10" s="658" customFormat="1" ht="21.75" customHeight="1">
      <c r="J162" s="2790"/>
    </row>
    <row r="163" spans="10:10" s="658" customFormat="1" ht="21.75" customHeight="1">
      <c r="J163" s="2790"/>
    </row>
    <row r="164" spans="10:10" s="658" customFormat="1" ht="21.75" customHeight="1">
      <c r="J164" s="2790"/>
    </row>
    <row r="165" spans="10:10" s="658" customFormat="1" ht="21.75" customHeight="1">
      <c r="J165" s="2790"/>
    </row>
    <row r="166" spans="10:10" s="658" customFormat="1" ht="21.75" customHeight="1">
      <c r="J166" s="2790"/>
    </row>
    <row r="167" spans="10:10" s="658" customFormat="1" ht="21.75" customHeight="1">
      <c r="J167" s="2790"/>
    </row>
    <row r="168" spans="10:10" s="658" customFormat="1" ht="21.75" customHeight="1">
      <c r="J168" s="2790"/>
    </row>
    <row r="169" spans="10:10" s="658" customFormat="1" ht="21.75" customHeight="1">
      <c r="J169" s="2790"/>
    </row>
    <row r="170" spans="10:10" s="658" customFormat="1" ht="21.75" customHeight="1">
      <c r="J170" s="2790"/>
    </row>
    <row r="171" spans="10:10" s="658" customFormat="1" ht="21.75" customHeight="1">
      <c r="J171" s="2790"/>
    </row>
    <row r="172" spans="10:10" s="658" customFormat="1" ht="21.75" customHeight="1">
      <c r="J172" s="2790"/>
    </row>
    <row r="173" spans="10:10" s="658" customFormat="1" ht="21.75" customHeight="1">
      <c r="J173" s="2790"/>
    </row>
    <row r="174" spans="10:10" s="658" customFormat="1" ht="21.75" customHeight="1">
      <c r="J174" s="2790"/>
    </row>
    <row r="175" spans="10:10" s="658" customFormat="1" ht="21.75" customHeight="1">
      <c r="J175" s="2790"/>
    </row>
    <row r="176" spans="10:10" s="658" customFormat="1" ht="21.75" customHeight="1">
      <c r="J176" s="2790"/>
    </row>
    <row r="177" spans="10:10" s="658" customFormat="1" ht="21.75" customHeight="1">
      <c r="J177" s="2790"/>
    </row>
    <row r="178" spans="10:10" s="658" customFormat="1" ht="21.75" customHeight="1">
      <c r="J178" s="2790"/>
    </row>
    <row r="179" spans="10:10" s="658" customFormat="1" ht="21.75" customHeight="1">
      <c r="J179" s="2790"/>
    </row>
    <row r="180" spans="10:10" s="658" customFormat="1" ht="21.75" customHeight="1">
      <c r="J180" s="2790"/>
    </row>
    <row r="181" spans="10:10" s="658" customFormat="1" ht="21.75" customHeight="1">
      <c r="J181" s="2790"/>
    </row>
    <row r="182" spans="10:10" s="658" customFormat="1" ht="21.75" customHeight="1">
      <c r="J182" s="2790"/>
    </row>
    <row r="183" spans="10:10" s="658" customFormat="1" ht="21.75" customHeight="1">
      <c r="J183" s="2790"/>
    </row>
    <row r="184" spans="10:10" s="658" customFormat="1" ht="21.75" customHeight="1">
      <c r="J184" s="2790"/>
    </row>
    <row r="185" spans="10:10" s="658" customFormat="1" ht="21.75" customHeight="1">
      <c r="J185" s="2790"/>
    </row>
    <row r="186" spans="10:10" s="658" customFormat="1" ht="21.75" customHeight="1">
      <c r="J186" s="2790"/>
    </row>
    <row r="187" spans="10:10" s="658" customFormat="1" ht="21.75" customHeight="1">
      <c r="J187" s="2790"/>
    </row>
    <row r="188" spans="10:10" s="658" customFormat="1" ht="21.75" customHeight="1">
      <c r="J188" s="2790"/>
    </row>
    <row r="189" spans="10:10" s="658" customFormat="1" ht="21.75" customHeight="1">
      <c r="J189" s="2790"/>
    </row>
    <row r="190" spans="10:10" s="658" customFormat="1" ht="21.75" customHeight="1">
      <c r="J190" s="2790"/>
    </row>
    <row r="191" spans="10:10" s="658" customFormat="1" ht="21.75" customHeight="1">
      <c r="J191" s="2790"/>
    </row>
    <row r="192" spans="10:10" s="658" customFormat="1" ht="21.75" customHeight="1">
      <c r="J192" s="2790"/>
    </row>
    <row r="193" spans="10:10" s="658" customFormat="1" ht="21.75" customHeight="1">
      <c r="J193" s="2790"/>
    </row>
    <row r="194" spans="10:10" s="658" customFormat="1" ht="21.75" customHeight="1">
      <c r="J194" s="2790"/>
    </row>
    <row r="195" spans="10:10" s="658" customFormat="1" ht="21.75" customHeight="1">
      <c r="J195" s="2790"/>
    </row>
    <row r="196" spans="10:10" s="658" customFormat="1" ht="21.75" customHeight="1">
      <c r="J196" s="2790"/>
    </row>
    <row r="197" spans="10:10" s="658" customFormat="1" ht="21.75" customHeight="1">
      <c r="J197" s="2790"/>
    </row>
    <row r="198" spans="10:10" s="658" customFormat="1" ht="21.75" customHeight="1">
      <c r="J198" s="2790"/>
    </row>
    <row r="199" spans="10:10" s="658" customFormat="1" ht="21.75" customHeight="1">
      <c r="J199" s="2790"/>
    </row>
    <row r="200" spans="10:10" s="658" customFormat="1" ht="21.75" customHeight="1">
      <c r="J200" s="2790"/>
    </row>
    <row r="201" spans="10:10" s="658" customFormat="1" ht="21.75" customHeight="1">
      <c r="J201" s="2790"/>
    </row>
    <row r="202" spans="10:10" s="658" customFormat="1" ht="21.75" customHeight="1">
      <c r="J202" s="2790"/>
    </row>
    <row r="203" spans="10:10" s="658" customFormat="1" ht="21.75" customHeight="1">
      <c r="J203" s="2790"/>
    </row>
    <row r="204" spans="10:10" s="658" customFormat="1" ht="21.75" customHeight="1">
      <c r="J204" s="2790"/>
    </row>
    <row r="205" spans="10:10" s="658" customFormat="1" ht="21.75" customHeight="1">
      <c r="J205" s="2790"/>
    </row>
    <row r="206" spans="10:10" s="658" customFormat="1" ht="21.75" customHeight="1">
      <c r="J206" s="2790"/>
    </row>
    <row r="207" spans="10:10" s="658" customFormat="1" ht="21.75" customHeight="1">
      <c r="J207" s="2790"/>
    </row>
    <row r="208" spans="10:10" s="658" customFormat="1" ht="21.75" customHeight="1">
      <c r="J208" s="2790"/>
    </row>
    <row r="209" spans="10:10" s="658" customFormat="1" ht="21.75" customHeight="1">
      <c r="J209" s="2790"/>
    </row>
    <row r="210" spans="10:10" s="658" customFormat="1" ht="21.75" customHeight="1">
      <c r="J210" s="2790"/>
    </row>
    <row r="211" spans="10:10" s="658" customFormat="1" ht="21.75" customHeight="1">
      <c r="J211" s="2790"/>
    </row>
    <row r="212" spans="10:10" s="658" customFormat="1" ht="21.75" customHeight="1">
      <c r="J212" s="2790"/>
    </row>
    <row r="213" spans="10:10" s="658" customFormat="1" ht="21.75" customHeight="1">
      <c r="J213" s="2790"/>
    </row>
    <row r="214" spans="10:10" s="658" customFormat="1" ht="21.75" customHeight="1">
      <c r="J214" s="2790"/>
    </row>
    <row r="215" spans="10:10" s="658" customFormat="1" ht="21.75" customHeight="1">
      <c r="J215" s="2790"/>
    </row>
    <row r="216" spans="10:10" s="658" customFormat="1" ht="21.75" customHeight="1">
      <c r="J216" s="2790"/>
    </row>
    <row r="217" spans="10:10" s="658" customFormat="1" ht="21.75" customHeight="1">
      <c r="J217" s="2790"/>
    </row>
    <row r="218" spans="10:10" s="658" customFormat="1" ht="21.75" customHeight="1">
      <c r="J218" s="2790"/>
    </row>
    <row r="219" spans="10:10" s="658" customFormat="1" ht="21.75" customHeight="1">
      <c r="J219" s="2790"/>
    </row>
    <row r="220" spans="10:10" s="658" customFormat="1" ht="21.75" customHeight="1">
      <c r="J220" s="2790"/>
    </row>
    <row r="221" spans="10:10" s="658" customFormat="1" ht="21.75" customHeight="1">
      <c r="J221" s="2790"/>
    </row>
    <row r="222" spans="10:10" s="658" customFormat="1" ht="21.75" customHeight="1">
      <c r="J222" s="2790"/>
    </row>
    <row r="223" spans="10:10" s="658" customFormat="1" ht="21.75" customHeight="1">
      <c r="J223" s="2790"/>
    </row>
    <row r="224" spans="10:10" s="658" customFormat="1" ht="21.75" customHeight="1">
      <c r="J224" s="2790"/>
    </row>
    <row r="225" spans="10:10" s="658" customFormat="1" ht="21.75" customHeight="1">
      <c r="J225" s="2790"/>
    </row>
    <row r="226" spans="10:10" s="658" customFormat="1" ht="21.75" customHeight="1">
      <c r="J226" s="2790"/>
    </row>
    <row r="227" spans="10:10" s="658" customFormat="1" ht="21.75" customHeight="1">
      <c r="J227" s="2790"/>
    </row>
    <row r="228" spans="10:10" s="658" customFormat="1" ht="21.75" customHeight="1">
      <c r="J228" s="2790"/>
    </row>
    <row r="229" spans="10:10" s="658" customFormat="1" ht="21.75" customHeight="1">
      <c r="J229" s="2790"/>
    </row>
    <row r="230" spans="10:10" s="658" customFormat="1" ht="21.75" customHeight="1">
      <c r="J230" s="2790"/>
    </row>
    <row r="231" spans="10:10" s="658" customFormat="1" ht="21.75" customHeight="1">
      <c r="J231" s="2790"/>
    </row>
    <row r="232" spans="10:10" s="658" customFormat="1" ht="21.75" customHeight="1">
      <c r="J232" s="2790"/>
    </row>
    <row r="233" spans="10:10" s="658" customFormat="1" ht="21.75" customHeight="1">
      <c r="J233" s="2790"/>
    </row>
    <row r="234" spans="10:10" s="658" customFormat="1" ht="21.75" customHeight="1">
      <c r="J234" s="2790"/>
    </row>
    <row r="235" spans="10:10" s="658" customFormat="1" ht="21.75" customHeight="1">
      <c r="J235" s="2790"/>
    </row>
    <row r="236" spans="10:10" s="658" customFormat="1" ht="21.75" customHeight="1">
      <c r="J236" s="2790"/>
    </row>
    <row r="237" spans="10:10" s="658" customFormat="1" ht="21.75" customHeight="1">
      <c r="J237" s="2790"/>
    </row>
    <row r="238" spans="10:10" s="658" customFormat="1" ht="21.75" customHeight="1">
      <c r="J238" s="2790"/>
    </row>
    <row r="239" spans="10:10" s="658" customFormat="1" ht="21.75" customHeight="1">
      <c r="J239" s="2790"/>
    </row>
    <row r="240" spans="10:10" s="658" customFormat="1" ht="21.75" customHeight="1">
      <c r="J240" s="2790"/>
    </row>
    <row r="241" spans="10:10" s="658" customFormat="1" ht="21.75" customHeight="1">
      <c r="J241" s="2790"/>
    </row>
    <row r="242" spans="10:10" s="658" customFormat="1" ht="21.75" customHeight="1">
      <c r="J242" s="2790"/>
    </row>
    <row r="243" spans="10:10" s="658" customFormat="1" ht="21.75" customHeight="1">
      <c r="J243" s="2790"/>
    </row>
    <row r="244" spans="10:10" s="658" customFormat="1" ht="21.75" customHeight="1">
      <c r="J244" s="2790"/>
    </row>
    <row r="245" spans="10:10" s="658" customFormat="1" ht="21.75" customHeight="1">
      <c r="J245" s="2790"/>
    </row>
    <row r="246" spans="10:10" s="658" customFormat="1" ht="21.75" customHeight="1">
      <c r="J246" s="2790"/>
    </row>
    <row r="247" spans="10:10" s="658" customFormat="1" ht="21.75" customHeight="1">
      <c r="J247" s="2790"/>
    </row>
    <row r="248" spans="10:10" s="658" customFormat="1" ht="21.75" customHeight="1">
      <c r="J248" s="2790"/>
    </row>
    <row r="249" spans="10:10" s="658" customFormat="1" ht="21.75" customHeight="1">
      <c r="J249" s="2790"/>
    </row>
    <row r="250" spans="10:10" s="658" customFormat="1" ht="21.75" customHeight="1">
      <c r="J250" s="2790"/>
    </row>
    <row r="251" spans="10:10" s="658" customFormat="1" ht="21.75" customHeight="1">
      <c r="J251" s="2790"/>
    </row>
    <row r="252" spans="10:10" s="658" customFormat="1" ht="21.75" customHeight="1">
      <c r="J252" s="2790"/>
    </row>
    <row r="253" spans="10:10" s="658" customFormat="1" ht="21.75" customHeight="1">
      <c r="J253" s="2790"/>
    </row>
    <row r="254" spans="10:10" s="658" customFormat="1" ht="21.75" customHeight="1">
      <c r="J254" s="2790"/>
    </row>
    <row r="255" spans="10:10" s="658" customFormat="1" ht="21.75" customHeight="1">
      <c r="J255" s="2790"/>
    </row>
    <row r="256" spans="10:10" s="658" customFormat="1" ht="21.75" customHeight="1">
      <c r="J256" s="2790"/>
    </row>
    <row r="257" spans="10:10" s="658" customFormat="1" ht="21.75" customHeight="1">
      <c r="J257" s="2790"/>
    </row>
    <row r="258" spans="10:10" s="658" customFormat="1" ht="21.75" customHeight="1">
      <c r="J258" s="2790"/>
    </row>
    <row r="259" spans="10:10" s="658" customFormat="1" ht="21.75" customHeight="1">
      <c r="J259" s="2790"/>
    </row>
    <row r="260" spans="10:10" s="658" customFormat="1" ht="21.75" customHeight="1">
      <c r="J260" s="2790"/>
    </row>
    <row r="261" spans="10:10" s="658" customFormat="1" ht="21.75" customHeight="1">
      <c r="J261" s="2790"/>
    </row>
    <row r="262" spans="10:10" s="658" customFormat="1" ht="21.75" customHeight="1">
      <c r="J262" s="2790"/>
    </row>
    <row r="263" spans="10:10" s="658" customFormat="1" ht="21.75" customHeight="1">
      <c r="J263" s="2790"/>
    </row>
    <row r="264" spans="10:10" s="658" customFormat="1" ht="21.75" customHeight="1">
      <c r="J264" s="2790"/>
    </row>
    <row r="265" spans="10:10" s="658" customFormat="1" ht="21.75" customHeight="1">
      <c r="J265" s="2790"/>
    </row>
    <row r="266" spans="10:10" s="658" customFormat="1" ht="21.75" customHeight="1">
      <c r="J266" s="2790"/>
    </row>
    <row r="267" spans="10:10" s="658" customFormat="1" ht="21.75" customHeight="1">
      <c r="J267" s="2790"/>
    </row>
    <row r="268" spans="10:10" s="658" customFormat="1" ht="21.75" customHeight="1">
      <c r="J268" s="2790"/>
    </row>
    <row r="269" spans="10:10" s="658" customFormat="1" ht="21.75" customHeight="1">
      <c r="J269" s="2790"/>
    </row>
    <row r="270" spans="10:10" s="658" customFormat="1" ht="21.75" customHeight="1">
      <c r="J270" s="2790"/>
    </row>
    <row r="271" spans="10:10" s="658" customFormat="1" ht="21.75" customHeight="1">
      <c r="J271" s="2790"/>
    </row>
    <row r="272" spans="10:10" s="658" customFormat="1" ht="21.75" customHeight="1">
      <c r="J272" s="2790"/>
    </row>
    <row r="273" spans="10:10" s="658" customFormat="1" ht="21.75" customHeight="1">
      <c r="J273" s="2790"/>
    </row>
    <row r="274" spans="10:10" s="658" customFormat="1" ht="21.75" customHeight="1">
      <c r="J274" s="2790"/>
    </row>
    <row r="275" spans="10:10" s="658" customFormat="1" ht="21.75" customHeight="1">
      <c r="J275" s="2790"/>
    </row>
    <row r="276" spans="10:10" s="658" customFormat="1" ht="21.75" customHeight="1">
      <c r="J276" s="2790"/>
    </row>
    <row r="277" spans="10:10" s="658" customFormat="1" ht="21.75" customHeight="1">
      <c r="J277" s="2790"/>
    </row>
    <row r="278" spans="10:10" s="658" customFormat="1" ht="21.75" customHeight="1">
      <c r="J278" s="2790"/>
    </row>
    <row r="279" spans="10:10" s="658" customFormat="1" ht="21.75" customHeight="1">
      <c r="J279" s="2790"/>
    </row>
    <row r="280" spans="10:10" s="658" customFormat="1" ht="21.75" customHeight="1">
      <c r="J280" s="2790"/>
    </row>
    <row r="281" spans="10:10" s="658" customFormat="1" ht="21.75" customHeight="1">
      <c r="J281" s="2790"/>
    </row>
    <row r="282" spans="10:10" s="658" customFormat="1" ht="21.75" customHeight="1">
      <c r="J282" s="2790"/>
    </row>
    <row r="283" spans="10:10" s="658" customFormat="1" ht="21.75" customHeight="1">
      <c r="J283" s="2790"/>
    </row>
    <row r="284" spans="10:10" s="658" customFormat="1" ht="21.75" customHeight="1">
      <c r="J284" s="2790"/>
    </row>
    <row r="285" spans="10:10" s="658" customFormat="1" ht="21.75" customHeight="1">
      <c r="J285" s="2790"/>
    </row>
    <row r="286" spans="10:10" s="658" customFormat="1" ht="21.75" customHeight="1">
      <c r="J286" s="2790"/>
    </row>
    <row r="287" spans="10:10" s="658" customFormat="1" ht="21.75" customHeight="1">
      <c r="J287" s="2790"/>
    </row>
    <row r="288" spans="10:10" s="658" customFormat="1" ht="21.75" customHeight="1">
      <c r="J288" s="2790"/>
    </row>
    <row r="289" spans="10:10" s="658" customFormat="1" ht="21.75" customHeight="1">
      <c r="J289" s="2790"/>
    </row>
    <row r="290" spans="10:10" s="658" customFormat="1" ht="21.75" customHeight="1">
      <c r="J290" s="2790"/>
    </row>
    <row r="291" spans="10:10" s="658" customFormat="1" ht="21.75" customHeight="1">
      <c r="J291" s="2790"/>
    </row>
    <row r="292" spans="10:10" s="658" customFormat="1" ht="21.75" customHeight="1">
      <c r="J292" s="2790"/>
    </row>
    <row r="293" spans="10:10" s="658" customFormat="1" ht="21.75" customHeight="1">
      <c r="J293" s="2790"/>
    </row>
    <row r="294" spans="10:10" s="658" customFormat="1" ht="21.75" customHeight="1">
      <c r="J294" s="2790"/>
    </row>
    <row r="295" spans="10:10" s="658" customFormat="1" ht="21.75" customHeight="1">
      <c r="J295" s="2790"/>
    </row>
    <row r="296" spans="10:10" s="658" customFormat="1" ht="21.75" customHeight="1">
      <c r="J296" s="2790"/>
    </row>
    <row r="297" spans="10:10" s="658" customFormat="1" ht="21.75" customHeight="1">
      <c r="J297" s="2790"/>
    </row>
    <row r="298" spans="10:10" s="658" customFormat="1" ht="21.75" customHeight="1">
      <c r="J298" s="2790"/>
    </row>
    <row r="299" spans="10:10" s="658" customFormat="1" ht="21.75" customHeight="1">
      <c r="J299" s="2790"/>
    </row>
    <row r="300" spans="10:10" s="658" customFormat="1" ht="21.75" customHeight="1">
      <c r="J300" s="2790"/>
    </row>
    <row r="301" spans="10:10" s="658" customFormat="1" ht="21.75" customHeight="1">
      <c r="J301" s="2790"/>
    </row>
    <row r="302" spans="10:10" s="658" customFormat="1" ht="21.75" customHeight="1">
      <c r="J302" s="2790"/>
    </row>
    <row r="303" spans="10:10" s="658" customFormat="1" ht="21.75" customHeight="1">
      <c r="J303" s="2790"/>
    </row>
    <row r="304" spans="10:10" s="658" customFormat="1" ht="21.75" customHeight="1">
      <c r="J304" s="2790"/>
    </row>
    <row r="305" spans="10:10" s="658" customFormat="1" ht="21.75" customHeight="1">
      <c r="J305" s="2790"/>
    </row>
    <row r="306" spans="10:10" s="658" customFormat="1" ht="21.75" customHeight="1">
      <c r="J306" s="2790"/>
    </row>
    <row r="307" spans="10:10" s="658" customFormat="1" ht="21.75" customHeight="1">
      <c r="J307" s="2790"/>
    </row>
    <row r="308" spans="10:10" s="658" customFormat="1" ht="21.75" customHeight="1">
      <c r="J308" s="2790"/>
    </row>
    <row r="309" spans="10:10" s="658" customFormat="1" ht="21.75" customHeight="1">
      <c r="J309" s="2790"/>
    </row>
    <row r="310" spans="10:10" s="658" customFormat="1" ht="21.75" customHeight="1">
      <c r="J310" s="2790"/>
    </row>
    <row r="311" spans="10:10" s="658" customFormat="1" ht="21.75" customHeight="1">
      <c r="J311" s="2790"/>
    </row>
    <row r="312" spans="10:10" s="658" customFormat="1" ht="21.75" customHeight="1">
      <c r="J312" s="2790"/>
    </row>
    <row r="313" spans="10:10" s="658" customFormat="1" ht="21.75" customHeight="1">
      <c r="J313" s="2790"/>
    </row>
    <row r="314" spans="10:10" s="658" customFormat="1" ht="21.75" customHeight="1">
      <c r="J314" s="2790"/>
    </row>
    <row r="315" spans="10:10" s="658" customFormat="1" ht="21.75" customHeight="1">
      <c r="J315" s="2790"/>
    </row>
    <row r="316" spans="10:10" s="658" customFormat="1" ht="21.75" customHeight="1">
      <c r="J316" s="2790"/>
    </row>
    <row r="317" spans="10:10" s="658" customFormat="1" ht="21.75" customHeight="1">
      <c r="J317" s="2790"/>
    </row>
    <row r="318" spans="10:10" s="658" customFormat="1" ht="21.75" customHeight="1">
      <c r="J318" s="2790"/>
    </row>
    <row r="319" spans="10:10" s="658" customFormat="1" ht="21.75" customHeight="1">
      <c r="J319" s="2790"/>
    </row>
    <row r="320" spans="10:10" s="658" customFormat="1" ht="21.75" customHeight="1">
      <c r="J320" s="2790"/>
    </row>
    <row r="321" spans="10:10" s="658" customFormat="1" ht="21.75" customHeight="1">
      <c r="J321" s="2790"/>
    </row>
    <row r="322" spans="10:10" s="658" customFormat="1" ht="21.75" customHeight="1">
      <c r="J322" s="2790"/>
    </row>
    <row r="323" spans="10:10" s="658" customFormat="1" ht="21.75" customHeight="1">
      <c r="J323" s="2790"/>
    </row>
    <row r="324" spans="10:10" s="658" customFormat="1" ht="21.75" customHeight="1">
      <c r="J324" s="2790"/>
    </row>
    <row r="325" spans="10:10" s="658" customFormat="1" ht="21.75" customHeight="1">
      <c r="J325" s="2790"/>
    </row>
    <row r="326" spans="10:10" s="658" customFormat="1" ht="21.75" customHeight="1">
      <c r="J326" s="2790"/>
    </row>
    <row r="327" spans="10:10" s="658" customFormat="1" ht="21.75" customHeight="1">
      <c r="J327" s="2790"/>
    </row>
    <row r="328" spans="10:10" s="658" customFormat="1" ht="21.75" customHeight="1">
      <c r="J328" s="2790"/>
    </row>
    <row r="329" spans="10:10" s="658" customFormat="1" ht="21.75" customHeight="1">
      <c r="J329" s="2790"/>
    </row>
    <row r="330" spans="10:10" s="658" customFormat="1" ht="21.75" customHeight="1">
      <c r="J330" s="2790"/>
    </row>
    <row r="331" spans="10:10" s="658" customFormat="1" ht="21.75" customHeight="1">
      <c r="J331" s="2790"/>
    </row>
    <row r="332" spans="10:10" s="658" customFormat="1" ht="21.75" customHeight="1">
      <c r="J332" s="2790"/>
    </row>
    <row r="333" spans="10:10" s="658" customFormat="1" ht="21.75" customHeight="1">
      <c r="J333" s="2790"/>
    </row>
    <row r="334" spans="10:10" s="658" customFormat="1" ht="21.75" customHeight="1">
      <c r="J334" s="2790"/>
    </row>
    <row r="335" spans="10:10" s="658" customFormat="1" ht="21.75" customHeight="1">
      <c r="J335" s="2790"/>
    </row>
    <row r="336" spans="10:10" s="658" customFormat="1" ht="21.75" customHeight="1">
      <c r="J336" s="2790"/>
    </row>
    <row r="337" spans="10:10" s="658" customFormat="1" ht="21.75" customHeight="1">
      <c r="J337" s="2790"/>
    </row>
    <row r="338" spans="10:10" s="658" customFormat="1" ht="21.75" customHeight="1">
      <c r="J338" s="2790"/>
    </row>
    <row r="339" spans="10:10" s="658" customFormat="1" ht="21.75" customHeight="1">
      <c r="J339" s="2790"/>
    </row>
    <row r="340" spans="10:10" s="658" customFormat="1" ht="21.75" customHeight="1">
      <c r="J340" s="2790"/>
    </row>
    <row r="341" spans="10:10" s="658" customFormat="1" ht="21.75" customHeight="1">
      <c r="J341" s="2790"/>
    </row>
    <row r="342" spans="10:10" s="658" customFormat="1" ht="21.75" customHeight="1">
      <c r="J342" s="2790"/>
    </row>
    <row r="343" spans="10:10" s="658" customFormat="1" ht="21.75" customHeight="1">
      <c r="J343" s="2790"/>
    </row>
    <row r="344" spans="10:10" s="658" customFormat="1" ht="21.75" customHeight="1">
      <c r="J344" s="2790"/>
    </row>
    <row r="345" spans="10:10" s="658" customFormat="1" ht="21.75" customHeight="1">
      <c r="J345" s="2790"/>
    </row>
    <row r="346" spans="10:10" s="658" customFormat="1" ht="21.75" customHeight="1">
      <c r="J346" s="2790"/>
    </row>
    <row r="347" spans="10:10" s="658" customFormat="1" ht="21.75" customHeight="1">
      <c r="J347" s="2790"/>
    </row>
    <row r="348" spans="10:10" s="658" customFormat="1" ht="21.75" customHeight="1">
      <c r="J348" s="2790"/>
    </row>
    <row r="349" spans="10:10" s="658" customFormat="1" ht="21.75" customHeight="1">
      <c r="J349" s="2790"/>
    </row>
    <row r="350" spans="10:10" s="658" customFormat="1" ht="21.75" customHeight="1">
      <c r="J350" s="2790"/>
    </row>
    <row r="351" spans="10:10" s="658" customFormat="1" ht="21.75" customHeight="1">
      <c r="J351" s="2790"/>
    </row>
    <row r="352" spans="10:10" s="658" customFormat="1" ht="21.75" customHeight="1">
      <c r="J352" s="2790"/>
    </row>
    <row r="353" spans="10:10" s="658" customFormat="1" ht="21.75" customHeight="1">
      <c r="J353" s="2790"/>
    </row>
    <row r="354" spans="10:10" s="658" customFormat="1" ht="21.75" customHeight="1">
      <c r="J354" s="2790"/>
    </row>
    <row r="355" spans="10:10" s="658" customFormat="1" ht="21.75" customHeight="1">
      <c r="J355" s="2790"/>
    </row>
    <row r="356" spans="10:10" s="658" customFormat="1" ht="21.75" customHeight="1">
      <c r="J356" s="2790"/>
    </row>
    <row r="357" spans="10:10" s="658" customFormat="1" ht="21.75" customHeight="1">
      <c r="J357" s="2790"/>
    </row>
    <row r="358" spans="10:10" s="658" customFormat="1" ht="21.75" customHeight="1">
      <c r="J358" s="2790"/>
    </row>
    <row r="359" spans="10:10" s="658" customFormat="1" ht="21.75" customHeight="1">
      <c r="J359" s="2790"/>
    </row>
    <row r="360" spans="10:10" s="658" customFormat="1" ht="21.75" customHeight="1">
      <c r="J360" s="2790"/>
    </row>
    <row r="361" spans="10:10" s="658" customFormat="1" ht="21.75" customHeight="1">
      <c r="J361" s="2790"/>
    </row>
    <row r="362" spans="10:10" s="658" customFormat="1" ht="21.75" customHeight="1">
      <c r="J362" s="2790"/>
    </row>
    <row r="363" spans="10:10" s="658" customFormat="1" ht="21.75" customHeight="1">
      <c r="J363" s="2790"/>
    </row>
    <row r="364" spans="10:10" s="658" customFormat="1" ht="21.75" customHeight="1">
      <c r="J364" s="2790"/>
    </row>
    <row r="365" spans="10:10" s="658" customFormat="1" ht="21.75" customHeight="1">
      <c r="J365" s="2790"/>
    </row>
    <row r="366" spans="10:10" s="658" customFormat="1" ht="21.75" customHeight="1">
      <c r="J366" s="2790"/>
    </row>
    <row r="367" spans="10:10" s="658" customFormat="1" ht="21.75" customHeight="1">
      <c r="J367" s="2790"/>
    </row>
    <row r="368" spans="10:10" s="658" customFormat="1" ht="21.75" customHeight="1">
      <c r="J368" s="2790"/>
    </row>
    <row r="369" spans="10:10" s="658" customFormat="1" ht="21.75" customHeight="1">
      <c r="J369" s="2790"/>
    </row>
    <row r="370" spans="10:10" s="658" customFormat="1" ht="21.75" customHeight="1">
      <c r="J370" s="2790"/>
    </row>
    <row r="371" spans="10:10" s="658" customFormat="1" ht="21.75" customHeight="1">
      <c r="J371" s="2790"/>
    </row>
    <row r="372" spans="10:10" s="658" customFormat="1" ht="21.75" customHeight="1">
      <c r="J372" s="2790"/>
    </row>
    <row r="373" spans="10:10" s="658" customFormat="1" ht="21.75" customHeight="1">
      <c r="J373" s="2790"/>
    </row>
    <row r="374" spans="10:10" s="658" customFormat="1" ht="21.75" customHeight="1">
      <c r="J374" s="2790"/>
    </row>
    <row r="375" spans="10:10" s="658" customFormat="1" ht="21.75" customHeight="1">
      <c r="J375" s="2790"/>
    </row>
    <row r="376" spans="10:10" s="658" customFormat="1" ht="21.75" customHeight="1">
      <c r="J376" s="2790"/>
    </row>
    <row r="377" spans="10:10" s="658" customFormat="1" ht="21.75" customHeight="1">
      <c r="J377" s="2790"/>
    </row>
    <row r="378" spans="10:10" s="658" customFormat="1" ht="21.75" customHeight="1">
      <c r="J378" s="2790"/>
    </row>
    <row r="379" spans="10:10" s="658" customFormat="1" ht="21.75" customHeight="1">
      <c r="J379" s="2790"/>
    </row>
    <row r="380" spans="10:10" s="658" customFormat="1" ht="21.75" customHeight="1">
      <c r="J380" s="2790"/>
    </row>
    <row r="381" spans="10:10" s="658" customFormat="1" ht="21.75" customHeight="1">
      <c r="J381" s="2790"/>
    </row>
    <row r="382" spans="10:10" s="658" customFormat="1" ht="21.75" customHeight="1">
      <c r="J382" s="2790"/>
    </row>
    <row r="383" spans="10:10" s="658" customFormat="1" ht="21.75" customHeight="1">
      <c r="J383" s="2790"/>
    </row>
    <row r="384" spans="10:10" s="658" customFormat="1" ht="21.75" customHeight="1">
      <c r="J384" s="2790"/>
    </row>
    <row r="385" spans="10:10" s="658" customFormat="1" ht="21.75" customHeight="1">
      <c r="J385" s="2790"/>
    </row>
    <row r="386" spans="10:10" s="658" customFormat="1" ht="21.75" customHeight="1">
      <c r="J386" s="2790"/>
    </row>
    <row r="387" spans="10:10" s="658" customFormat="1" ht="21.75" customHeight="1">
      <c r="J387" s="2790"/>
    </row>
    <row r="388" spans="10:10" s="658" customFormat="1" ht="21.75" customHeight="1">
      <c r="J388" s="2790"/>
    </row>
    <row r="389" spans="10:10" s="658" customFormat="1" ht="21.75" customHeight="1">
      <c r="J389" s="2790"/>
    </row>
    <row r="390" spans="10:10" s="658" customFormat="1" ht="21.75" customHeight="1">
      <c r="J390" s="2790"/>
    </row>
    <row r="391" spans="10:10" s="658" customFormat="1" ht="21.75" customHeight="1">
      <c r="J391" s="2790"/>
    </row>
    <row r="392" spans="10:10" s="658" customFormat="1" ht="21.75" customHeight="1">
      <c r="J392" s="2790"/>
    </row>
    <row r="393" spans="10:10" s="658" customFormat="1" ht="21.75" customHeight="1">
      <c r="J393" s="2790"/>
    </row>
    <row r="394" spans="10:10" s="658" customFormat="1" ht="21.75" customHeight="1">
      <c r="J394" s="2790"/>
    </row>
    <row r="395" spans="10:10" s="658" customFormat="1" ht="21.75" customHeight="1">
      <c r="J395" s="2790"/>
    </row>
    <row r="396" spans="10:10" s="658" customFormat="1" ht="21.75" customHeight="1">
      <c r="J396" s="2790"/>
    </row>
    <row r="397" spans="10:10" s="658" customFormat="1" ht="21.75" customHeight="1">
      <c r="J397" s="2790"/>
    </row>
    <row r="398" spans="10:10" s="658" customFormat="1" ht="21.75" customHeight="1">
      <c r="J398" s="2790"/>
    </row>
    <row r="399" spans="10:10" s="658" customFormat="1" ht="21.75" customHeight="1">
      <c r="J399" s="2790"/>
    </row>
    <row r="400" spans="10:10" s="658" customFormat="1" ht="21.75" customHeight="1">
      <c r="J400" s="2790"/>
    </row>
    <row r="401" spans="10:27" s="658" customFormat="1" ht="21.75" customHeight="1">
      <c r="J401" s="2790"/>
    </row>
    <row r="402" spans="10:27" s="658" customFormat="1" ht="21.75" customHeight="1">
      <c r="J402" s="2790"/>
    </row>
    <row r="403" spans="10:27" s="1235" customFormat="1" ht="21.75" customHeight="1">
      <c r="J403" s="2760"/>
      <c r="K403" s="658"/>
      <c r="L403" s="658"/>
      <c r="M403" s="658"/>
      <c r="N403" s="658"/>
      <c r="O403" s="658"/>
      <c r="P403" s="658"/>
      <c r="Q403" s="658"/>
      <c r="R403" s="658"/>
      <c r="S403" s="658"/>
      <c r="T403" s="658"/>
      <c r="U403" s="658"/>
      <c r="V403" s="658"/>
      <c r="W403" s="658"/>
      <c r="X403" s="658"/>
      <c r="Y403" s="658"/>
      <c r="Z403" s="658"/>
      <c r="AA403" s="658"/>
    </row>
    <row r="404" spans="10:27" s="1235" customFormat="1" ht="21.75" customHeight="1">
      <c r="J404" s="2760"/>
      <c r="K404" s="658"/>
      <c r="L404" s="658"/>
      <c r="M404" s="658"/>
      <c r="N404" s="658"/>
      <c r="O404" s="658"/>
      <c r="P404" s="658"/>
      <c r="Q404" s="658"/>
      <c r="R404" s="658"/>
      <c r="S404" s="658"/>
      <c r="T404" s="658"/>
      <c r="U404" s="658"/>
      <c r="V404" s="658"/>
      <c r="W404" s="658"/>
      <c r="X404" s="658"/>
      <c r="Y404" s="658"/>
      <c r="Z404" s="658"/>
      <c r="AA404" s="658"/>
    </row>
    <row r="405" spans="10:27" s="1235" customFormat="1" ht="21.75" customHeight="1">
      <c r="J405" s="2760"/>
      <c r="K405" s="658"/>
      <c r="L405" s="658"/>
      <c r="M405" s="658"/>
      <c r="N405" s="658"/>
      <c r="O405" s="658"/>
      <c r="P405" s="658"/>
      <c r="Q405" s="658"/>
      <c r="R405" s="658"/>
      <c r="S405" s="658"/>
      <c r="T405" s="658"/>
      <c r="U405" s="658"/>
      <c r="V405" s="658"/>
      <c r="W405" s="658"/>
      <c r="X405" s="658"/>
      <c r="Y405" s="658"/>
      <c r="Z405" s="658"/>
      <c r="AA405" s="658"/>
    </row>
    <row r="406" spans="10:27" s="1235" customFormat="1" ht="21.75" customHeight="1">
      <c r="J406" s="2760"/>
      <c r="K406" s="658"/>
      <c r="L406" s="658"/>
      <c r="M406" s="658"/>
      <c r="N406" s="658"/>
      <c r="O406" s="658"/>
      <c r="P406" s="658"/>
      <c r="Q406" s="658"/>
      <c r="R406" s="658"/>
      <c r="S406" s="658"/>
      <c r="T406" s="658"/>
      <c r="U406" s="658"/>
      <c r="V406" s="658"/>
      <c r="W406" s="658"/>
      <c r="X406" s="658"/>
      <c r="Y406" s="658"/>
      <c r="Z406" s="658"/>
      <c r="AA406" s="658"/>
    </row>
    <row r="407" spans="10:27" s="1235" customFormat="1" ht="21.75" customHeight="1">
      <c r="J407" s="2760"/>
      <c r="K407" s="658"/>
      <c r="L407" s="658"/>
      <c r="M407" s="658"/>
      <c r="N407" s="658"/>
      <c r="O407" s="658"/>
      <c r="P407" s="658"/>
      <c r="Q407" s="658"/>
      <c r="R407" s="658"/>
      <c r="S407" s="658"/>
      <c r="T407" s="658"/>
      <c r="U407" s="658"/>
      <c r="V407" s="658"/>
      <c r="W407" s="658"/>
      <c r="X407" s="658"/>
      <c r="Y407" s="658"/>
      <c r="Z407" s="658"/>
      <c r="AA407" s="658"/>
    </row>
    <row r="408" spans="10:27" s="1235" customFormat="1" ht="21.75" customHeight="1">
      <c r="J408" s="2760"/>
      <c r="K408" s="658"/>
      <c r="L408" s="658"/>
      <c r="M408" s="658"/>
      <c r="N408" s="658"/>
      <c r="O408" s="658"/>
      <c r="P408" s="658"/>
      <c r="Q408" s="658"/>
      <c r="R408" s="658"/>
      <c r="S408" s="658"/>
      <c r="T408" s="658"/>
      <c r="U408" s="658"/>
      <c r="V408" s="658"/>
      <c r="W408" s="658"/>
      <c r="X408" s="658"/>
      <c r="Y408" s="658"/>
      <c r="Z408" s="658"/>
      <c r="AA408" s="658"/>
    </row>
    <row r="409" spans="10:27" s="1235" customFormat="1" ht="21.75" customHeight="1">
      <c r="J409" s="2760"/>
      <c r="K409" s="658"/>
      <c r="L409" s="658"/>
      <c r="M409" s="658"/>
      <c r="N409" s="658"/>
      <c r="O409" s="658"/>
      <c r="P409" s="658"/>
      <c r="Q409" s="658"/>
      <c r="R409" s="658"/>
      <c r="S409" s="658"/>
      <c r="T409" s="658"/>
      <c r="U409" s="658"/>
      <c r="V409" s="658"/>
      <c r="W409" s="658"/>
      <c r="X409" s="658"/>
      <c r="Y409" s="658"/>
      <c r="Z409" s="658"/>
      <c r="AA409" s="658"/>
    </row>
    <row r="410" spans="10:27" s="1235" customFormat="1" ht="21.75" customHeight="1">
      <c r="J410" s="2760"/>
      <c r="K410" s="658"/>
      <c r="L410" s="658"/>
      <c r="M410" s="658"/>
      <c r="N410" s="658"/>
      <c r="O410" s="658"/>
      <c r="P410" s="658"/>
      <c r="Q410" s="658"/>
      <c r="R410" s="658"/>
      <c r="S410" s="658"/>
      <c r="T410" s="658"/>
      <c r="U410" s="658"/>
      <c r="V410" s="658"/>
      <c r="W410" s="658"/>
      <c r="X410" s="658"/>
      <c r="Y410" s="658"/>
      <c r="Z410" s="658"/>
      <c r="AA410" s="658"/>
    </row>
    <row r="411" spans="10:27" s="1235" customFormat="1" ht="21.75" customHeight="1">
      <c r="J411" s="2760"/>
      <c r="K411" s="658"/>
      <c r="L411" s="658"/>
      <c r="M411" s="658"/>
      <c r="N411" s="658"/>
      <c r="O411" s="658"/>
      <c r="P411" s="658"/>
      <c r="Q411" s="658"/>
      <c r="R411" s="658"/>
      <c r="S411" s="658"/>
      <c r="T411" s="658"/>
      <c r="U411" s="658"/>
      <c r="V411" s="658"/>
      <c r="W411" s="658"/>
      <c r="X411" s="658"/>
      <c r="Y411" s="658"/>
      <c r="Z411" s="658"/>
      <c r="AA411" s="658"/>
    </row>
    <row r="412" spans="10:27" s="1235" customFormat="1" ht="21.75" customHeight="1">
      <c r="J412" s="2760"/>
      <c r="K412" s="658"/>
      <c r="L412" s="658"/>
      <c r="M412" s="658"/>
      <c r="N412" s="658"/>
      <c r="O412" s="658"/>
      <c r="P412" s="658"/>
      <c r="Q412" s="658"/>
      <c r="R412" s="658"/>
      <c r="S412" s="658"/>
      <c r="T412" s="658"/>
      <c r="U412" s="658"/>
      <c r="V412" s="658"/>
      <c r="W412" s="658"/>
      <c r="X412" s="658"/>
      <c r="Y412" s="658"/>
      <c r="Z412" s="658"/>
      <c r="AA412" s="658"/>
    </row>
    <row r="413" spans="10:27" s="1235" customFormat="1" ht="21.75" customHeight="1">
      <c r="J413" s="2760"/>
      <c r="K413" s="658"/>
      <c r="L413" s="658"/>
      <c r="M413" s="658"/>
      <c r="N413" s="658"/>
      <c r="O413" s="658"/>
      <c r="P413" s="658"/>
      <c r="Q413" s="658"/>
      <c r="R413" s="658"/>
      <c r="S413" s="658"/>
      <c r="T413" s="658"/>
      <c r="U413" s="658"/>
      <c r="V413" s="658"/>
      <c r="W413" s="658"/>
      <c r="X413" s="658"/>
      <c r="Y413" s="658"/>
      <c r="Z413" s="658"/>
      <c r="AA413" s="658"/>
    </row>
    <row r="414" spans="10:27" s="1235" customFormat="1" ht="21.75" customHeight="1">
      <c r="J414" s="2760"/>
      <c r="K414" s="658"/>
      <c r="L414" s="658"/>
      <c r="M414" s="658"/>
      <c r="N414" s="658"/>
      <c r="O414" s="658"/>
      <c r="P414" s="658"/>
      <c r="Q414" s="658"/>
      <c r="R414" s="658"/>
      <c r="S414" s="658"/>
      <c r="T414" s="658"/>
      <c r="U414" s="658"/>
      <c r="V414" s="658"/>
      <c r="W414" s="658"/>
      <c r="X414" s="658"/>
      <c r="Y414" s="658"/>
      <c r="Z414" s="658"/>
      <c r="AA414" s="658"/>
    </row>
    <row r="415" spans="10:27" s="1235" customFormat="1" ht="21.75" customHeight="1">
      <c r="J415" s="2760"/>
      <c r="K415" s="658"/>
      <c r="L415" s="658"/>
      <c r="M415" s="658"/>
      <c r="N415" s="658"/>
      <c r="O415" s="658"/>
      <c r="P415" s="658"/>
      <c r="Q415" s="658"/>
      <c r="R415" s="658"/>
      <c r="S415" s="658"/>
      <c r="T415" s="658"/>
      <c r="U415" s="658"/>
      <c r="V415" s="658"/>
      <c r="W415" s="658"/>
      <c r="X415" s="658"/>
      <c r="Y415" s="658"/>
      <c r="Z415" s="658"/>
      <c r="AA415" s="658"/>
    </row>
    <row r="416" spans="10:27" s="1235" customFormat="1" ht="21.75" customHeight="1">
      <c r="J416" s="2760"/>
      <c r="K416" s="658"/>
      <c r="L416" s="658"/>
      <c r="M416" s="658"/>
      <c r="N416" s="658"/>
      <c r="O416" s="658"/>
      <c r="P416" s="658"/>
      <c r="Q416" s="658"/>
      <c r="R416" s="658"/>
      <c r="S416" s="658"/>
      <c r="T416" s="658"/>
      <c r="U416" s="658"/>
      <c r="V416" s="658"/>
      <c r="W416" s="658"/>
      <c r="X416" s="658"/>
      <c r="Y416" s="658"/>
      <c r="Z416" s="658"/>
      <c r="AA416" s="658"/>
    </row>
    <row r="417" spans="10:27" s="1235" customFormat="1" ht="21.75" customHeight="1">
      <c r="J417" s="2760"/>
      <c r="K417" s="658"/>
      <c r="L417" s="658"/>
      <c r="M417" s="658"/>
      <c r="N417" s="658"/>
      <c r="O417" s="658"/>
      <c r="P417" s="658"/>
      <c r="Q417" s="658"/>
      <c r="R417" s="658"/>
      <c r="S417" s="658"/>
      <c r="T417" s="658"/>
      <c r="U417" s="658"/>
      <c r="V417" s="658"/>
      <c r="W417" s="658"/>
      <c r="X417" s="658"/>
      <c r="Y417" s="658"/>
      <c r="Z417" s="658"/>
      <c r="AA417" s="658"/>
    </row>
    <row r="418" spans="10:27" s="1235" customFormat="1" ht="21.75" customHeight="1">
      <c r="J418" s="2760"/>
      <c r="K418" s="658"/>
      <c r="L418" s="658"/>
      <c r="M418" s="658"/>
      <c r="N418" s="658"/>
      <c r="O418" s="658"/>
      <c r="P418" s="658"/>
      <c r="Q418" s="658"/>
      <c r="R418" s="658"/>
      <c r="S418" s="658"/>
      <c r="T418" s="658"/>
      <c r="U418" s="658"/>
      <c r="V418" s="658"/>
      <c r="W418" s="658"/>
      <c r="X418" s="658"/>
      <c r="Y418" s="658"/>
      <c r="Z418" s="658"/>
      <c r="AA418" s="658"/>
    </row>
    <row r="419" spans="10:27" s="1235" customFormat="1" ht="21.75" customHeight="1">
      <c r="J419" s="2760"/>
      <c r="K419" s="658"/>
      <c r="L419" s="658"/>
      <c r="M419" s="658"/>
      <c r="N419" s="658"/>
      <c r="O419" s="658"/>
      <c r="P419" s="658"/>
      <c r="Q419" s="658"/>
      <c r="R419" s="658"/>
      <c r="S419" s="658"/>
      <c r="T419" s="658"/>
      <c r="U419" s="658"/>
      <c r="V419" s="658"/>
      <c r="W419" s="658"/>
      <c r="X419" s="658"/>
      <c r="Y419" s="658"/>
      <c r="Z419" s="658"/>
      <c r="AA419" s="658"/>
    </row>
    <row r="420" spans="10:27" s="1235" customFormat="1" ht="21.75" customHeight="1">
      <c r="J420" s="2760"/>
      <c r="K420" s="658"/>
      <c r="L420" s="658"/>
      <c r="M420" s="658"/>
      <c r="N420" s="658"/>
      <c r="O420" s="658"/>
      <c r="P420" s="658"/>
      <c r="Q420" s="658"/>
      <c r="R420" s="658"/>
      <c r="S420" s="658"/>
      <c r="T420" s="658"/>
      <c r="U420" s="658"/>
      <c r="V420" s="658"/>
      <c r="W420" s="658"/>
      <c r="X420" s="658"/>
      <c r="Y420" s="658"/>
      <c r="Z420" s="658"/>
      <c r="AA420" s="658"/>
    </row>
    <row r="421" spans="10:27" s="1235" customFormat="1" ht="21.75" customHeight="1">
      <c r="J421" s="2760"/>
      <c r="K421" s="658"/>
      <c r="L421" s="658"/>
      <c r="M421" s="658"/>
      <c r="N421" s="658"/>
      <c r="O421" s="658"/>
      <c r="P421" s="658"/>
      <c r="Q421" s="658"/>
      <c r="R421" s="658"/>
      <c r="S421" s="658"/>
      <c r="T421" s="658"/>
      <c r="U421" s="658"/>
      <c r="V421" s="658"/>
      <c r="W421" s="658"/>
      <c r="X421" s="658"/>
      <c r="Y421" s="658"/>
      <c r="Z421" s="658"/>
      <c r="AA421" s="658"/>
    </row>
    <row r="422" spans="10:27" s="1235" customFormat="1" ht="21.75" customHeight="1">
      <c r="J422" s="2760"/>
      <c r="K422" s="658"/>
      <c r="L422" s="658"/>
      <c r="M422" s="658"/>
      <c r="N422" s="658"/>
      <c r="O422" s="658"/>
      <c r="P422" s="658"/>
      <c r="Q422" s="658"/>
      <c r="R422" s="658"/>
      <c r="S422" s="658"/>
      <c r="T422" s="658"/>
      <c r="U422" s="658"/>
      <c r="V422" s="658"/>
      <c r="W422" s="658"/>
      <c r="X422" s="658"/>
      <c r="Y422" s="658"/>
      <c r="Z422" s="658"/>
      <c r="AA422" s="658"/>
    </row>
    <row r="423" spans="10:27" s="1235" customFormat="1" ht="21.75" customHeight="1">
      <c r="J423" s="2760"/>
      <c r="K423" s="658"/>
      <c r="L423" s="658"/>
      <c r="M423" s="658"/>
      <c r="N423" s="658"/>
      <c r="O423" s="658"/>
      <c r="P423" s="658"/>
      <c r="Q423" s="658"/>
      <c r="R423" s="658"/>
      <c r="S423" s="658"/>
      <c r="T423" s="658"/>
      <c r="U423" s="658"/>
      <c r="V423" s="658"/>
      <c r="W423" s="658"/>
      <c r="X423" s="658"/>
      <c r="Y423" s="658"/>
      <c r="Z423" s="658"/>
      <c r="AA423" s="658"/>
    </row>
    <row r="424" spans="10:27" s="1235" customFormat="1" ht="21.75" customHeight="1">
      <c r="J424" s="2760"/>
      <c r="K424" s="658"/>
      <c r="L424" s="658"/>
      <c r="M424" s="658"/>
      <c r="N424" s="658"/>
      <c r="O424" s="658"/>
      <c r="P424" s="658"/>
      <c r="Q424" s="658"/>
      <c r="R424" s="658"/>
      <c r="S424" s="658"/>
      <c r="T424" s="658"/>
      <c r="U424" s="658"/>
      <c r="V424" s="658"/>
      <c r="W424" s="658"/>
      <c r="X424" s="658"/>
      <c r="Y424" s="658"/>
      <c r="Z424" s="658"/>
      <c r="AA424" s="658"/>
    </row>
    <row r="425" spans="10:27" s="1235" customFormat="1" ht="21.75" customHeight="1">
      <c r="J425" s="2760"/>
      <c r="K425" s="658"/>
      <c r="L425" s="658"/>
      <c r="M425" s="658"/>
      <c r="N425" s="658"/>
      <c r="O425" s="658"/>
      <c r="P425" s="658"/>
      <c r="Q425" s="658"/>
      <c r="R425" s="658"/>
      <c r="S425" s="658"/>
      <c r="T425" s="658"/>
      <c r="U425" s="658"/>
      <c r="V425" s="658"/>
      <c r="W425" s="658"/>
      <c r="X425" s="658"/>
      <c r="Y425" s="658"/>
      <c r="Z425" s="658"/>
      <c r="AA425" s="658"/>
    </row>
    <row r="426" spans="10:27" s="1235" customFormat="1" ht="21.75" customHeight="1">
      <c r="J426" s="2760"/>
      <c r="K426" s="658"/>
      <c r="L426" s="658"/>
      <c r="M426" s="658"/>
      <c r="N426" s="658"/>
      <c r="O426" s="658"/>
      <c r="P426" s="658"/>
      <c r="Q426" s="658"/>
      <c r="R426" s="658"/>
      <c r="S426" s="658"/>
      <c r="T426" s="658"/>
      <c r="U426" s="658"/>
      <c r="V426" s="658"/>
      <c r="W426" s="658"/>
      <c r="X426" s="658"/>
      <c r="Y426" s="658"/>
      <c r="Z426" s="658"/>
      <c r="AA426" s="658"/>
    </row>
    <row r="427" spans="10:27" s="1235" customFormat="1" ht="21.75" customHeight="1">
      <c r="J427" s="2760"/>
      <c r="K427" s="658"/>
      <c r="L427" s="658"/>
      <c r="M427" s="658"/>
      <c r="N427" s="658"/>
      <c r="O427" s="658"/>
      <c r="P427" s="658"/>
      <c r="Q427" s="658"/>
      <c r="R427" s="658"/>
      <c r="S427" s="658"/>
      <c r="T427" s="658"/>
      <c r="U427" s="658"/>
      <c r="V427" s="658"/>
      <c r="W427" s="658"/>
      <c r="X427" s="658"/>
      <c r="Y427" s="658"/>
      <c r="Z427" s="658"/>
      <c r="AA427" s="658"/>
    </row>
    <row r="428" spans="10:27" s="1235" customFormat="1" ht="21.75" customHeight="1">
      <c r="J428" s="2760"/>
      <c r="K428" s="658"/>
      <c r="L428" s="658"/>
      <c r="M428" s="658"/>
      <c r="N428" s="658"/>
      <c r="O428" s="658"/>
      <c r="P428" s="658"/>
      <c r="Q428" s="658"/>
      <c r="R428" s="658"/>
      <c r="S428" s="658"/>
      <c r="T428" s="658"/>
      <c r="U428" s="658"/>
      <c r="V428" s="658"/>
      <c r="W428" s="658"/>
      <c r="X428" s="658"/>
      <c r="Y428" s="658"/>
      <c r="Z428" s="658"/>
      <c r="AA428" s="658"/>
    </row>
    <row r="429" spans="10:27" s="1235" customFormat="1" ht="21.75" customHeight="1">
      <c r="J429" s="2760"/>
      <c r="K429" s="658"/>
      <c r="L429" s="658"/>
      <c r="M429" s="658"/>
      <c r="N429" s="658"/>
      <c r="O429" s="658"/>
      <c r="P429" s="658"/>
      <c r="Q429" s="658"/>
      <c r="R429" s="658"/>
      <c r="S429" s="658"/>
      <c r="T429" s="658"/>
      <c r="U429" s="658"/>
      <c r="V429" s="658"/>
      <c r="W429" s="658"/>
      <c r="X429" s="658"/>
      <c r="Y429" s="658"/>
      <c r="Z429" s="658"/>
      <c r="AA429" s="658"/>
    </row>
    <row r="430" spans="10:27" s="1235" customFormat="1" ht="21.75" customHeight="1">
      <c r="J430" s="2760"/>
      <c r="K430" s="658"/>
      <c r="L430" s="658"/>
      <c r="M430" s="658"/>
      <c r="N430" s="658"/>
      <c r="O430" s="658"/>
      <c r="P430" s="658"/>
      <c r="Q430" s="658"/>
      <c r="R430" s="658"/>
      <c r="S430" s="658"/>
      <c r="T430" s="658"/>
      <c r="U430" s="658"/>
      <c r="V430" s="658"/>
      <c r="W430" s="658"/>
      <c r="X430" s="658"/>
      <c r="Y430" s="658"/>
      <c r="Z430" s="658"/>
      <c r="AA430" s="658"/>
    </row>
    <row r="431" spans="10:27" s="1235" customFormat="1" ht="21.75" customHeight="1">
      <c r="J431" s="2760"/>
      <c r="K431" s="658"/>
      <c r="L431" s="658"/>
      <c r="M431" s="658"/>
      <c r="N431" s="658"/>
      <c r="O431" s="658"/>
      <c r="P431" s="658"/>
      <c r="Q431" s="658"/>
      <c r="R431" s="658"/>
      <c r="S431" s="658"/>
      <c r="T431" s="658"/>
      <c r="U431" s="658"/>
      <c r="V431" s="658"/>
      <c r="W431" s="658"/>
      <c r="X431" s="658"/>
      <c r="Y431" s="658"/>
      <c r="Z431" s="658"/>
      <c r="AA431" s="658"/>
    </row>
    <row r="432" spans="10:27" s="1235" customFormat="1" ht="21.75" customHeight="1">
      <c r="J432" s="2760"/>
      <c r="K432" s="658"/>
      <c r="L432" s="658"/>
      <c r="M432" s="658"/>
      <c r="N432" s="658"/>
      <c r="O432" s="658"/>
      <c r="P432" s="658"/>
      <c r="Q432" s="658"/>
      <c r="R432" s="658"/>
      <c r="S432" s="658"/>
      <c r="T432" s="658"/>
      <c r="U432" s="658"/>
      <c r="V432" s="658"/>
      <c r="W432" s="658"/>
      <c r="X432" s="658"/>
      <c r="Y432" s="658"/>
      <c r="Z432" s="658"/>
      <c r="AA432" s="658"/>
    </row>
    <row r="433" spans="10:27" s="1235" customFormat="1" ht="21.75" customHeight="1">
      <c r="J433" s="2760"/>
      <c r="K433" s="658"/>
      <c r="L433" s="658"/>
      <c r="M433" s="658"/>
      <c r="N433" s="658"/>
      <c r="O433" s="658"/>
      <c r="P433" s="658"/>
      <c r="Q433" s="658"/>
      <c r="R433" s="658"/>
      <c r="S433" s="658"/>
      <c r="T433" s="658"/>
      <c r="U433" s="658"/>
      <c r="V433" s="658"/>
      <c r="W433" s="658"/>
      <c r="X433" s="658"/>
      <c r="Y433" s="658"/>
      <c r="Z433" s="658"/>
      <c r="AA433" s="658"/>
    </row>
    <row r="434" spans="10:27" s="1235" customFormat="1" ht="21.75" customHeight="1">
      <c r="J434" s="2760"/>
      <c r="K434" s="658"/>
      <c r="L434" s="658"/>
      <c r="M434" s="658"/>
      <c r="N434" s="658"/>
      <c r="O434" s="658"/>
      <c r="P434" s="658"/>
      <c r="Q434" s="658"/>
      <c r="R434" s="658"/>
      <c r="S434" s="658"/>
      <c r="T434" s="658"/>
      <c r="U434" s="658"/>
      <c r="V434" s="658"/>
      <c r="W434" s="658"/>
      <c r="X434" s="658"/>
      <c r="Y434" s="658"/>
      <c r="Z434" s="658"/>
      <c r="AA434" s="658"/>
    </row>
    <row r="435" spans="10:27" s="1235" customFormat="1" ht="21.75" customHeight="1">
      <c r="J435" s="2760"/>
      <c r="K435" s="658"/>
      <c r="L435" s="658"/>
      <c r="M435" s="658"/>
      <c r="N435" s="658"/>
      <c r="O435" s="658"/>
      <c r="P435" s="658"/>
      <c r="Q435" s="658"/>
      <c r="R435" s="658"/>
      <c r="S435" s="658"/>
      <c r="T435" s="658"/>
      <c r="U435" s="658"/>
      <c r="V435" s="658"/>
      <c r="W435" s="658"/>
      <c r="X435" s="658"/>
      <c r="Y435" s="658"/>
      <c r="Z435" s="658"/>
      <c r="AA435" s="658"/>
    </row>
    <row r="436" spans="10:27" s="1235" customFormat="1" ht="21.75" customHeight="1">
      <c r="J436" s="2760"/>
      <c r="K436" s="658"/>
      <c r="L436" s="658"/>
      <c r="M436" s="658"/>
      <c r="N436" s="658"/>
      <c r="O436" s="658"/>
      <c r="P436" s="658"/>
      <c r="Q436" s="658"/>
      <c r="R436" s="658"/>
      <c r="S436" s="658"/>
      <c r="T436" s="658"/>
      <c r="U436" s="658"/>
      <c r="V436" s="658"/>
      <c r="W436" s="658"/>
      <c r="X436" s="658"/>
      <c r="Y436" s="658"/>
      <c r="Z436" s="658"/>
      <c r="AA436" s="658"/>
    </row>
    <row r="437" spans="10:27" s="1235" customFormat="1" ht="21.75" customHeight="1">
      <c r="J437" s="2760"/>
      <c r="K437" s="658"/>
      <c r="L437" s="658"/>
      <c r="M437" s="658"/>
      <c r="N437" s="658"/>
      <c r="O437" s="658"/>
      <c r="P437" s="658"/>
      <c r="Q437" s="658"/>
      <c r="R437" s="658"/>
      <c r="S437" s="658"/>
      <c r="T437" s="658"/>
      <c r="U437" s="658"/>
      <c r="V437" s="658"/>
      <c r="W437" s="658"/>
      <c r="X437" s="658"/>
      <c r="Y437" s="658"/>
      <c r="Z437" s="658"/>
      <c r="AA437" s="658"/>
    </row>
    <row r="438" spans="10:27" s="1235" customFormat="1" ht="21.75" customHeight="1">
      <c r="J438" s="2760"/>
      <c r="K438" s="658"/>
      <c r="L438" s="658"/>
      <c r="M438" s="658"/>
      <c r="N438" s="658"/>
      <c r="O438" s="658"/>
      <c r="P438" s="658"/>
      <c r="Q438" s="658"/>
      <c r="R438" s="658"/>
      <c r="S438" s="658"/>
      <c r="T438" s="658"/>
      <c r="U438" s="658"/>
      <c r="V438" s="658"/>
      <c r="W438" s="658"/>
      <c r="X438" s="658"/>
      <c r="Y438" s="658"/>
      <c r="Z438" s="658"/>
      <c r="AA438" s="658"/>
    </row>
    <row r="439" spans="10:27" s="1235" customFormat="1" ht="21.75" customHeight="1">
      <c r="J439" s="2760"/>
      <c r="K439" s="658"/>
      <c r="L439" s="658"/>
      <c r="M439" s="658"/>
      <c r="N439" s="658"/>
      <c r="O439" s="658"/>
      <c r="P439" s="658"/>
      <c r="Q439" s="658"/>
      <c r="R439" s="658"/>
      <c r="S439" s="658"/>
      <c r="T439" s="658"/>
      <c r="U439" s="658"/>
      <c r="V439" s="658"/>
      <c r="W439" s="658"/>
      <c r="X439" s="658"/>
      <c r="Y439" s="658"/>
      <c r="Z439" s="658"/>
      <c r="AA439" s="658"/>
    </row>
    <row r="440" spans="10:27" s="1235" customFormat="1" ht="21.75" customHeight="1">
      <c r="J440" s="2760"/>
      <c r="K440" s="658"/>
      <c r="L440" s="658"/>
      <c r="M440" s="658"/>
      <c r="N440" s="658"/>
      <c r="O440" s="658"/>
      <c r="P440" s="658"/>
      <c r="Q440" s="658"/>
      <c r="R440" s="658"/>
      <c r="S440" s="658"/>
      <c r="T440" s="658"/>
      <c r="U440" s="658"/>
      <c r="V440" s="658"/>
      <c r="W440" s="658"/>
      <c r="X440" s="658"/>
      <c r="Y440" s="658"/>
      <c r="Z440" s="658"/>
      <c r="AA440" s="658"/>
    </row>
    <row r="441" spans="10:27" s="1235" customFormat="1" ht="21.75" customHeight="1">
      <c r="J441" s="2760"/>
      <c r="K441" s="658"/>
      <c r="L441" s="658"/>
      <c r="M441" s="658"/>
      <c r="N441" s="658"/>
      <c r="O441" s="658"/>
      <c r="P441" s="658"/>
      <c r="Q441" s="658"/>
      <c r="R441" s="658"/>
      <c r="S441" s="658"/>
      <c r="T441" s="658"/>
      <c r="U441" s="658"/>
      <c r="V441" s="658"/>
      <c r="W441" s="658"/>
      <c r="X441" s="658"/>
      <c r="Y441" s="658"/>
      <c r="Z441" s="658"/>
      <c r="AA441" s="658"/>
    </row>
    <row r="442" spans="10:27" s="1235" customFormat="1" ht="21.75" customHeight="1">
      <c r="J442" s="2760"/>
      <c r="K442" s="658"/>
      <c r="L442" s="658"/>
      <c r="M442" s="658"/>
      <c r="N442" s="658"/>
      <c r="O442" s="658"/>
      <c r="P442" s="658"/>
      <c r="Q442" s="658"/>
      <c r="R442" s="658"/>
      <c r="S442" s="658"/>
      <c r="T442" s="658"/>
      <c r="U442" s="658"/>
      <c r="V442" s="658"/>
      <c r="W442" s="658"/>
      <c r="X442" s="658"/>
      <c r="Y442" s="658"/>
      <c r="Z442" s="658"/>
      <c r="AA442" s="658"/>
    </row>
    <row r="443" spans="10:27" s="1235" customFormat="1" ht="21.75" customHeight="1">
      <c r="J443" s="2760"/>
      <c r="K443" s="658"/>
      <c r="L443" s="658"/>
      <c r="M443" s="658"/>
      <c r="N443" s="658"/>
      <c r="O443" s="658"/>
      <c r="P443" s="658"/>
      <c r="Q443" s="658"/>
      <c r="R443" s="658"/>
      <c r="S443" s="658"/>
      <c r="T443" s="658"/>
      <c r="U443" s="658"/>
      <c r="V443" s="658"/>
      <c r="W443" s="658"/>
      <c r="X443" s="658"/>
      <c r="Y443" s="658"/>
      <c r="Z443" s="658"/>
      <c r="AA443" s="658"/>
    </row>
    <row r="444" spans="10:27" s="1235" customFormat="1" ht="21.75" customHeight="1">
      <c r="J444" s="2760"/>
      <c r="K444" s="658"/>
      <c r="L444" s="658"/>
      <c r="M444" s="658"/>
      <c r="N444" s="658"/>
      <c r="O444" s="658"/>
      <c r="P444" s="658"/>
      <c r="Q444" s="658"/>
      <c r="R444" s="658"/>
      <c r="S444" s="658"/>
      <c r="T444" s="658"/>
      <c r="U444" s="658"/>
      <c r="V444" s="658"/>
      <c r="W444" s="658"/>
      <c r="X444" s="658"/>
      <c r="Y444" s="658"/>
      <c r="Z444" s="658"/>
      <c r="AA444" s="658"/>
    </row>
    <row r="445" spans="10:27" s="1235" customFormat="1" ht="21.75" customHeight="1">
      <c r="J445" s="2760"/>
      <c r="K445" s="658"/>
      <c r="L445" s="658"/>
      <c r="M445" s="658"/>
      <c r="N445" s="658"/>
      <c r="O445" s="658"/>
      <c r="P445" s="658"/>
      <c r="Q445" s="658"/>
      <c r="R445" s="658"/>
      <c r="S445" s="658"/>
      <c r="T445" s="658"/>
      <c r="U445" s="658"/>
      <c r="V445" s="658"/>
      <c r="W445" s="658"/>
      <c r="X445" s="658"/>
      <c r="Y445" s="658"/>
      <c r="Z445" s="658"/>
      <c r="AA445" s="658"/>
    </row>
    <row r="446" spans="10:27" s="1235" customFormat="1" ht="21.75" customHeight="1">
      <c r="J446" s="2760"/>
      <c r="K446" s="658"/>
      <c r="L446" s="658"/>
      <c r="M446" s="658"/>
      <c r="N446" s="658"/>
      <c r="O446" s="658"/>
      <c r="P446" s="658"/>
      <c r="Q446" s="658"/>
      <c r="R446" s="658"/>
      <c r="S446" s="658"/>
      <c r="T446" s="658"/>
      <c r="U446" s="658"/>
      <c r="V446" s="658"/>
      <c r="W446" s="658"/>
      <c r="X446" s="658"/>
      <c r="Y446" s="658"/>
      <c r="Z446" s="658"/>
      <c r="AA446" s="658"/>
    </row>
    <row r="447" spans="10:27" s="1235" customFormat="1" ht="21.75" customHeight="1">
      <c r="J447" s="2760"/>
      <c r="K447" s="658"/>
      <c r="L447" s="658"/>
      <c r="M447" s="658"/>
      <c r="N447" s="658"/>
      <c r="O447" s="658"/>
      <c r="P447" s="658"/>
      <c r="Q447" s="658"/>
      <c r="R447" s="658"/>
      <c r="S447" s="658"/>
      <c r="T447" s="658"/>
      <c r="U447" s="658"/>
      <c r="V447" s="658"/>
      <c r="W447" s="658"/>
      <c r="X447" s="658"/>
      <c r="Y447" s="658"/>
      <c r="Z447" s="658"/>
      <c r="AA447" s="658"/>
    </row>
    <row r="448" spans="10:27" s="1235" customFormat="1" ht="21.75" customHeight="1">
      <c r="J448" s="2760"/>
      <c r="K448" s="658"/>
      <c r="L448" s="658"/>
      <c r="M448" s="658"/>
      <c r="N448" s="658"/>
      <c r="O448" s="658"/>
      <c r="P448" s="658"/>
      <c r="Q448" s="658"/>
      <c r="R448" s="658"/>
      <c r="S448" s="658"/>
      <c r="T448" s="658"/>
      <c r="U448" s="658"/>
      <c r="V448" s="658"/>
      <c r="W448" s="658"/>
      <c r="X448" s="658"/>
      <c r="Y448" s="658"/>
      <c r="Z448" s="658"/>
      <c r="AA448" s="658"/>
    </row>
    <row r="449" spans="10:27" s="1235" customFormat="1" ht="21.75" customHeight="1">
      <c r="J449" s="2760"/>
      <c r="K449" s="658"/>
      <c r="L449" s="658"/>
      <c r="M449" s="658"/>
      <c r="N449" s="658"/>
      <c r="O449" s="658"/>
      <c r="P449" s="658"/>
      <c r="Q449" s="658"/>
      <c r="R449" s="658"/>
      <c r="S449" s="658"/>
      <c r="T449" s="658"/>
      <c r="U449" s="658"/>
      <c r="V449" s="658"/>
      <c r="W449" s="658"/>
      <c r="X449" s="658"/>
      <c r="Y449" s="658"/>
      <c r="Z449" s="658"/>
      <c r="AA449" s="658"/>
    </row>
    <row r="450" spans="10:27" s="1235" customFormat="1" ht="21.75" customHeight="1">
      <c r="J450" s="2760"/>
      <c r="K450" s="658"/>
      <c r="L450" s="658"/>
      <c r="M450" s="658"/>
      <c r="N450" s="658"/>
      <c r="O450" s="658"/>
      <c r="P450" s="658"/>
      <c r="Q450" s="658"/>
      <c r="R450" s="658"/>
      <c r="S450" s="658"/>
      <c r="T450" s="658"/>
      <c r="U450" s="658"/>
      <c r="V450" s="658"/>
      <c r="W450" s="658"/>
      <c r="X450" s="658"/>
      <c r="Y450" s="658"/>
      <c r="Z450" s="658"/>
      <c r="AA450" s="658"/>
    </row>
    <row r="451" spans="10:27" s="1235" customFormat="1" ht="21.75" customHeight="1">
      <c r="J451" s="2760"/>
      <c r="K451" s="658"/>
      <c r="L451" s="658"/>
      <c r="M451" s="658"/>
      <c r="N451" s="658"/>
      <c r="O451" s="658"/>
      <c r="P451" s="658"/>
      <c r="Q451" s="658"/>
      <c r="R451" s="658"/>
      <c r="S451" s="658"/>
      <c r="T451" s="658"/>
      <c r="U451" s="658"/>
      <c r="V451" s="658"/>
      <c r="W451" s="658"/>
      <c r="X451" s="658"/>
      <c r="Y451" s="658"/>
      <c r="Z451" s="658"/>
      <c r="AA451" s="658"/>
    </row>
    <row r="452" spans="10:27" s="1235" customFormat="1" ht="21.75" customHeight="1">
      <c r="J452" s="2760"/>
      <c r="K452" s="658"/>
      <c r="L452" s="658"/>
      <c r="M452" s="658"/>
      <c r="N452" s="658"/>
      <c r="O452" s="658"/>
      <c r="P452" s="658"/>
      <c r="Q452" s="658"/>
      <c r="R452" s="658"/>
      <c r="S452" s="658"/>
      <c r="T452" s="658"/>
      <c r="U452" s="658"/>
      <c r="V452" s="658"/>
      <c r="W452" s="658"/>
      <c r="X452" s="658"/>
      <c r="Y452" s="658"/>
      <c r="Z452" s="658"/>
      <c r="AA452" s="658"/>
    </row>
    <row r="453" spans="10:27" s="1235" customFormat="1" ht="21.75" customHeight="1">
      <c r="J453" s="2760"/>
      <c r="K453" s="658"/>
      <c r="L453" s="658"/>
      <c r="M453" s="658"/>
      <c r="N453" s="658"/>
      <c r="O453" s="658"/>
      <c r="P453" s="658"/>
      <c r="Q453" s="658"/>
      <c r="R453" s="658"/>
      <c r="S453" s="658"/>
      <c r="T453" s="658"/>
      <c r="U453" s="658"/>
      <c r="V453" s="658"/>
      <c r="W453" s="658"/>
      <c r="X453" s="658"/>
      <c r="Y453" s="658"/>
      <c r="Z453" s="658"/>
      <c r="AA453" s="658"/>
    </row>
    <row r="454" spans="10:27" s="1235" customFormat="1" ht="21.75" customHeight="1">
      <c r="J454" s="2760"/>
      <c r="K454" s="658"/>
      <c r="L454" s="658"/>
      <c r="M454" s="658"/>
      <c r="N454" s="658"/>
      <c r="O454" s="658"/>
      <c r="P454" s="658"/>
      <c r="Q454" s="658"/>
      <c r="R454" s="658"/>
      <c r="S454" s="658"/>
      <c r="T454" s="658"/>
      <c r="U454" s="658"/>
      <c r="V454" s="658"/>
      <c r="W454" s="658"/>
      <c r="X454" s="658"/>
      <c r="Y454" s="658"/>
      <c r="Z454" s="658"/>
      <c r="AA454" s="658"/>
    </row>
    <row r="455" spans="10:27" s="1235" customFormat="1" ht="21.75" customHeight="1">
      <c r="J455" s="2760"/>
      <c r="K455" s="658"/>
      <c r="L455" s="658"/>
      <c r="M455" s="658"/>
      <c r="N455" s="658"/>
      <c r="O455" s="658"/>
      <c r="P455" s="658"/>
      <c r="Q455" s="658"/>
      <c r="R455" s="658"/>
      <c r="S455" s="658"/>
      <c r="T455" s="658"/>
      <c r="U455" s="658"/>
      <c r="V455" s="658"/>
      <c r="W455" s="658"/>
      <c r="X455" s="658"/>
      <c r="Y455" s="658"/>
      <c r="Z455" s="658"/>
      <c r="AA455" s="658"/>
    </row>
    <row r="456" spans="10:27" s="1235" customFormat="1" ht="21.75" customHeight="1">
      <c r="J456" s="2760"/>
      <c r="K456" s="658"/>
      <c r="L456" s="658"/>
      <c r="M456" s="658"/>
      <c r="N456" s="658"/>
      <c r="O456" s="658"/>
      <c r="P456" s="658"/>
      <c r="Q456" s="658"/>
      <c r="R456" s="658"/>
      <c r="S456" s="658"/>
      <c r="T456" s="658"/>
      <c r="U456" s="658"/>
      <c r="V456" s="658"/>
      <c r="W456" s="658"/>
      <c r="X456" s="658"/>
      <c r="Y456" s="658"/>
      <c r="Z456" s="658"/>
      <c r="AA456" s="658"/>
    </row>
    <row r="457" spans="10:27" s="1235" customFormat="1" ht="21.75" customHeight="1">
      <c r="J457" s="2760"/>
      <c r="K457" s="658"/>
      <c r="L457" s="658"/>
      <c r="M457" s="658"/>
      <c r="N457" s="658"/>
      <c r="O457" s="658"/>
      <c r="P457" s="658"/>
      <c r="Q457" s="658"/>
      <c r="R457" s="658"/>
      <c r="S457" s="658"/>
      <c r="T457" s="658"/>
      <c r="U457" s="658"/>
      <c r="V457" s="658"/>
      <c r="W457" s="658"/>
      <c r="X457" s="658"/>
      <c r="Y457" s="658"/>
      <c r="Z457" s="658"/>
      <c r="AA457" s="658"/>
    </row>
    <row r="458" spans="10:27" s="1235" customFormat="1" ht="21.75" customHeight="1">
      <c r="J458" s="2760"/>
      <c r="K458" s="658"/>
      <c r="L458" s="658"/>
      <c r="M458" s="658"/>
      <c r="N458" s="658"/>
      <c r="O458" s="658"/>
      <c r="P458" s="658"/>
      <c r="Q458" s="658"/>
      <c r="R458" s="658"/>
      <c r="S458" s="658"/>
      <c r="T458" s="658"/>
      <c r="U458" s="658"/>
      <c r="V458" s="658"/>
      <c r="W458" s="658"/>
      <c r="X458" s="658"/>
      <c r="Y458" s="658"/>
      <c r="Z458" s="658"/>
      <c r="AA458" s="658"/>
    </row>
    <row r="459" spans="10:27" s="1235" customFormat="1" ht="21.75" customHeight="1">
      <c r="J459" s="2760"/>
      <c r="K459" s="658"/>
      <c r="L459" s="658"/>
      <c r="M459" s="658"/>
      <c r="N459" s="658"/>
      <c r="O459" s="658"/>
      <c r="P459" s="658"/>
      <c r="Q459" s="658"/>
      <c r="R459" s="658"/>
      <c r="S459" s="658"/>
      <c r="T459" s="658"/>
      <c r="U459" s="658"/>
      <c r="V459" s="658"/>
      <c r="W459" s="658"/>
      <c r="X459" s="658"/>
      <c r="Y459" s="658"/>
      <c r="Z459" s="658"/>
      <c r="AA459" s="658"/>
    </row>
    <row r="460" spans="10:27" s="1235" customFormat="1" ht="21.75" customHeight="1">
      <c r="J460" s="2760"/>
      <c r="K460" s="658"/>
      <c r="L460" s="658"/>
      <c r="M460" s="658"/>
      <c r="N460" s="658"/>
      <c r="O460" s="658"/>
      <c r="P460" s="658"/>
      <c r="Q460" s="658"/>
      <c r="R460" s="658"/>
      <c r="S460" s="658"/>
      <c r="T460" s="658"/>
      <c r="U460" s="658"/>
      <c r="V460" s="658"/>
      <c r="W460" s="658"/>
      <c r="X460" s="658"/>
      <c r="Y460" s="658"/>
      <c r="Z460" s="658"/>
      <c r="AA460" s="658"/>
    </row>
    <row r="461" spans="10:27" s="1235" customFormat="1" ht="21.75" customHeight="1">
      <c r="J461" s="2760"/>
      <c r="K461" s="658"/>
      <c r="L461" s="658"/>
      <c r="M461" s="658"/>
      <c r="N461" s="658"/>
      <c r="O461" s="658"/>
      <c r="P461" s="658"/>
      <c r="Q461" s="658"/>
      <c r="R461" s="658"/>
      <c r="S461" s="658"/>
      <c r="T461" s="658"/>
      <c r="U461" s="658"/>
      <c r="V461" s="658"/>
      <c r="W461" s="658"/>
      <c r="X461" s="658"/>
      <c r="Y461" s="658"/>
      <c r="Z461" s="658"/>
      <c r="AA461" s="658"/>
    </row>
    <row r="462" spans="10:27" s="1235" customFormat="1" ht="21.75" customHeight="1">
      <c r="J462" s="2760"/>
      <c r="K462" s="658"/>
      <c r="L462" s="658"/>
      <c r="M462" s="658"/>
      <c r="N462" s="658"/>
      <c r="O462" s="658"/>
      <c r="P462" s="658"/>
      <c r="Q462" s="658"/>
      <c r="R462" s="658"/>
      <c r="S462" s="658"/>
      <c r="T462" s="658"/>
      <c r="U462" s="658"/>
      <c r="V462" s="658"/>
      <c r="W462" s="658"/>
      <c r="X462" s="658"/>
      <c r="Y462" s="658"/>
      <c r="Z462" s="658"/>
      <c r="AA462" s="658"/>
    </row>
    <row r="463" spans="10:27" s="1235" customFormat="1" ht="21.75" customHeight="1">
      <c r="J463" s="2760"/>
      <c r="K463" s="658"/>
      <c r="L463" s="658"/>
      <c r="M463" s="658"/>
      <c r="N463" s="658"/>
      <c r="O463" s="658"/>
      <c r="P463" s="658"/>
      <c r="Q463" s="658"/>
      <c r="R463" s="658"/>
      <c r="S463" s="658"/>
      <c r="T463" s="658"/>
      <c r="U463" s="658"/>
      <c r="V463" s="658"/>
      <c r="W463" s="658"/>
      <c r="X463" s="658"/>
      <c r="Y463" s="658"/>
      <c r="Z463" s="658"/>
      <c r="AA463" s="658"/>
    </row>
    <row r="464" spans="10:27" s="1235" customFormat="1" ht="21.75" customHeight="1">
      <c r="J464" s="2760"/>
      <c r="K464" s="658"/>
      <c r="L464" s="658"/>
      <c r="M464" s="658"/>
      <c r="N464" s="658"/>
      <c r="O464" s="658"/>
      <c r="P464" s="658"/>
      <c r="Q464" s="658"/>
      <c r="R464" s="658"/>
      <c r="S464" s="658"/>
      <c r="T464" s="658"/>
      <c r="U464" s="658"/>
      <c r="V464" s="658"/>
      <c r="W464" s="658"/>
      <c r="X464" s="658"/>
      <c r="Y464" s="658"/>
      <c r="Z464" s="658"/>
      <c r="AA464" s="658"/>
    </row>
    <row r="465" spans="10:27" s="1235" customFormat="1" ht="21.75" customHeight="1">
      <c r="J465" s="2760"/>
      <c r="K465" s="658"/>
      <c r="L465" s="658"/>
      <c r="M465" s="658"/>
      <c r="N465" s="658"/>
      <c r="O465" s="658"/>
      <c r="P465" s="658"/>
      <c r="Q465" s="658"/>
      <c r="R465" s="658"/>
      <c r="S465" s="658"/>
      <c r="T465" s="658"/>
      <c r="U465" s="658"/>
      <c r="V465" s="658"/>
      <c r="W465" s="658"/>
      <c r="X465" s="658"/>
      <c r="Y465" s="658"/>
      <c r="Z465" s="658"/>
      <c r="AA465" s="658"/>
    </row>
    <row r="466" spans="10:27" s="1235" customFormat="1" ht="21.75" customHeight="1">
      <c r="J466" s="2760"/>
      <c r="K466" s="658"/>
      <c r="L466" s="658"/>
      <c r="M466" s="658"/>
      <c r="N466" s="658"/>
      <c r="O466" s="658"/>
      <c r="P466" s="658"/>
      <c r="Q466" s="658"/>
      <c r="R466" s="658"/>
      <c r="S466" s="658"/>
      <c r="T466" s="658"/>
      <c r="U466" s="658"/>
      <c r="V466" s="658"/>
      <c r="W466" s="658"/>
      <c r="X466" s="658"/>
      <c r="Y466" s="658"/>
      <c r="Z466" s="658"/>
      <c r="AA466" s="658"/>
    </row>
    <row r="467" spans="10:27" s="1235" customFormat="1" ht="21.75" customHeight="1">
      <c r="J467" s="2760"/>
      <c r="K467" s="658"/>
      <c r="L467" s="658"/>
      <c r="M467" s="658"/>
      <c r="N467" s="658"/>
      <c r="O467" s="658"/>
      <c r="P467" s="658"/>
      <c r="Q467" s="658"/>
      <c r="R467" s="658"/>
      <c r="S467" s="658"/>
      <c r="T467" s="658"/>
      <c r="U467" s="658"/>
      <c r="V467" s="658"/>
      <c r="W467" s="658"/>
      <c r="X467" s="658"/>
      <c r="Y467" s="658"/>
      <c r="Z467" s="658"/>
      <c r="AA467" s="658"/>
    </row>
    <row r="468" spans="10:27" s="1235" customFormat="1" ht="21.75" customHeight="1">
      <c r="J468" s="2760"/>
      <c r="K468" s="658"/>
      <c r="L468" s="658"/>
      <c r="M468" s="658"/>
      <c r="N468" s="658"/>
      <c r="O468" s="658"/>
      <c r="P468" s="658"/>
      <c r="Q468" s="658"/>
      <c r="R468" s="658"/>
      <c r="S468" s="658"/>
      <c r="T468" s="658"/>
      <c r="U468" s="658"/>
      <c r="V468" s="658"/>
      <c r="W468" s="658"/>
      <c r="X468" s="658"/>
      <c r="Y468" s="658"/>
      <c r="Z468" s="658"/>
      <c r="AA468" s="658"/>
    </row>
    <row r="469" spans="10:27" s="1235" customFormat="1" ht="21.75" customHeight="1">
      <c r="J469" s="2760"/>
      <c r="K469" s="658"/>
      <c r="L469" s="658"/>
      <c r="M469" s="658"/>
      <c r="N469" s="658"/>
      <c r="O469" s="658"/>
      <c r="P469" s="658"/>
      <c r="Q469" s="658"/>
      <c r="R469" s="658"/>
      <c r="S469" s="658"/>
      <c r="T469" s="658"/>
      <c r="U469" s="658"/>
      <c r="V469" s="658"/>
      <c r="W469" s="658"/>
      <c r="X469" s="658"/>
      <c r="Y469" s="658"/>
      <c r="Z469" s="658"/>
      <c r="AA469" s="658"/>
    </row>
    <row r="470" spans="10:27" s="1235" customFormat="1" ht="21.75" customHeight="1">
      <c r="J470" s="2760"/>
      <c r="K470" s="658"/>
      <c r="L470" s="658"/>
      <c r="M470" s="658"/>
      <c r="N470" s="658"/>
      <c r="O470" s="658"/>
      <c r="P470" s="658"/>
      <c r="Q470" s="658"/>
      <c r="R470" s="658"/>
      <c r="S470" s="658"/>
      <c r="T470" s="658"/>
      <c r="U470" s="658"/>
      <c r="V470" s="658"/>
      <c r="W470" s="658"/>
      <c r="X470" s="658"/>
      <c r="Y470" s="658"/>
      <c r="Z470" s="658"/>
      <c r="AA470" s="658"/>
    </row>
    <row r="471" spans="10:27" s="1235" customFormat="1" ht="21.75" customHeight="1">
      <c r="J471" s="2760"/>
      <c r="K471" s="658"/>
      <c r="L471" s="658"/>
      <c r="M471" s="658"/>
      <c r="N471" s="658"/>
      <c r="O471" s="658"/>
      <c r="P471" s="658"/>
      <c r="Q471" s="658"/>
      <c r="R471" s="658"/>
      <c r="S471" s="658"/>
      <c r="T471" s="658"/>
      <c r="U471" s="658"/>
      <c r="V471" s="658"/>
      <c r="W471" s="658"/>
      <c r="X471" s="658"/>
      <c r="Y471" s="658"/>
      <c r="Z471" s="658"/>
      <c r="AA471" s="658"/>
    </row>
    <row r="472" spans="10:27" s="1235" customFormat="1" ht="21.75" customHeight="1">
      <c r="J472" s="2760"/>
      <c r="K472" s="658"/>
      <c r="L472" s="658"/>
      <c r="M472" s="658"/>
      <c r="N472" s="658"/>
      <c r="O472" s="658"/>
      <c r="P472" s="658"/>
      <c r="Q472" s="658"/>
      <c r="R472" s="658"/>
      <c r="S472" s="658"/>
      <c r="T472" s="658"/>
      <c r="U472" s="658"/>
      <c r="V472" s="658"/>
      <c r="W472" s="658"/>
      <c r="X472" s="658"/>
      <c r="Y472" s="658"/>
      <c r="Z472" s="658"/>
      <c r="AA472" s="658"/>
    </row>
    <row r="473" spans="10:27" s="1235" customFormat="1" ht="21.75" customHeight="1">
      <c r="J473" s="2760"/>
      <c r="K473" s="658"/>
      <c r="L473" s="658"/>
      <c r="M473" s="658"/>
      <c r="N473" s="658"/>
      <c r="O473" s="658"/>
      <c r="P473" s="658"/>
      <c r="Q473" s="658"/>
      <c r="R473" s="658"/>
      <c r="S473" s="658"/>
      <c r="T473" s="658"/>
      <c r="U473" s="658"/>
      <c r="V473" s="658"/>
      <c r="W473" s="658"/>
      <c r="X473" s="658"/>
      <c r="Y473" s="658"/>
      <c r="Z473" s="658"/>
      <c r="AA473" s="658"/>
    </row>
    <row r="474" spans="10:27" s="1235" customFormat="1" ht="21.75" customHeight="1">
      <c r="J474" s="2760"/>
      <c r="K474" s="658"/>
      <c r="L474" s="658"/>
      <c r="M474" s="658"/>
      <c r="N474" s="658"/>
      <c r="O474" s="658"/>
      <c r="P474" s="658"/>
      <c r="Q474" s="658"/>
      <c r="R474" s="658"/>
      <c r="S474" s="658"/>
      <c r="T474" s="658"/>
      <c r="U474" s="658"/>
      <c r="V474" s="658"/>
      <c r="W474" s="658"/>
      <c r="X474" s="658"/>
      <c r="Y474" s="658"/>
      <c r="Z474" s="658"/>
      <c r="AA474" s="658"/>
    </row>
    <row r="475" spans="10:27" s="1235" customFormat="1" ht="21.75" customHeight="1">
      <c r="J475" s="2760"/>
      <c r="K475" s="658"/>
      <c r="L475" s="658"/>
      <c r="M475" s="658"/>
      <c r="N475" s="658"/>
      <c r="O475" s="658"/>
      <c r="P475" s="658"/>
      <c r="Q475" s="658"/>
      <c r="R475" s="658"/>
      <c r="S475" s="658"/>
      <c r="T475" s="658"/>
      <c r="U475" s="658"/>
      <c r="V475" s="658"/>
      <c r="W475" s="658"/>
      <c r="X475" s="658"/>
      <c r="Y475" s="658"/>
      <c r="Z475" s="658"/>
      <c r="AA475" s="658"/>
    </row>
    <row r="476" spans="10:27" s="1235" customFormat="1" ht="21.75" customHeight="1">
      <c r="J476" s="2760"/>
      <c r="K476" s="658"/>
      <c r="L476" s="658"/>
      <c r="M476" s="658"/>
      <c r="N476" s="658"/>
      <c r="O476" s="658"/>
      <c r="P476" s="658"/>
      <c r="Q476" s="658"/>
      <c r="R476" s="658"/>
      <c r="S476" s="658"/>
      <c r="T476" s="658"/>
      <c r="U476" s="658"/>
      <c r="V476" s="658"/>
      <c r="W476" s="658"/>
      <c r="X476" s="658"/>
      <c r="Y476" s="658"/>
      <c r="Z476" s="658"/>
      <c r="AA476" s="658"/>
    </row>
    <row r="477" spans="10:27" s="1235" customFormat="1" ht="21.75" customHeight="1">
      <c r="J477" s="2760"/>
      <c r="K477" s="658"/>
      <c r="L477" s="658"/>
      <c r="M477" s="658"/>
      <c r="N477" s="658"/>
      <c r="O477" s="658"/>
      <c r="P477" s="658"/>
      <c r="Q477" s="658"/>
      <c r="R477" s="658"/>
      <c r="S477" s="658"/>
      <c r="T477" s="658"/>
      <c r="U477" s="658"/>
      <c r="V477" s="658"/>
      <c r="W477" s="658"/>
      <c r="X477" s="658"/>
      <c r="Y477" s="658"/>
      <c r="Z477" s="658"/>
      <c r="AA477" s="658"/>
    </row>
    <row r="478" spans="10:27" s="1235" customFormat="1" ht="21.75" customHeight="1">
      <c r="J478" s="2760"/>
      <c r="K478" s="658"/>
      <c r="L478" s="658"/>
      <c r="M478" s="658"/>
      <c r="N478" s="658"/>
      <c r="O478" s="658"/>
      <c r="P478" s="658"/>
      <c r="Q478" s="658"/>
      <c r="R478" s="658"/>
      <c r="S478" s="658"/>
      <c r="T478" s="658"/>
      <c r="U478" s="658"/>
      <c r="V478" s="658"/>
      <c r="W478" s="658"/>
      <c r="X478" s="658"/>
      <c r="Y478" s="658"/>
      <c r="Z478" s="658"/>
      <c r="AA478" s="658"/>
    </row>
    <row r="479" spans="10:27" s="1235" customFormat="1" ht="21.75" customHeight="1">
      <c r="J479" s="2760"/>
      <c r="K479" s="658"/>
      <c r="L479" s="658"/>
      <c r="M479" s="658"/>
      <c r="N479" s="658"/>
      <c r="O479" s="658"/>
      <c r="P479" s="658"/>
      <c r="Q479" s="658"/>
      <c r="R479" s="658"/>
      <c r="S479" s="658"/>
      <c r="T479" s="658"/>
      <c r="U479" s="658"/>
      <c r="V479" s="658"/>
      <c r="W479" s="658"/>
      <c r="X479" s="658"/>
      <c r="Y479" s="658"/>
      <c r="Z479" s="658"/>
      <c r="AA479" s="658"/>
    </row>
    <row r="480" spans="10:27" s="1235" customFormat="1" ht="21.75" customHeight="1">
      <c r="J480" s="2760"/>
      <c r="K480" s="658"/>
      <c r="L480" s="658"/>
      <c r="M480" s="658"/>
      <c r="N480" s="658"/>
      <c r="O480" s="658"/>
      <c r="P480" s="658"/>
      <c r="Q480" s="658"/>
      <c r="R480" s="658"/>
      <c r="S480" s="658"/>
      <c r="T480" s="658"/>
      <c r="U480" s="658"/>
      <c r="V480" s="658"/>
      <c r="W480" s="658"/>
      <c r="X480" s="658"/>
      <c r="Y480" s="658"/>
      <c r="Z480" s="658"/>
      <c r="AA480" s="658"/>
    </row>
    <row r="481" spans="10:27" s="1235" customFormat="1" ht="21.75" customHeight="1">
      <c r="J481" s="2760"/>
      <c r="K481" s="658"/>
      <c r="L481" s="658"/>
      <c r="M481" s="658"/>
      <c r="N481" s="658"/>
      <c r="O481" s="658"/>
      <c r="P481" s="658"/>
      <c r="Q481" s="658"/>
      <c r="R481" s="658"/>
      <c r="S481" s="658"/>
      <c r="T481" s="658"/>
      <c r="U481" s="658"/>
      <c r="V481" s="658"/>
      <c r="W481" s="658"/>
      <c r="X481" s="658"/>
      <c r="Y481" s="658"/>
      <c r="Z481" s="658"/>
      <c r="AA481" s="658"/>
    </row>
    <row r="482" spans="10:27" s="1235" customFormat="1" ht="21.75" customHeight="1">
      <c r="J482" s="2760"/>
      <c r="K482" s="658"/>
      <c r="L482" s="658"/>
      <c r="M482" s="658"/>
      <c r="N482" s="658"/>
      <c r="O482" s="658"/>
      <c r="P482" s="658"/>
      <c r="Q482" s="658"/>
      <c r="R482" s="658"/>
      <c r="S482" s="658"/>
      <c r="T482" s="658"/>
      <c r="U482" s="658"/>
      <c r="V482" s="658"/>
      <c r="W482" s="658"/>
      <c r="X482" s="658"/>
      <c r="Y482" s="658"/>
      <c r="Z482" s="658"/>
      <c r="AA482" s="658"/>
    </row>
    <row r="483" spans="10:27" s="1235" customFormat="1" ht="21.75" customHeight="1">
      <c r="J483" s="2760"/>
      <c r="K483" s="658"/>
      <c r="L483" s="658"/>
      <c r="M483" s="658"/>
      <c r="N483" s="658"/>
      <c r="O483" s="658"/>
      <c r="P483" s="658"/>
      <c r="Q483" s="658"/>
      <c r="R483" s="658"/>
      <c r="S483" s="658"/>
      <c r="T483" s="658"/>
      <c r="U483" s="658"/>
      <c r="V483" s="658"/>
      <c r="W483" s="658"/>
      <c r="X483" s="658"/>
      <c r="Y483" s="658"/>
      <c r="Z483" s="658"/>
      <c r="AA483" s="658"/>
    </row>
    <row r="484" spans="10:27" s="1235" customFormat="1" ht="21.75" customHeight="1">
      <c r="J484" s="2760"/>
      <c r="K484" s="658"/>
      <c r="L484" s="658"/>
      <c r="M484" s="658"/>
      <c r="N484" s="658"/>
      <c r="O484" s="658"/>
      <c r="P484" s="658"/>
      <c r="Q484" s="658"/>
      <c r="R484" s="658"/>
      <c r="S484" s="658"/>
      <c r="T484" s="658"/>
      <c r="U484" s="658"/>
      <c r="V484" s="658"/>
      <c r="W484" s="658"/>
      <c r="X484" s="658"/>
      <c r="Y484" s="658"/>
      <c r="Z484" s="658"/>
      <c r="AA484" s="658"/>
    </row>
    <row r="485" spans="10:27" s="1235" customFormat="1" ht="21.75" customHeight="1">
      <c r="J485" s="2760"/>
      <c r="K485" s="658"/>
      <c r="L485" s="658"/>
      <c r="M485" s="658"/>
      <c r="N485" s="658"/>
      <c r="O485" s="658"/>
      <c r="P485" s="658"/>
      <c r="Q485" s="658"/>
      <c r="R485" s="658"/>
      <c r="S485" s="658"/>
      <c r="T485" s="658"/>
      <c r="U485" s="658"/>
      <c r="V485" s="658"/>
      <c r="W485" s="658"/>
      <c r="X485" s="658"/>
      <c r="Y485" s="658"/>
      <c r="Z485" s="658"/>
      <c r="AA485" s="658"/>
    </row>
    <row r="486" spans="10:27" s="1235" customFormat="1" ht="21.75" customHeight="1">
      <c r="J486" s="2760"/>
      <c r="K486" s="658"/>
      <c r="L486" s="658"/>
      <c r="M486" s="658"/>
      <c r="N486" s="658"/>
      <c r="O486" s="658"/>
      <c r="P486" s="658"/>
      <c r="Q486" s="658"/>
      <c r="R486" s="658"/>
      <c r="S486" s="658"/>
      <c r="T486" s="658"/>
      <c r="U486" s="658"/>
      <c r="V486" s="658"/>
      <c r="W486" s="658"/>
      <c r="X486" s="658"/>
      <c r="Y486" s="658"/>
      <c r="Z486" s="658"/>
      <c r="AA486" s="658"/>
    </row>
    <row r="487" spans="10:27" s="1235" customFormat="1" ht="21.75" customHeight="1">
      <c r="J487" s="2760"/>
      <c r="K487" s="658"/>
      <c r="L487" s="658"/>
      <c r="M487" s="658"/>
      <c r="N487" s="658"/>
      <c r="O487" s="658"/>
      <c r="P487" s="658"/>
      <c r="Q487" s="658"/>
      <c r="R487" s="658"/>
      <c r="S487" s="658"/>
      <c r="T487" s="658"/>
      <c r="U487" s="658"/>
      <c r="V487" s="658"/>
      <c r="W487" s="658"/>
      <c r="X487" s="658"/>
      <c r="Y487" s="658"/>
      <c r="Z487" s="658"/>
      <c r="AA487" s="658"/>
    </row>
    <row r="488" spans="10:27" s="1235" customFormat="1" ht="21.75" customHeight="1">
      <c r="J488" s="2760"/>
      <c r="K488" s="658"/>
      <c r="L488" s="658"/>
      <c r="M488" s="658"/>
      <c r="N488" s="658"/>
      <c r="O488" s="658"/>
      <c r="P488" s="658"/>
      <c r="Q488" s="658"/>
      <c r="R488" s="658"/>
      <c r="S488" s="658"/>
      <c r="T488" s="658"/>
      <c r="U488" s="658"/>
      <c r="V488" s="658"/>
      <c r="W488" s="658"/>
      <c r="X488" s="658"/>
      <c r="Y488" s="658"/>
      <c r="Z488" s="658"/>
      <c r="AA488" s="658"/>
    </row>
    <row r="489" spans="10:27" s="1235" customFormat="1" ht="21.75" customHeight="1">
      <c r="J489" s="2760"/>
      <c r="K489" s="658"/>
      <c r="L489" s="658"/>
      <c r="M489" s="658"/>
      <c r="N489" s="658"/>
      <c r="O489" s="658"/>
      <c r="P489" s="658"/>
      <c r="Q489" s="658"/>
      <c r="R489" s="658"/>
      <c r="S489" s="658"/>
      <c r="T489" s="658"/>
      <c r="U489" s="658"/>
      <c r="V489" s="658"/>
      <c r="W489" s="658"/>
      <c r="X489" s="658"/>
      <c r="Y489" s="658"/>
      <c r="Z489" s="658"/>
      <c r="AA489" s="658"/>
    </row>
    <row r="490" spans="10:27" s="1235" customFormat="1" ht="21.75" customHeight="1">
      <c r="J490" s="2760"/>
      <c r="K490" s="658"/>
      <c r="L490" s="658"/>
      <c r="M490" s="658"/>
      <c r="N490" s="658"/>
      <c r="O490" s="658"/>
      <c r="P490" s="658"/>
      <c r="Q490" s="658"/>
      <c r="R490" s="658"/>
      <c r="S490" s="658"/>
      <c r="T490" s="658"/>
      <c r="U490" s="658"/>
      <c r="V490" s="658"/>
      <c r="W490" s="658"/>
      <c r="X490" s="658"/>
      <c r="Y490" s="658"/>
      <c r="Z490" s="658"/>
      <c r="AA490" s="658"/>
    </row>
    <row r="491" spans="10:27" s="1235" customFormat="1" ht="21.75" customHeight="1">
      <c r="J491" s="2760"/>
      <c r="K491" s="658"/>
      <c r="L491" s="658"/>
      <c r="M491" s="658"/>
      <c r="N491" s="658"/>
      <c r="O491" s="658"/>
      <c r="P491" s="658"/>
      <c r="Q491" s="658"/>
      <c r="R491" s="658"/>
      <c r="S491" s="658"/>
      <c r="T491" s="658"/>
      <c r="U491" s="658"/>
      <c r="V491" s="658"/>
      <c r="W491" s="658"/>
      <c r="X491" s="658"/>
      <c r="Y491" s="658"/>
      <c r="Z491" s="658"/>
      <c r="AA491" s="658"/>
    </row>
    <row r="492" spans="10:27" s="1235" customFormat="1" ht="21.75" customHeight="1">
      <c r="J492" s="2760"/>
      <c r="K492" s="658"/>
      <c r="L492" s="658"/>
      <c r="M492" s="658"/>
      <c r="N492" s="658"/>
      <c r="O492" s="658"/>
      <c r="P492" s="658"/>
      <c r="Q492" s="658"/>
      <c r="R492" s="658"/>
      <c r="S492" s="658"/>
      <c r="T492" s="658"/>
      <c r="U492" s="658"/>
      <c r="V492" s="658"/>
      <c r="W492" s="658"/>
      <c r="X492" s="658"/>
      <c r="Y492" s="658"/>
      <c r="Z492" s="658"/>
      <c r="AA492" s="658"/>
    </row>
    <row r="493" spans="10:27" s="1235" customFormat="1" ht="21.75" customHeight="1">
      <c r="J493" s="2760"/>
      <c r="K493" s="658"/>
      <c r="L493" s="658"/>
      <c r="M493" s="658"/>
      <c r="N493" s="658"/>
      <c r="O493" s="658"/>
      <c r="P493" s="658"/>
      <c r="Q493" s="658"/>
      <c r="R493" s="658"/>
      <c r="S493" s="658"/>
      <c r="T493" s="658"/>
      <c r="U493" s="658"/>
      <c r="V493" s="658"/>
      <c r="W493" s="658"/>
      <c r="X493" s="658"/>
      <c r="Y493" s="658"/>
      <c r="Z493" s="658"/>
      <c r="AA493" s="658"/>
    </row>
    <row r="494" spans="10:27" s="1235" customFormat="1" ht="21.75" customHeight="1">
      <c r="J494" s="2760"/>
      <c r="K494" s="658"/>
      <c r="L494" s="658"/>
      <c r="M494" s="658"/>
      <c r="N494" s="658"/>
      <c r="O494" s="658"/>
      <c r="P494" s="658"/>
      <c r="Q494" s="658"/>
      <c r="R494" s="658"/>
      <c r="S494" s="658"/>
      <c r="T494" s="658"/>
      <c r="U494" s="658"/>
      <c r="V494" s="658"/>
      <c r="W494" s="658"/>
      <c r="X494" s="658"/>
      <c r="Y494" s="658"/>
      <c r="Z494" s="658"/>
      <c r="AA494" s="658"/>
    </row>
    <row r="495" spans="10:27" s="1235" customFormat="1" ht="21.75" customHeight="1">
      <c r="J495" s="2760"/>
      <c r="K495" s="658"/>
      <c r="L495" s="658"/>
      <c r="M495" s="658"/>
      <c r="N495" s="658"/>
      <c r="O495" s="658"/>
      <c r="P495" s="658"/>
      <c r="Q495" s="658"/>
      <c r="R495" s="658"/>
      <c r="S495" s="658"/>
      <c r="T495" s="658"/>
      <c r="U495" s="658"/>
      <c r="V495" s="658"/>
      <c r="W495" s="658"/>
      <c r="X495" s="658"/>
      <c r="Y495" s="658"/>
      <c r="Z495" s="658"/>
      <c r="AA495" s="658"/>
    </row>
    <row r="496" spans="10:27" s="1235" customFormat="1" ht="21.75" customHeight="1">
      <c r="J496" s="2760"/>
      <c r="K496" s="658"/>
      <c r="L496" s="658"/>
      <c r="M496" s="658"/>
      <c r="N496" s="658"/>
      <c r="O496" s="658"/>
      <c r="P496" s="658"/>
      <c r="Q496" s="658"/>
      <c r="R496" s="658"/>
      <c r="S496" s="658"/>
      <c r="T496" s="658"/>
      <c r="U496" s="658"/>
      <c r="V496" s="658"/>
      <c r="W496" s="658"/>
      <c r="X496" s="658"/>
      <c r="Y496" s="658"/>
      <c r="Z496" s="658"/>
      <c r="AA496" s="658"/>
    </row>
    <row r="497" spans="10:27" s="1235" customFormat="1" ht="21.75" customHeight="1">
      <c r="J497" s="2760"/>
      <c r="K497" s="658"/>
      <c r="L497" s="658"/>
      <c r="M497" s="658"/>
      <c r="N497" s="658"/>
      <c r="O497" s="658"/>
      <c r="P497" s="658"/>
      <c r="Q497" s="658"/>
      <c r="R497" s="658"/>
      <c r="S497" s="658"/>
      <c r="T497" s="658"/>
      <c r="U497" s="658"/>
      <c r="V497" s="658"/>
      <c r="W497" s="658"/>
      <c r="X497" s="658"/>
      <c r="Y497" s="658"/>
      <c r="Z497" s="658"/>
      <c r="AA497" s="658"/>
    </row>
    <row r="498" spans="10:27" s="1235" customFormat="1" ht="21.75" customHeight="1">
      <c r="J498" s="2760"/>
      <c r="K498" s="658"/>
      <c r="L498" s="658"/>
      <c r="M498" s="658"/>
      <c r="N498" s="658"/>
      <c r="O498" s="658"/>
      <c r="P498" s="658"/>
      <c r="Q498" s="658"/>
      <c r="R498" s="658"/>
      <c r="S498" s="658"/>
      <c r="T498" s="658"/>
      <c r="U498" s="658"/>
      <c r="V498" s="658"/>
      <c r="W498" s="658"/>
      <c r="X498" s="658"/>
      <c r="Y498" s="658"/>
      <c r="Z498" s="658"/>
      <c r="AA498" s="658"/>
    </row>
    <row r="499" spans="10:27" s="1235" customFormat="1" ht="21.75" customHeight="1">
      <c r="J499" s="2760"/>
      <c r="K499" s="658"/>
      <c r="L499" s="658"/>
      <c r="M499" s="658"/>
      <c r="N499" s="658"/>
      <c r="O499" s="658"/>
      <c r="P499" s="658"/>
      <c r="Q499" s="658"/>
      <c r="R499" s="658"/>
      <c r="S499" s="658"/>
      <c r="T499" s="658"/>
      <c r="U499" s="658"/>
      <c r="V499" s="658"/>
      <c r="W499" s="658"/>
      <c r="X499" s="658"/>
      <c r="Y499" s="658"/>
      <c r="Z499" s="658"/>
      <c r="AA499" s="658"/>
    </row>
    <row r="500" spans="10:27" s="1235" customFormat="1" ht="21.75" customHeight="1">
      <c r="J500" s="2760"/>
      <c r="K500" s="658"/>
      <c r="L500" s="658"/>
      <c r="M500" s="658"/>
      <c r="N500" s="658"/>
      <c r="O500" s="658"/>
      <c r="P500" s="658"/>
      <c r="Q500" s="658"/>
      <c r="R500" s="658"/>
      <c r="S500" s="658"/>
      <c r="T500" s="658"/>
      <c r="U500" s="658"/>
      <c r="V500" s="658"/>
      <c r="W500" s="658"/>
      <c r="X500" s="658"/>
      <c r="Y500" s="658"/>
      <c r="Z500" s="658"/>
      <c r="AA500" s="658"/>
    </row>
    <row r="501" spans="10:27" s="1235" customFormat="1" ht="21.75" customHeight="1">
      <c r="J501" s="2760"/>
      <c r="K501" s="658"/>
      <c r="L501" s="658"/>
      <c r="M501" s="658"/>
      <c r="N501" s="658"/>
      <c r="O501" s="658"/>
      <c r="P501" s="658"/>
      <c r="Q501" s="658"/>
      <c r="R501" s="658"/>
      <c r="S501" s="658"/>
      <c r="T501" s="658"/>
      <c r="U501" s="658"/>
      <c r="V501" s="658"/>
      <c r="W501" s="658"/>
      <c r="X501" s="658"/>
      <c r="Y501" s="658"/>
      <c r="Z501" s="658"/>
      <c r="AA501" s="658"/>
    </row>
    <row r="502" spans="10:27" s="1235" customFormat="1" ht="21.75" customHeight="1">
      <c r="J502" s="2760"/>
      <c r="K502" s="658"/>
      <c r="L502" s="658"/>
      <c r="M502" s="658"/>
      <c r="N502" s="658"/>
      <c r="O502" s="658"/>
      <c r="P502" s="658"/>
      <c r="Q502" s="658"/>
      <c r="R502" s="658"/>
      <c r="S502" s="658"/>
      <c r="T502" s="658"/>
      <c r="U502" s="658"/>
      <c r="V502" s="658"/>
      <c r="W502" s="658"/>
      <c r="X502" s="658"/>
      <c r="Y502" s="658"/>
      <c r="Z502" s="658"/>
      <c r="AA502" s="658"/>
    </row>
    <row r="503" spans="10:27" s="1235" customFormat="1" ht="21.75" customHeight="1">
      <c r="J503" s="2760"/>
      <c r="K503" s="658"/>
      <c r="L503" s="658"/>
      <c r="M503" s="658"/>
      <c r="N503" s="658"/>
      <c r="O503" s="658"/>
      <c r="P503" s="658"/>
      <c r="Q503" s="658"/>
      <c r="R503" s="658"/>
      <c r="S503" s="658"/>
      <c r="T503" s="658"/>
      <c r="U503" s="658"/>
      <c r="V503" s="658"/>
      <c r="W503" s="658"/>
      <c r="X503" s="658"/>
      <c r="Y503" s="658"/>
      <c r="Z503" s="658"/>
      <c r="AA503" s="658"/>
    </row>
    <row r="504" spans="10:27" s="1235" customFormat="1" ht="21.75" customHeight="1">
      <c r="J504" s="2760"/>
      <c r="K504" s="658"/>
      <c r="L504" s="658"/>
      <c r="M504" s="658"/>
      <c r="N504" s="658"/>
      <c r="O504" s="658"/>
      <c r="P504" s="658"/>
      <c r="Q504" s="658"/>
      <c r="R504" s="658"/>
      <c r="S504" s="658"/>
      <c r="T504" s="658"/>
      <c r="U504" s="658"/>
      <c r="V504" s="658"/>
      <c r="W504" s="658"/>
      <c r="X504" s="658"/>
      <c r="Y504" s="658"/>
      <c r="Z504" s="658"/>
      <c r="AA504" s="658"/>
    </row>
    <row r="505" spans="10:27" s="1235" customFormat="1" ht="21.75" customHeight="1">
      <c r="J505" s="2760"/>
      <c r="K505" s="658"/>
      <c r="L505" s="658"/>
      <c r="M505" s="658"/>
      <c r="N505" s="658"/>
      <c r="O505" s="658"/>
      <c r="P505" s="658"/>
      <c r="Q505" s="658"/>
      <c r="R505" s="658"/>
      <c r="S505" s="658"/>
      <c r="T505" s="658"/>
      <c r="U505" s="658"/>
      <c r="V505" s="658"/>
      <c r="W505" s="658"/>
      <c r="X505" s="658"/>
      <c r="Y505" s="658"/>
      <c r="Z505" s="658"/>
      <c r="AA505" s="658"/>
    </row>
    <row r="506" spans="10:27" s="1235" customFormat="1" ht="21.75" customHeight="1">
      <c r="J506" s="2760"/>
      <c r="K506" s="658"/>
      <c r="L506" s="658"/>
      <c r="M506" s="658"/>
      <c r="N506" s="658"/>
      <c r="O506" s="658"/>
      <c r="P506" s="658"/>
      <c r="Q506" s="658"/>
      <c r="R506" s="658"/>
      <c r="S506" s="658"/>
      <c r="T506" s="658"/>
      <c r="U506" s="658"/>
      <c r="V506" s="658"/>
      <c r="W506" s="658"/>
      <c r="X506" s="658"/>
      <c r="Y506" s="658"/>
      <c r="Z506" s="658"/>
      <c r="AA506" s="658"/>
    </row>
    <row r="507" spans="10:27" s="1235" customFormat="1" ht="21.75" customHeight="1">
      <c r="J507" s="2760"/>
      <c r="K507" s="658"/>
      <c r="L507" s="658"/>
      <c r="M507" s="658"/>
      <c r="N507" s="658"/>
      <c r="O507" s="658"/>
      <c r="P507" s="658"/>
      <c r="Q507" s="658"/>
      <c r="R507" s="658"/>
      <c r="S507" s="658"/>
      <c r="T507" s="658"/>
      <c r="U507" s="658"/>
      <c r="V507" s="658"/>
      <c r="W507" s="658"/>
      <c r="X507" s="658"/>
      <c r="Y507" s="658"/>
      <c r="Z507" s="658"/>
      <c r="AA507" s="658"/>
    </row>
    <row r="508" spans="10:27" s="1235" customFormat="1" ht="21.75" customHeight="1">
      <c r="J508" s="2760"/>
      <c r="K508" s="658"/>
      <c r="L508" s="658"/>
      <c r="M508" s="658"/>
      <c r="N508" s="658"/>
      <c r="O508" s="658"/>
      <c r="P508" s="658"/>
      <c r="Q508" s="658"/>
      <c r="R508" s="658"/>
      <c r="S508" s="658"/>
      <c r="T508" s="658"/>
      <c r="U508" s="658"/>
      <c r="V508" s="658"/>
      <c r="W508" s="658"/>
      <c r="X508" s="658"/>
      <c r="Y508" s="658"/>
      <c r="Z508" s="658"/>
      <c r="AA508" s="658"/>
    </row>
    <row r="509" spans="10:27" s="1235" customFormat="1" ht="21.75" customHeight="1">
      <c r="J509" s="2760"/>
      <c r="K509" s="658"/>
      <c r="L509" s="658"/>
      <c r="M509" s="658"/>
      <c r="N509" s="658"/>
      <c r="O509" s="658"/>
      <c r="P509" s="658"/>
      <c r="Q509" s="658"/>
      <c r="R509" s="658"/>
      <c r="S509" s="658"/>
      <c r="T509" s="658"/>
      <c r="U509" s="658"/>
      <c r="V509" s="658"/>
      <c r="W509" s="658"/>
      <c r="X509" s="658"/>
      <c r="Y509" s="658"/>
      <c r="Z509" s="658"/>
      <c r="AA509" s="658"/>
    </row>
    <row r="510" spans="10:27" s="1235" customFormat="1" ht="21.75" customHeight="1">
      <c r="J510" s="2760"/>
      <c r="K510" s="658"/>
      <c r="L510" s="658"/>
      <c r="M510" s="658"/>
      <c r="N510" s="658"/>
      <c r="O510" s="658"/>
      <c r="P510" s="658"/>
      <c r="Q510" s="658"/>
      <c r="R510" s="658"/>
      <c r="S510" s="658"/>
      <c r="T510" s="658"/>
      <c r="U510" s="658"/>
      <c r="V510" s="658"/>
      <c r="W510" s="658"/>
      <c r="X510" s="658"/>
      <c r="Y510" s="658"/>
      <c r="Z510" s="658"/>
      <c r="AA510" s="658"/>
    </row>
    <row r="511" spans="10:27" s="1235" customFormat="1" ht="21.75" customHeight="1">
      <c r="J511" s="2760"/>
      <c r="K511" s="658"/>
      <c r="L511" s="658"/>
      <c r="M511" s="658"/>
      <c r="N511" s="658"/>
      <c r="O511" s="658"/>
      <c r="P511" s="658"/>
      <c r="Q511" s="658"/>
      <c r="R511" s="658"/>
      <c r="S511" s="658"/>
      <c r="T511" s="658"/>
      <c r="U511" s="658"/>
      <c r="V511" s="658"/>
      <c r="W511" s="658"/>
      <c r="X511" s="658"/>
      <c r="Y511" s="658"/>
      <c r="Z511" s="658"/>
      <c r="AA511" s="658"/>
    </row>
    <row r="512" spans="10:27" s="1235" customFormat="1" ht="21.75" customHeight="1">
      <c r="J512" s="2760"/>
      <c r="K512" s="658"/>
      <c r="L512" s="658"/>
      <c r="M512" s="658"/>
      <c r="N512" s="658"/>
      <c r="O512" s="658"/>
      <c r="P512" s="658"/>
      <c r="Q512" s="658"/>
      <c r="R512" s="658"/>
      <c r="S512" s="658"/>
      <c r="T512" s="658"/>
      <c r="U512" s="658"/>
      <c r="V512" s="658"/>
      <c r="W512" s="658"/>
      <c r="X512" s="658"/>
      <c r="Y512" s="658"/>
      <c r="Z512" s="658"/>
      <c r="AA512" s="658"/>
    </row>
    <row r="513" spans="6:27" s="1235" customFormat="1" ht="21.75" customHeight="1">
      <c r="J513" s="2760"/>
      <c r="K513" s="658"/>
      <c r="L513" s="658"/>
      <c r="M513" s="658"/>
      <c r="N513" s="658"/>
      <c r="O513" s="658"/>
      <c r="P513" s="658"/>
      <c r="Q513" s="658"/>
      <c r="R513" s="658"/>
      <c r="S513" s="658"/>
      <c r="T513" s="658"/>
      <c r="U513" s="658"/>
      <c r="V513" s="658"/>
      <c r="W513" s="658"/>
      <c r="X513" s="658"/>
      <c r="Y513" s="658"/>
      <c r="Z513" s="658"/>
      <c r="AA513" s="658"/>
    </row>
    <row r="514" spans="6:27" s="1235" customFormat="1" ht="21.75" customHeight="1">
      <c r="J514" s="2760"/>
      <c r="K514" s="658"/>
      <c r="L514" s="658"/>
      <c r="M514" s="658"/>
      <c r="N514" s="658"/>
      <c r="O514" s="658"/>
      <c r="P514" s="658"/>
      <c r="Q514" s="658"/>
      <c r="R514" s="658"/>
      <c r="S514" s="658"/>
      <c r="T514" s="658"/>
      <c r="U514" s="658"/>
      <c r="V514" s="658"/>
      <c r="W514" s="658"/>
      <c r="X514" s="658"/>
      <c r="Y514" s="658"/>
      <c r="Z514" s="658"/>
      <c r="AA514" s="658"/>
    </row>
    <row r="515" spans="6:27" s="1235" customFormat="1" ht="21.75" customHeight="1">
      <c r="J515" s="2760"/>
      <c r="K515" s="658"/>
      <c r="L515" s="658"/>
      <c r="M515" s="658"/>
      <c r="N515" s="658"/>
      <c r="O515" s="658"/>
      <c r="P515" s="658"/>
      <c r="Q515" s="658"/>
      <c r="R515" s="658"/>
      <c r="S515" s="658"/>
      <c r="T515" s="658"/>
      <c r="U515" s="658"/>
      <c r="V515" s="658"/>
      <c r="W515" s="658"/>
      <c r="X515" s="658"/>
      <c r="Y515" s="658"/>
      <c r="Z515" s="658"/>
      <c r="AA515" s="658"/>
    </row>
    <row r="516" spans="6:27" s="1235" customFormat="1" ht="21.75" customHeight="1">
      <c r="F516" s="1389"/>
      <c r="G516" s="1389"/>
      <c r="H516" s="1389"/>
      <c r="I516" s="1389"/>
      <c r="J516" s="2760"/>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L39" sqref="L39"/>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8" customWidth="1"/>
    <col min="13" max="13" width="12.625" style="658"/>
    <col min="14" max="14" width="14.125" style="658" bestFit="1" customWidth="1"/>
    <col min="15" max="27" width="12.625" style="658"/>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32" t="s">
        <v>1643</v>
      </c>
      <c r="B2" s="3532"/>
      <c r="C2" s="3532"/>
      <c r="D2" s="3532"/>
      <c r="E2" s="3532"/>
      <c r="F2" s="3532"/>
      <c r="G2" s="3532"/>
      <c r="H2" s="3532"/>
      <c r="I2" s="3532"/>
      <c r="J2" s="2792"/>
    </row>
    <row r="3" spans="1:15" ht="12.75">
      <c r="A3" s="3492" t="s">
        <v>1471</v>
      </c>
      <c r="B3" s="3493"/>
      <c r="C3" s="3493"/>
      <c r="D3" s="3493"/>
      <c r="E3" s="3493"/>
      <c r="F3" s="3493"/>
      <c r="G3" s="3493"/>
      <c r="H3" s="3493"/>
      <c r="I3" s="3493"/>
      <c r="J3" s="2762"/>
    </row>
    <row r="4" spans="1:15" ht="14.25">
      <c r="A4" s="2630" t="s">
        <v>1472</v>
      </c>
      <c r="B4" s="2630" t="s">
        <v>1473</v>
      </c>
      <c r="C4" s="2631" t="s">
        <v>3044</v>
      </c>
      <c r="D4" s="2631" t="s">
        <v>3045</v>
      </c>
      <c r="E4" s="3489" t="s">
        <v>1644</v>
      </c>
      <c r="F4" s="3477"/>
      <c r="G4" s="3477"/>
      <c r="H4" s="3477"/>
      <c r="I4" s="3478"/>
      <c r="J4" s="2763"/>
      <c r="L4" s="1388" t="str">
        <f>IF(ISNUMBER(FIND("比较法",'结果表 (1修多)'!C4)),"比较法",IF(ISNUMBER(FIND("成本法",'结果表 (1修多)'!C4)),"成本法",IF(ISNUMBER(FIND("假设开发法",'结果表 (1修多)'!C4)),"假设开发法",IF(ISNUMBER(FIND("收益法",'结果表 (1修多)'!C4)),"收益法","基准地价系数修正法"))))</f>
        <v>比较法</v>
      </c>
      <c r="M4" s="1388" t="str">
        <f>IF(ISNUMBER(FIND("比较法",'结果表 (1修多)'!D4)),"比较法",IF(ISNUMBER(FIND("成本法",'结果表 (1修多)'!D4)),"成本法",IF(ISNUMBER(FIND("假设开发法",'结果表 (1修多)'!D4)),"假设开发法",IF(ISNUMBER(FIND("收益法",'结果表 (1修多)'!D4)),"收益法","基准地价系数修正法"))))</f>
        <v>收益法</v>
      </c>
      <c r="N4" s="1388"/>
      <c r="O4" s="1388"/>
    </row>
    <row r="5" spans="1:15" ht="12.75">
      <c r="A5" s="3488" t="s">
        <v>1475</v>
      </c>
      <c r="B5" s="3488">
        <v>25</v>
      </c>
      <c r="C5" s="3494"/>
      <c r="D5" s="3491"/>
      <c r="E5" s="12" t="s">
        <v>1476</v>
      </c>
      <c r="F5" s="2016"/>
      <c r="G5" s="2016"/>
      <c r="H5" s="2016"/>
      <c r="I5" s="2011"/>
      <c r="J5" s="2763"/>
    </row>
    <row r="6" spans="1:15" ht="12.75">
      <c r="A6" s="3488"/>
      <c r="B6" s="3488"/>
      <c r="C6" s="3495"/>
      <c r="D6" s="3491"/>
      <c r="E6" s="12" t="s">
        <v>1477</v>
      </c>
      <c r="F6" s="2016"/>
      <c r="G6" s="2016"/>
      <c r="H6" s="2016"/>
      <c r="I6" s="2011"/>
      <c r="J6" s="2763"/>
    </row>
    <row r="7" spans="1:15" ht="12.75">
      <c r="A7" s="3488"/>
      <c r="B7" s="3488"/>
      <c r="C7" s="3496"/>
      <c r="D7" s="3491"/>
      <c r="E7" s="12" t="s">
        <v>1478</v>
      </c>
      <c r="F7" s="2016"/>
      <c r="G7" s="2016"/>
      <c r="H7" s="2016"/>
      <c r="I7" s="2011"/>
      <c r="J7" s="2763"/>
    </row>
    <row r="8" spans="1:15" ht="12.75">
      <c r="A8" s="3488" t="s">
        <v>1479</v>
      </c>
      <c r="B8" s="3488">
        <v>15</v>
      </c>
      <c r="C8" s="3494"/>
      <c r="D8" s="3491"/>
      <c r="E8" s="12" t="s">
        <v>1480</v>
      </c>
      <c r="F8" s="2016"/>
      <c r="G8" s="2016"/>
      <c r="H8" s="2016"/>
      <c r="I8" s="2011"/>
      <c r="J8" s="2763"/>
    </row>
    <row r="9" spans="1:15" ht="12.75">
      <c r="A9" s="3488"/>
      <c r="B9" s="3488"/>
      <c r="C9" s="3496"/>
      <c r="D9" s="3491"/>
      <c r="E9" s="12" t="s">
        <v>1481</v>
      </c>
      <c r="F9" s="2016"/>
      <c r="G9" s="2016"/>
      <c r="H9" s="2016"/>
      <c r="I9" s="2011"/>
      <c r="J9" s="2763"/>
    </row>
    <row r="10" spans="1:15" ht="12.75">
      <c r="A10" s="3488" t="s">
        <v>1482</v>
      </c>
      <c r="B10" s="3488">
        <v>15</v>
      </c>
      <c r="C10" s="3494"/>
      <c r="D10" s="3491"/>
      <c r="E10" s="12" t="s">
        <v>1483</v>
      </c>
      <c r="F10" s="2016"/>
      <c r="G10" s="2016"/>
      <c r="H10" s="2016"/>
      <c r="I10" s="2011"/>
      <c r="J10" s="2763"/>
    </row>
    <row r="11" spans="1:15" ht="12.75">
      <c r="A11" s="3488"/>
      <c r="B11" s="3488"/>
      <c r="C11" s="3496"/>
      <c r="D11" s="3491"/>
      <c r="E11" s="12" t="s">
        <v>1484</v>
      </c>
      <c r="F11" s="2016"/>
      <c r="G11" s="2016"/>
      <c r="H11" s="2016"/>
      <c r="I11" s="2011"/>
      <c r="J11" s="2763"/>
    </row>
    <row r="12" spans="1:15" ht="12.75">
      <c r="A12" s="3488" t="s">
        <v>1485</v>
      </c>
      <c r="B12" s="3488">
        <v>15</v>
      </c>
      <c r="C12" s="3494"/>
      <c r="D12" s="3491"/>
      <c r="E12" s="12" t="s">
        <v>1486</v>
      </c>
      <c r="F12" s="2016"/>
      <c r="G12" s="2016"/>
      <c r="H12" s="2016"/>
      <c r="I12" s="2011"/>
      <c r="J12" s="2763"/>
    </row>
    <row r="13" spans="1:15" ht="12.75">
      <c r="A13" s="3488"/>
      <c r="B13" s="3488"/>
      <c r="C13" s="3496"/>
      <c r="D13" s="3491"/>
      <c r="E13" s="12" t="s">
        <v>1487</v>
      </c>
      <c r="F13" s="2016"/>
      <c r="G13" s="2016"/>
      <c r="H13" s="2016"/>
      <c r="I13" s="2011"/>
      <c r="J13" s="2763"/>
    </row>
    <row r="14" spans="1:15" ht="12.75">
      <c r="A14" s="3488" t="s">
        <v>1488</v>
      </c>
      <c r="B14" s="3488">
        <v>30</v>
      </c>
      <c r="C14" s="3494">
        <v>7</v>
      </c>
      <c r="D14" s="3491">
        <v>3</v>
      </c>
      <c r="E14" s="12" t="s">
        <v>1489</v>
      </c>
      <c r="F14" s="2016"/>
      <c r="G14" s="2016"/>
      <c r="H14" s="2016"/>
      <c r="I14" s="2011"/>
      <c r="J14" s="2763"/>
    </row>
    <row r="15" spans="1:15" ht="12.75">
      <c r="A15" s="3488"/>
      <c r="B15" s="3488"/>
      <c r="C15" s="3495"/>
      <c r="D15" s="3491"/>
      <c r="E15" s="12" t="s">
        <v>1490</v>
      </c>
      <c r="F15" s="2016"/>
      <c r="G15" s="2016"/>
      <c r="H15" s="2016"/>
      <c r="I15" s="2011"/>
      <c r="J15" s="2763"/>
    </row>
    <row r="16" spans="1:15" ht="12.75">
      <c r="A16" s="3488"/>
      <c r="B16" s="3488"/>
      <c r="C16" s="3496"/>
      <c r="D16" s="3491"/>
      <c r="E16" s="12" t="s">
        <v>1491</v>
      </c>
      <c r="F16" s="2016"/>
      <c r="G16" s="2016"/>
      <c r="H16" s="2016"/>
      <c r="I16" s="2011"/>
      <c r="J16" s="2763"/>
    </row>
    <row r="17" spans="1:36" ht="15">
      <c r="A17" s="2632" t="s">
        <v>1492</v>
      </c>
      <c r="B17" s="2021"/>
      <c r="C17" s="2633">
        <f>SUM(C5:C16)</f>
        <v>7</v>
      </c>
      <c r="D17" s="2633">
        <f>SUM(D5:D16)</f>
        <v>3</v>
      </c>
      <c r="E17" s="2480"/>
      <c r="F17" s="2480"/>
      <c r="G17" s="2480"/>
      <c r="H17" s="2480"/>
      <c r="I17" s="2480"/>
      <c r="J17" s="2764"/>
    </row>
    <row r="18" spans="1:36" ht="32.450000000000003" customHeight="1" thickBot="1">
      <c r="A18" s="2634" t="s">
        <v>1493</v>
      </c>
      <c r="B18" s="2635"/>
      <c r="C18" s="2636">
        <f>ROUND(C17/SUM(C17:D17),2)</f>
        <v>0.7</v>
      </c>
      <c r="D18" s="2636">
        <f>1-C18</f>
        <v>0.30000000000000004</v>
      </c>
      <c r="E18" s="3508" t="s">
        <v>2575</v>
      </c>
      <c r="F18" s="3509"/>
      <c r="G18" s="3509"/>
      <c r="H18" s="3509"/>
      <c r="I18" s="3509"/>
      <c r="J18" s="2764"/>
    </row>
    <row r="19" spans="1:36" ht="15">
      <c r="A19" s="2637" t="s">
        <v>1494</v>
      </c>
      <c r="B19" s="2638" t="s">
        <v>1495</v>
      </c>
      <c r="C19" s="2639">
        <f ca="1">SUMIF(INDIRECT("'"&amp;C4&amp;"'"&amp;"!A:A"),'结果表 (1修多)'!B19,INDIRECT("'"&amp;C4&amp;"'"&amp;"!B:B"))</f>
        <v>626</v>
      </c>
      <c r="D19" s="2640">
        <f ca="1">SUMIF(INDIRECT("'"&amp;D4&amp;"'"&amp;"!A:A"),'结果表 (1修多)'!B19,INDIRECT("'"&amp;D4&amp;"'"&amp;"!B:B"))</f>
        <v>431</v>
      </c>
      <c r="E19" s="2637" t="s">
        <v>1496</v>
      </c>
      <c r="F19" s="2638" t="s">
        <v>1495</v>
      </c>
      <c r="G19" s="2641">
        <f ca="1">ROUND(C19*$C$18+D19*$D$18,0)</f>
        <v>568</v>
      </c>
      <c r="H19" s="2642" t="str">
        <f>'数据-取费表'!B3</f>
        <v>万元</v>
      </c>
      <c r="I19" s="2480"/>
      <c r="J19" s="2764"/>
    </row>
    <row r="20" spans="1:36" ht="15">
      <c r="A20" s="2643"/>
      <c r="B20" s="1621" t="s">
        <v>1497</v>
      </c>
      <c r="C20" s="1846">
        <f ca="1">SUMIF(INDIRECT("'"&amp;C4&amp;"'"&amp;"!A:A"),'结果表 (1修多)'!B20,INDIRECT("'"&amp;C4&amp;"'"&amp;"!B:B"))</f>
        <v>51134</v>
      </c>
      <c r="D20" s="1849">
        <f ca="1">SUMIF(INDIRECT("'"&amp;D4&amp;"'"&amp;"!A:A"),'结果表 (1修多)'!B20,INDIRECT("'"&amp;D4&amp;"'"&amp;"!B:B"))</f>
        <v>35239</v>
      </c>
      <c r="E20" s="2643"/>
      <c r="F20" s="1621" t="s">
        <v>1497</v>
      </c>
      <c r="G20" s="2020">
        <f ca="1">ROUND(C20*$C$18+D20*$D$18,0)</f>
        <v>46366</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0.45243619489559173</v>
      </c>
      <c r="E22" s="904"/>
      <c r="F22" s="904"/>
      <c r="G22" s="904"/>
      <c r="H22" s="904"/>
      <c r="I22" s="904"/>
      <c r="J22" s="2764"/>
    </row>
    <row r="23" spans="1:36" ht="13.5" thickBot="1">
      <c r="A23" s="2480"/>
      <c r="B23" s="2480"/>
      <c r="C23" s="2480"/>
      <c r="D23" s="2480"/>
      <c r="E23" s="904"/>
      <c r="F23" s="904"/>
      <c r="G23" s="904"/>
      <c r="H23" s="904"/>
      <c r="I23" s="904"/>
      <c r="J23" s="2764"/>
    </row>
    <row r="24" spans="1:36" ht="21.75" customHeight="1">
      <c r="A24" s="3497" t="s">
        <v>1500</v>
      </c>
      <c r="B24" s="2638" t="s">
        <v>1495</v>
      </c>
      <c r="C24" s="2641">
        <f>D30</f>
        <v>0</v>
      </c>
      <c r="D24" s="2593"/>
      <c r="E24" s="904"/>
      <c r="F24" s="904"/>
      <c r="G24" s="904"/>
      <c r="H24" s="904"/>
      <c r="I24" s="904"/>
      <c r="J24" s="2764"/>
    </row>
    <row r="25" spans="1:36" ht="21.75" customHeight="1">
      <c r="A25" s="3498"/>
      <c r="B25" s="1621" t="s">
        <v>1497</v>
      </c>
      <c r="C25" s="2653">
        <f>IF(B30=0,0,C30)</f>
        <v>0</v>
      </c>
      <c r="D25" s="2654"/>
      <c r="E25" s="904"/>
      <c r="F25" s="904"/>
      <c r="G25" s="904"/>
      <c r="H25" s="904"/>
      <c r="I25" s="904"/>
      <c r="J25" s="2764"/>
    </row>
    <row r="26" spans="1:36" ht="13.5" customHeight="1">
      <c r="A26" s="2655" t="s">
        <v>1501</v>
      </c>
      <c r="B26" s="2656" t="s">
        <v>1502</v>
      </c>
      <c r="C26" s="2656" t="s">
        <v>1503</v>
      </c>
      <c r="D26" s="2657" t="s">
        <v>1504</v>
      </c>
      <c r="E26" s="904"/>
      <c r="F26" s="904"/>
      <c r="G26" s="904"/>
      <c r="H26" s="904"/>
      <c r="I26" s="904"/>
      <c r="J26" s="2764"/>
    </row>
    <row r="27" spans="1:36" ht="14.25">
      <c r="A27" s="2658" t="s">
        <v>1645</v>
      </c>
      <c r="B27" s="2656">
        <v>0</v>
      </c>
      <c r="C27" s="2656">
        <v>0</v>
      </c>
      <c r="D27" s="2657">
        <f>ROUND(C27*B27/10000,0)</f>
        <v>0</v>
      </c>
      <c r="E27" s="904"/>
      <c r="F27" s="904"/>
      <c r="G27" s="904"/>
      <c r="H27" s="904"/>
      <c r="I27" s="904"/>
      <c r="J27" s="2764"/>
    </row>
    <row r="28" spans="1:36" ht="14.25">
      <c r="A28" s="2655"/>
      <c r="B28" s="2656"/>
      <c r="C28" s="2656"/>
      <c r="D28" s="2657">
        <f>ROUND(C28*B28/10000,0)</f>
        <v>0</v>
      </c>
      <c r="E28" s="904"/>
      <c r="F28" s="904"/>
      <c r="G28" s="904"/>
      <c r="H28" s="904"/>
      <c r="I28" s="904"/>
      <c r="J28" s="2764"/>
    </row>
    <row r="29" spans="1:36" ht="14.25">
      <c r="A29" s="2655"/>
      <c r="B29" s="2656"/>
      <c r="C29" s="2656"/>
      <c r="D29" s="2657">
        <f t="shared" ref="D29" si="0">ROUND(C29*B29/10000,0)</f>
        <v>0</v>
      </c>
      <c r="E29" s="904"/>
      <c r="F29" s="904"/>
      <c r="G29" s="904"/>
      <c r="H29" s="904"/>
      <c r="I29" s="904"/>
      <c r="J29" s="2764"/>
    </row>
    <row r="30" spans="1:36" ht="15" thickBot="1">
      <c r="A30" s="2691" t="s">
        <v>1646</v>
      </c>
      <c r="B30" s="2692"/>
      <c r="C30" s="2692"/>
      <c r="D30" s="2692"/>
      <c r="E30" s="2659" t="s">
        <v>2579</v>
      </c>
      <c r="F30" s="2480"/>
      <c r="G30" s="2480"/>
      <c r="H30" s="2480"/>
      <c r="I30" s="2480"/>
      <c r="J30" s="2764"/>
    </row>
    <row r="31" spans="1:36" s="2757" customFormat="1" ht="27.6" customHeight="1" thickTop="1" thickBot="1">
      <c r="A31" s="2752"/>
      <c r="B31" s="2753"/>
      <c r="C31" s="2753"/>
      <c r="D31" s="2753"/>
      <c r="E31" s="2753"/>
      <c r="F31" s="2753"/>
      <c r="G31" s="2753"/>
      <c r="H31" s="2753"/>
      <c r="I31" s="2754" t="s">
        <v>2580</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54" t="s">
        <v>1647</v>
      </c>
      <c r="B32" s="3554"/>
      <c r="C32" s="3554"/>
      <c r="D32" s="3554"/>
      <c r="E32" s="3554"/>
      <c r="F32" s="3554"/>
      <c r="G32" s="3554"/>
      <c r="H32" s="3554"/>
      <c r="I32" s="3554"/>
      <c r="J32" s="2793"/>
      <c r="K32" s="658"/>
      <c r="L32" s="658"/>
      <c r="M32" s="658"/>
      <c r="N32" s="658"/>
      <c r="O32" s="658"/>
      <c r="P32" s="658"/>
      <c r="Q32" s="658"/>
      <c r="R32" s="658"/>
      <c r="S32" s="658"/>
      <c r="T32" s="658"/>
      <c r="U32" s="658"/>
      <c r="V32" s="658"/>
      <c r="W32" s="658"/>
      <c r="X32" s="658"/>
      <c r="Y32" s="658"/>
      <c r="Z32" s="658"/>
      <c r="AA32" s="658"/>
      <c r="AB32" s="1235"/>
      <c r="AC32" s="1235"/>
      <c r="AD32" s="1235"/>
      <c r="AE32" s="1235"/>
      <c r="AF32" s="1235"/>
      <c r="AG32" s="1235"/>
      <c r="AH32" s="1235"/>
      <c r="AI32" s="1235"/>
      <c r="AJ32" s="1235"/>
    </row>
    <row r="33" spans="1:16" ht="15">
      <c r="A33" s="1438"/>
      <c r="B33" s="2693" t="s">
        <v>1648</v>
      </c>
      <c r="C33" s="2694">
        <f ca="1">典型户型修正!R27</f>
        <v>46366</v>
      </c>
      <c r="D33" s="2480" t="s">
        <v>1649</v>
      </c>
      <c r="E33" s="904"/>
      <c r="F33" s="904"/>
      <c r="G33" s="904"/>
      <c r="H33" s="904"/>
      <c r="I33" s="904"/>
      <c r="J33" s="2764"/>
    </row>
    <row r="34" spans="1:16" ht="15">
      <c r="A34" s="1439" t="s">
        <v>1650</v>
      </c>
      <c r="B34" s="2695" t="s">
        <v>1651</v>
      </c>
      <c r="C34" s="2696">
        <f ca="1">典型户型修正!B2</f>
        <v>1399</v>
      </c>
      <c r="D34" s="2697" t="str">
        <f>IF('数据-取费表'!B3="万元","万元","元")</f>
        <v>万元</v>
      </c>
      <c r="E34" s="904"/>
      <c r="F34" s="904"/>
      <c r="G34" s="904"/>
      <c r="H34" s="904"/>
      <c r="I34" s="904"/>
      <c r="J34" s="2764"/>
    </row>
    <row r="35" spans="1:16" ht="15.75" thickBot="1">
      <c r="A35" s="1440"/>
      <c r="B35" s="2698" t="s">
        <v>1652</v>
      </c>
      <c r="C35" s="2647">
        <f ca="1">典型户型修正!B3</f>
        <v>34905</v>
      </c>
      <c r="D35" s="2480" t="s">
        <v>1653</v>
      </c>
      <c r="E35" s="904"/>
      <c r="F35" s="904"/>
      <c r="G35" s="904"/>
      <c r="H35" s="904"/>
      <c r="I35" s="904"/>
      <c r="J35" s="2764"/>
    </row>
    <row r="36" spans="1:16" ht="15">
      <c r="A36" s="1441"/>
      <c r="B36" s="1395" t="s">
        <v>1654</v>
      </c>
      <c r="C36" s="2699">
        <f>IF('数据-取费表'!B3="万元",典型户型修正!V25,典型户型修正!U25)</f>
        <v>0</v>
      </c>
      <c r="D36" s="2480" t="str">
        <f>D34</f>
        <v>万元</v>
      </c>
      <c r="E36" s="904"/>
      <c r="F36" s="904"/>
      <c r="G36" s="904"/>
      <c r="H36" s="904"/>
      <c r="I36" s="904"/>
      <c r="J36" s="2764"/>
    </row>
    <row r="37" spans="1:16" ht="15.75" thickBot="1">
      <c r="A37" s="1394"/>
      <c r="B37" s="1396" t="s">
        <v>1655</v>
      </c>
      <c r="C37" s="2700">
        <f>IF('数据-取费表'!B3="万元",典型户型修正!Y25,典型户型修正!X25)</f>
        <v>0</v>
      </c>
      <c r="D37" s="2480" t="str">
        <f>D34</f>
        <v>万元</v>
      </c>
      <c r="E37" s="904"/>
      <c r="F37" s="904"/>
      <c r="G37" s="904"/>
      <c r="H37" s="904"/>
      <c r="I37" s="904"/>
      <c r="J37" s="2764"/>
    </row>
    <row r="38" spans="1:16" ht="15.75" thickBot="1">
      <c r="A38" s="3497" t="s">
        <v>1656</v>
      </c>
      <c r="B38" s="1395" t="s">
        <v>1657</v>
      </c>
      <c r="C38" s="2674"/>
      <c r="D38" s="2675"/>
      <c r="E38" s="1607"/>
      <c r="F38" s="1607"/>
      <c r="G38" s="904"/>
      <c r="H38" s="904"/>
      <c r="I38" s="904"/>
      <c r="J38" s="2764"/>
    </row>
    <row r="39" spans="1:16" ht="15.75" thickBot="1">
      <c r="A39" s="3502"/>
      <c r="B39" s="2021" t="s">
        <v>1658</v>
      </c>
      <c r="C39" s="2676"/>
      <c r="D39" s="1238"/>
      <c r="E39" s="1238"/>
      <c r="F39" s="1607"/>
      <c r="G39" s="1238"/>
      <c r="H39" s="1238"/>
      <c r="I39" s="1238"/>
      <c r="J39" s="2768"/>
    </row>
    <row r="40" spans="1:16" ht="15.75" thickBot="1">
      <c r="A40" s="3503"/>
      <c r="B40" s="1396" t="s">
        <v>1659</v>
      </c>
      <c r="C40" s="2677"/>
      <c r="D40" s="2678" t="s">
        <v>1660</v>
      </c>
      <c r="E40" s="1238"/>
      <c r="F40" s="1607"/>
      <c r="G40" s="1238"/>
      <c r="H40" s="1238"/>
      <c r="I40" s="1238"/>
      <c r="J40" s="2768"/>
    </row>
    <row r="41" spans="1:16" ht="15">
      <c r="A41" s="2643" t="s">
        <v>1661</v>
      </c>
      <c r="B41" s="2679" t="s">
        <v>1662</v>
      </c>
      <c r="C41" s="2680" t="s">
        <v>1663</v>
      </c>
      <c r="D41" s="2680" t="s">
        <v>1664</v>
      </c>
      <c r="E41" s="2681" t="s">
        <v>1665</v>
      </c>
      <c r="F41" s="1607"/>
      <c r="G41" s="1238"/>
      <c r="H41" s="1238"/>
      <c r="I41" s="1238"/>
      <c r="J41" s="2768"/>
    </row>
    <row r="42" spans="1:16" ht="14.25">
      <c r="A42" s="2682" t="s">
        <v>1666</v>
      </c>
      <c r="B42" s="2683"/>
      <c r="C42" s="2684"/>
      <c r="D42" s="2684"/>
      <c r="E42" s="2685"/>
      <c r="F42" s="1607"/>
      <c r="G42" s="1238"/>
      <c r="H42" s="1238"/>
      <c r="I42" s="1238"/>
      <c r="J42" s="2768"/>
    </row>
    <row r="43" spans="1:16" ht="14.25">
      <c r="A43" s="2682" t="s">
        <v>1667</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1668</v>
      </c>
      <c r="B46" s="1399"/>
      <c r="C46" s="1399"/>
      <c r="D46" s="2701"/>
      <c r="E46" s="2701"/>
      <c r="F46" s="2701"/>
      <c r="G46" s="2701"/>
      <c r="H46" s="2701"/>
      <c r="I46" s="2758" t="s">
        <v>2574</v>
      </c>
      <c r="J46" s="2794"/>
      <c r="K46" s="1402" t="s">
        <v>1523</v>
      </c>
      <c r="L46" s="1403"/>
      <c r="M46" s="1403"/>
      <c r="N46" s="1403"/>
      <c r="O46" s="1403"/>
      <c r="P46" s="1403"/>
    </row>
    <row r="47" spans="1:16" ht="14.25" customHeight="1" thickBot="1">
      <c r="A47" s="3422" t="s">
        <v>1669</v>
      </c>
      <c r="B47" s="3423"/>
      <c r="C47" s="3433"/>
      <c r="D47" s="246">
        <f ca="1">ROUND(I104*F47,0)</f>
        <v>1399</v>
      </c>
      <c r="E47" s="1469" t="s">
        <v>1670</v>
      </c>
      <c r="F47" s="2478">
        <v>1</v>
      </c>
      <c r="G47" s="2479" t="s">
        <v>1671</v>
      </c>
      <c r="H47" s="904"/>
      <c r="I47" s="904"/>
      <c r="J47" s="2764"/>
      <c r="K47" s="3527" t="s">
        <v>1527</v>
      </c>
      <c r="L47" s="3527"/>
      <c r="M47" s="3527"/>
      <c r="N47" s="3527"/>
      <c r="O47" s="3527"/>
      <c r="P47" s="3527"/>
    </row>
    <row r="48" spans="1:16" ht="14.25" customHeight="1">
      <c r="A48" s="3499" t="s">
        <v>1528</v>
      </c>
      <c r="B48" s="3500"/>
      <c r="C48" s="3500"/>
      <c r="D48" s="3500"/>
      <c r="E48" s="3500"/>
      <c r="F48" s="3500"/>
      <c r="G48" s="3501"/>
      <c r="H48" s="2896"/>
      <c r="I48" s="904"/>
      <c r="J48" s="2764"/>
      <c r="K48" s="2430">
        <v>1</v>
      </c>
      <c r="L48" s="3528" t="s">
        <v>1529</v>
      </c>
      <c r="M48" s="3528"/>
      <c r="N48" s="3529"/>
      <c r="O48" s="3529"/>
      <c r="P48" s="3529"/>
    </row>
    <row r="49" spans="1:17" ht="12" customHeight="1">
      <c r="A49" s="38" t="s">
        <v>1530</v>
      </c>
      <c r="B49" s="39"/>
      <c r="C49" s="40"/>
      <c r="D49" s="1027" t="s">
        <v>1531</v>
      </c>
      <c r="E49" s="235" t="s">
        <v>1532</v>
      </c>
      <c r="F49" s="41" t="s">
        <v>1533</v>
      </c>
      <c r="G49" s="2481" t="s">
        <v>1534</v>
      </c>
      <c r="H49" s="2896"/>
      <c r="I49" s="904"/>
      <c r="J49" s="2764"/>
      <c r="K49" s="2430">
        <v>2</v>
      </c>
      <c r="L49" s="3528" t="s">
        <v>1535</v>
      </c>
      <c r="M49" s="3528"/>
      <c r="N49" s="3531">
        <f>'数据-取费表'!B2</f>
        <v>44795</v>
      </c>
      <c r="O49" s="3531"/>
      <c r="P49" s="3531"/>
    </row>
    <row r="50" spans="1:17" ht="25.5">
      <c r="A50" s="3504" t="s">
        <v>1536</v>
      </c>
      <c r="B50" s="3438"/>
      <c r="C50" s="3438"/>
      <c r="D50" s="12">
        <f ca="1">IF(H50="情况1",0,IF(H50="情况2",D54,IF(H50="情况3",D55,IF(H50="情况4",D56))))</f>
        <v>75</v>
      </c>
      <c r="E50" s="2019" t="str">
        <f>IF(H50="情况4","(销售额-原购置价)×税（费）率","销售额×税（费）率")</f>
        <v>销售额×税（费）率</v>
      </c>
      <c r="F50" s="2482">
        <f>IF(H50="情况1","免征",'数据-取费表'!E29)</f>
        <v>5.6000000000000001E-2</v>
      </c>
      <c r="G50" s="2483" t="s">
        <v>1537</v>
      </c>
      <c r="H50" s="2484" t="s">
        <v>1538</v>
      </c>
      <c r="I50" s="2896"/>
      <c r="J50" s="2771"/>
      <c r="K50" s="2430">
        <v>3</v>
      </c>
      <c r="L50" s="3528" t="s">
        <v>1539</v>
      </c>
      <c r="M50" s="3528"/>
      <c r="N50" s="3533">
        <f ca="1">I104</f>
        <v>1399</v>
      </c>
      <c r="O50" s="3533"/>
      <c r="P50" s="3533"/>
    </row>
    <row r="51" spans="1:17" ht="25.5" customHeight="1">
      <c r="A51" s="2018" t="s">
        <v>1540</v>
      </c>
      <c r="B51" s="3477" t="s">
        <v>1541</v>
      </c>
      <c r="C51" s="3477"/>
      <c r="D51" s="2485">
        <v>0</v>
      </c>
      <c r="E51" s="261" t="s">
        <v>1542</v>
      </c>
      <c r="F51" s="2486" t="s">
        <v>48</v>
      </c>
      <c r="G51" s="3419"/>
      <c r="H51" s="2487" t="s">
        <v>2499</v>
      </c>
      <c r="I51" s="2488"/>
      <c r="J51" s="2772"/>
      <c r="K51" s="2430">
        <v>4</v>
      </c>
      <c r="L51" s="3528" t="str">
        <f>IF(项目基本情况!F5="房地产抵押价值","房地产抵押价值","抵押担保权已注销时的房地产抵押价值")</f>
        <v>抵押担保权已注销时的房地产抵押价值</v>
      </c>
      <c r="M51" s="3528"/>
      <c r="N51" s="3533" t="str">
        <f>IF(项目基本情况!F5="房地产抵押价值",I112,I114)</f>
        <v>——</v>
      </c>
      <c r="O51" s="3533"/>
      <c r="P51" s="3533"/>
    </row>
    <row r="52" spans="1:17" ht="25.5" customHeight="1">
      <c r="A52" s="2008"/>
      <c r="B52" s="3477" t="s">
        <v>1543</v>
      </c>
      <c r="C52" s="3477"/>
      <c r="D52" s="2489"/>
      <c r="E52" s="269"/>
      <c r="F52" s="2486"/>
      <c r="G52" s="3420"/>
      <c r="H52" s="2490" t="s">
        <v>2500</v>
      </c>
      <c r="I52" s="2488"/>
      <c r="J52" s="2772"/>
      <c r="K52" s="3528" t="s">
        <v>1544</v>
      </c>
      <c r="L52" s="3528"/>
      <c r="M52" s="3528"/>
      <c r="N52" s="3528"/>
      <c r="O52" s="3528"/>
      <c r="P52" s="3528"/>
    </row>
    <row r="53" spans="1:17" ht="20.45" customHeight="1">
      <c r="A53" s="2491"/>
      <c r="B53" s="3477" t="s">
        <v>1545</v>
      </c>
      <c r="C53" s="3477"/>
      <c r="D53" s="1027"/>
      <c r="E53" s="264"/>
      <c r="F53" s="2486"/>
      <c r="G53" s="3421"/>
      <c r="H53" s="2490" t="s">
        <v>2501</v>
      </c>
      <c r="I53" s="2488"/>
      <c r="J53" s="2772"/>
      <c r="K53" s="2431" t="s">
        <v>1546</v>
      </c>
      <c r="L53" s="3528" t="s">
        <v>1547</v>
      </c>
      <c r="M53" s="3528"/>
      <c r="N53" s="2431" t="s">
        <v>1548</v>
      </c>
      <c r="O53" s="2431" t="s">
        <v>1549</v>
      </c>
      <c r="P53" s="2431" t="s">
        <v>1550</v>
      </c>
    </row>
    <row r="54" spans="1:17" ht="24" customHeight="1">
      <c r="A54" s="2009" t="s">
        <v>1551</v>
      </c>
      <c r="B54" s="3477" t="s">
        <v>1552</v>
      </c>
      <c r="C54" s="3477"/>
      <c r="D54" s="1027">
        <f ca="1">ROUND(D47*'数据-取费表'!E29/(1+'数据-取费表'!F30),0)</f>
        <v>75</v>
      </c>
      <c r="E54" s="2019" t="s">
        <v>1553</v>
      </c>
      <c r="F54" s="2492">
        <f>'数据-取费表'!E29</f>
        <v>5.6000000000000001E-2</v>
      </c>
      <c r="G54" s="2493"/>
      <c r="H54" s="904"/>
      <c r="I54" s="2897"/>
      <c r="J54" s="2772"/>
      <c r="K54" s="2430">
        <v>1</v>
      </c>
      <c r="L54" s="3530" t="s">
        <v>1554</v>
      </c>
      <c r="M54" s="3530"/>
      <c r="N54" s="2432">
        <f ca="1">D50</f>
        <v>75</v>
      </c>
      <c r="O54" s="2430" t="str">
        <f>E50</f>
        <v>销售额×税（费）率</v>
      </c>
      <c r="P54" s="2433">
        <f>F50</f>
        <v>5.6000000000000001E-2</v>
      </c>
    </row>
    <row r="55" spans="1:17" ht="12" customHeight="1">
      <c r="A55" s="2009" t="s">
        <v>1555</v>
      </c>
      <c r="B55" s="3489" t="s">
        <v>2592</v>
      </c>
      <c r="C55" s="3478"/>
      <c r="D55" s="1027">
        <f ca="1">ROUND(D47*'数据-取费表'!E29/(1+'数据-取费表'!F30),0)</f>
        <v>75</v>
      </c>
      <c r="E55" s="2019" t="s">
        <v>1553</v>
      </c>
      <c r="F55" s="2492">
        <f>'数据-取费表'!E29</f>
        <v>5.6000000000000001E-2</v>
      </c>
      <c r="G55" s="2493"/>
      <c r="H55" s="904"/>
      <c r="I55" s="2897"/>
      <c r="J55" s="2772"/>
      <c r="K55" s="2430">
        <v>2</v>
      </c>
      <c r="L55" s="3530" t="s">
        <v>1556</v>
      </c>
      <c r="M55" s="3530"/>
      <c r="N55" s="2432">
        <f t="shared" ref="N55:P56" ca="1" si="1">D57</f>
        <v>1</v>
      </c>
      <c r="O55" s="2430" t="str">
        <f t="shared" si="1"/>
        <v>销售额×税（费）率</v>
      </c>
      <c r="P55" s="2433">
        <f t="shared" si="1"/>
        <v>5.0000000000000001E-4</v>
      </c>
    </row>
    <row r="56" spans="1:17" ht="12" customHeight="1">
      <c r="A56" s="2009" t="s">
        <v>1557</v>
      </c>
      <c r="B56" s="3489" t="s">
        <v>2593</v>
      </c>
      <c r="C56" s="3478"/>
      <c r="D56" s="1027">
        <f ca="1">C70</f>
        <v>75</v>
      </c>
      <c r="E56" s="264" t="s">
        <v>1558</v>
      </c>
      <c r="F56" s="2492">
        <f>'数据-取费表'!E29</f>
        <v>5.6000000000000001E-2</v>
      </c>
      <c r="G56" s="2493"/>
      <c r="H56" s="2898"/>
      <c r="I56" s="2897"/>
      <c r="J56" s="2772"/>
      <c r="K56" s="2430">
        <v>3</v>
      </c>
      <c r="L56" s="3530" t="s">
        <v>1559</v>
      </c>
      <c r="M56" s="3530"/>
      <c r="N56" s="2432">
        <f t="shared" ca="1" si="1"/>
        <v>792</v>
      </c>
      <c r="O56" s="2430" t="str">
        <f t="shared" si="1"/>
        <v>增值额×税（费）率</v>
      </c>
      <c r="P56" s="2434" t="str">
        <f t="shared" si="1"/>
        <v>——</v>
      </c>
    </row>
    <row r="57" spans="1:17" ht="24" customHeight="1">
      <c r="A57" s="3442" t="s">
        <v>1560</v>
      </c>
      <c r="B57" s="3438"/>
      <c r="C57" s="3438"/>
      <c r="D57" s="12">
        <f ca="1">IF(H57="个人住宅",0,ROUND(D47*I57,0))</f>
        <v>1</v>
      </c>
      <c r="E57" s="2019" t="s">
        <v>1561</v>
      </c>
      <c r="F57" s="2492">
        <f>IF(H57="正常",I57,"免征")</f>
        <v>5.0000000000000001E-4</v>
      </c>
      <c r="G57" s="2493"/>
      <c r="H57" s="2484" t="s">
        <v>1562</v>
      </c>
      <c r="I57" s="74">
        <f>'数据-取费表'!E37</f>
        <v>5.0000000000000001E-4</v>
      </c>
      <c r="J57" s="2772"/>
      <c r="K57" s="2430">
        <f>IF(H61="非个人房产","",4)</f>
        <v>4</v>
      </c>
      <c r="L57" s="3530" t="str">
        <f>IF(H61="非个人房产","——","个人所得税")</f>
        <v>个人所得税</v>
      </c>
      <c r="M57" s="3530"/>
      <c r="N57" s="2435">
        <f ca="1">D61</f>
        <v>14</v>
      </c>
      <c r="O57" s="2436" t="str">
        <f>E61</f>
        <v>销售额×税（费）率</v>
      </c>
      <c r="P57" s="2437">
        <f>F61</f>
        <v>0.01</v>
      </c>
    </row>
    <row r="58" spans="1:17" ht="24.75">
      <c r="A58" s="3442" t="s">
        <v>1563</v>
      </c>
      <c r="B58" s="3438"/>
      <c r="C58" s="3438"/>
      <c r="D58" s="12">
        <f ca="1">IF(H58="个人住宅",D59,D60)</f>
        <v>792</v>
      </c>
      <c r="E58" s="2019" t="s">
        <v>1564</v>
      </c>
      <c r="F58" s="2492" t="str">
        <f>IF(H58="正常",F60,"免征")</f>
        <v>——</v>
      </c>
      <c r="G58" s="2494" t="s">
        <v>1565</v>
      </c>
      <c r="H58" s="2495" t="s">
        <v>1562</v>
      </c>
      <c r="I58" s="2899"/>
      <c r="J58" s="2772"/>
      <c r="K58" s="2430" t="str">
        <f>IF(项目基本情况!I6="上海银行",IF(K57="",4,K57+1),"")</f>
        <v/>
      </c>
      <c r="L58" s="3534" t="str">
        <f>IF(项目基本情况!I6="上海银行","其他处置费用","")</f>
        <v/>
      </c>
      <c r="M58" s="3539"/>
      <c r="N58" s="2432" t="str">
        <f>IF(项目基本情况!I6="上海银行",N71,"")</f>
        <v/>
      </c>
      <c r="O58" s="3534" t="str">
        <f>IF(项目基本情况!I6="上海银行","包含处置中涉及的律师、诉讼、拍卖、评估等费用","")</f>
        <v/>
      </c>
      <c r="P58" s="3535"/>
    </row>
    <row r="59" spans="1:17" ht="12.75">
      <c r="A59" s="2009" t="s">
        <v>1540</v>
      </c>
      <c r="B59" s="3489" t="s">
        <v>1566</v>
      </c>
      <c r="C59" s="3478"/>
      <c r="D59" s="2485">
        <v>0</v>
      </c>
      <c r="E59" s="261" t="s">
        <v>1542</v>
      </c>
      <c r="F59" s="235"/>
      <c r="G59" s="2493"/>
      <c r="H59" s="2899"/>
      <c r="I59" s="2899"/>
      <c r="J59" s="2772"/>
      <c r="K59" s="3530">
        <f>IF(AND(K57="",K58=""),4,IF(项目基本情况!I6="上海银行",K58+1,K57+1))</f>
        <v>5</v>
      </c>
      <c r="L59" s="3530" t="s">
        <v>1567</v>
      </c>
      <c r="M59" s="2438" t="s">
        <v>1568</v>
      </c>
      <c r="N59" s="2439"/>
      <c r="O59" s="2440">
        <f ca="1">SUMIF(N54:N58,"&lt;9e307")</f>
        <v>882</v>
      </c>
      <c r="P59" s="2441"/>
      <c r="Q59" s="1233" t="e">
        <f ca="1">O59/N51</f>
        <v>#VALUE!</v>
      </c>
    </row>
    <row r="60" spans="1:17" ht="24.75">
      <c r="A60" s="2009" t="s">
        <v>1551</v>
      </c>
      <c r="B60" s="3489" t="s">
        <v>1569</v>
      </c>
      <c r="C60" s="3477"/>
      <c r="D60" s="12">
        <f ca="1">IF(H60="转让取得",C83,C99)</f>
        <v>792</v>
      </c>
      <c r="E60" s="2019" t="s">
        <v>1564</v>
      </c>
      <c r="F60" s="235" t="s">
        <v>48</v>
      </c>
      <c r="G60" s="2493"/>
      <c r="H60" s="2495" t="s">
        <v>1570</v>
      </c>
      <c r="I60" s="2899"/>
      <c r="J60" s="2772"/>
      <c r="K60" s="3530"/>
      <c r="L60" s="3530"/>
      <c r="M60" s="2438" t="s">
        <v>1571</v>
      </c>
      <c r="N60" s="2442"/>
      <c r="O60" s="2443" t="str">
        <f ca="1">IF(H19="元",NUMBERSTRING(INT(O59),2)&amp;"元整",NUMBERSTRING(INT(O59*10000),2)&amp;"元整")</f>
        <v>捌佰捌拾贰万元整</v>
      </c>
      <c r="P60" s="2444"/>
    </row>
    <row r="61" spans="1:17" ht="26.25" thickBot="1">
      <c r="A61" s="3505" t="s">
        <v>1572</v>
      </c>
      <c r="B61" s="3506"/>
      <c r="C61" s="3506"/>
      <c r="D61" s="69">
        <f ca="1">IF(H61="非个人房产","——",IF(H61="个人住宅（满五唯一有凭证）",0,IF(H61="个人其他（无凭证）",ROUND(D47*F61,0),ROUND(C69*F61,0))))</f>
        <v>14</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2572</v>
      </c>
      <c r="H61" s="2023" t="s">
        <v>2498</v>
      </c>
      <c r="I61" s="2800" t="s">
        <v>2584</v>
      </c>
      <c r="J61" s="2772"/>
      <c r="K61" s="3536">
        <f>K59+1</f>
        <v>6</v>
      </c>
      <c r="L61" s="3530" t="s">
        <v>1573</v>
      </c>
      <c r="M61" s="2430" t="s">
        <v>1568</v>
      </c>
      <c r="N61" s="2445"/>
      <c r="O61" s="2446" t="e">
        <f ca="1">N51-O59</f>
        <v>#VALUE!</v>
      </c>
      <c r="P61" s="2447"/>
    </row>
    <row r="62" spans="1:17" ht="12" customHeight="1">
      <c r="A62" s="1384"/>
      <c r="B62" s="2480"/>
      <c r="C62" s="2480"/>
      <c r="D62" s="2480"/>
      <c r="E62" s="1384"/>
      <c r="F62" s="2899"/>
      <c r="G62" s="2899"/>
      <c r="H62" s="2894"/>
      <c r="I62" s="904"/>
      <c r="J62" s="2772"/>
      <c r="K62" s="3537"/>
      <c r="L62" s="3530"/>
      <c r="M62" s="2438" t="s">
        <v>1571</v>
      </c>
      <c r="N62" s="2442"/>
      <c r="O62" s="2443" t="e">
        <f ca="1">IF(H19="元",NUMBERSTRING(INT(O61),2)&amp;"元整",NUMBERSTRING(INT(O61*10000),2)&amp;"元整")</f>
        <v>#VALUE!</v>
      </c>
      <c r="P62" s="2444"/>
    </row>
    <row r="63" spans="1:17" ht="13.5" thickBot="1">
      <c r="A63" s="3538" t="s">
        <v>1574</v>
      </c>
      <c r="B63" s="3538"/>
      <c r="C63" s="3538"/>
      <c r="D63" s="3538"/>
      <c r="E63" s="3538"/>
      <c r="F63" s="2899"/>
      <c r="G63" s="2899"/>
      <c r="H63" s="2894"/>
      <c r="I63" s="904"/>
      <c r="J63" s="2764"/>
      <c r="K63" s="2430">
        <f>K61+1</f>
        <v>7</v>
      </c>
      <c r="L63" s="3530" t="s">
        <v>1575</v>
      </c>
      <c r="M63" s="3530"/>
      <c r="N63" s="2448"/>
      <c r="O63" s="2449" t="e">
        <f ca="1">IF(H19="元",ROUND(O61/项目基本情况!C12,0),ROUND(O61*10000/项目基本情况!C12,0))</f>
        <v>#VALUE!</v>
      </c>
      <c r="P63" s="2450"/>
    </row>
    <row r="64" spans="1:17" ht="12.75">
      <c r="A64" s="3456" t="s">
        <v>1576</v>
      </c>
      <c r="B64" s="3457"/>
      <c r="C64" s="1534"/>
      <c r="D64" s="1534" t="s">
        <v>1577</v>
      </c>
      <c r="E64" s="45" t="s">
        <v>1578</v>
      </c>
      <c r="F64" s="2899"/>
      <c r="G64" s="2899"/>
      <c r="H64" s="2894"/>
      <c r="I64" s="904"/>
      <c r="J64" s="2764"/>
      <c r="K64" s="1235"/>
      <c r="L64" s="1235"/>
      <c r="M64" s="1235"/>
      <c r="N64" s="1235"/>
      <c r="O64" s="1235"/>
    </row>
    <row r="65" spans="1:36" ht="12.75">
      <c r="A65" s="46">
        <v>1</v>
      </c>
      <c r="B65" s="47" t="s">
        <v>1579</v>
      </c>
      <c r="C65" s="2703">
        <f ca="1">ROUND((C66+C67)/(1+'数据-取费表'!F30),0)</f>
        <v>1332</v>
      </c>
      <c r="D65" s="47"/>
      <c r="E65" s="48"/>
      <c r="F65" s="2899"/>
      <c r="G65" s="2899"/>
      <c r="H65" s="2894"/>
      <c r="I65" s="904"/>
      <c r="J65" s="2764"/>
      <c r="K65" s="3526" t="s">
        <v>1580</v>
      </c>
      <c r="L65" s="1234" t="s">
        <v>1581</v>
      </c>
      <c r="M65" s="1234" t="e">
        <f>IF(N51&gt;10000,N51*0.5%,IF(AND(N51&gt;1000,N51&lt;=10000),N51*1%,IF(AND(N51&gt;100,N51&lt;=1000),N51*3%,IF(AND(N51&gt;10,N51&lt;=100),N51*5%,N51*8%))))</f>
        <v>#VALUE!</v>
      </c>
      <c r="N65" s="235" t="e">
        <f>ROUND(M65,1)</f>
        <v>#VALUE!</v>
      </c>
      <c r="O65" s="2451"/>
    </row>
    <row r="66" spans="1:36" ht="12.75">
      <c r="A66" s="49" t="s">
        <v>71</v>
      </c>
      <c r="B66" s="50" t="s">
        <v>1582</v>
      </c>
      <c r="C66" s="2704">
        <f ca="1">D47</f>
        <v>1399</v>
      </c>
      <c r="D66" s="50" t="s">
        <v>41</v>
      </c>
      <c r="E66" s="52"/>
      <c r="F66" s="2899"/>
      <c r="G66" s="2899"/>
      <c r="H66" s="2894"/>
      <c r="I66" s="904"/>
      <c r="J66" s="2764"/>
      <c r="K66" s="3526"/>
      <c r="L66" s="1234" t="s">
        <v>1583</v>
      </c>
      <c r="M66" s="1234"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1" t="s">
        <v>1584</v>
      </c>
    </row>
    <row r="67" spans="1:36" ht="12.75">
      <c r="A67" s="49" t="s">
        <v>72</v>
      </c>
      <c r="B67" s="50" t="s">
        <v>1585</v>
      </c>
      <c r="C67" s="2705"/>
      <c r="D67" s="50"/>
      <c r="E67" s="52"/>
      <c r="F67" s="2899"/>
      <c r="G67" s="2899"/>
      <c r="H67" s="2894"/>
      <c r="I67" s="904"/>
      <c r="J67" s="2764"/>
      <c r="K67" s="3526"/>
      <c r="L67" s="1234" t="s">
        <v>1586</v>
      </c>
      <c r="M67" s="1234" t="e">
        <f>IF(N51&gt;1000,N51*0.1%,IF(AND(N51&gt;500,N51&lt;=1000),N51*0.5%,IF(AND(N51&gt;50,N51&lt;=500),N51*1%,IF(AND(N51&gt;1,N51&lt;=50),N51*1.5%))))</f>
        <v>#VALUE!</v>
      </c>
      <c r="N67" s="235" t="e">
        <f t="shared" si="2"/>
        <v>#VALUE!</v>
      </c>
      <c r="O67" s="2451" t="s">
        <v>1584</v>
      </c>
    </row>
    <row r="68" spans="1:36" ht="12.75">
      <c r="A68" s="53" t="s">
        <v>47</v>
      </c>
      <c r="B68" s="54" t="s">
        <v>1587</v>
      </c>
      <c r="C68" s="2706"/>
      <c r="D68" s="54" t="s">
        <v>41</v>
      </c>
      <c r="E68" s="1243" t="s">
        <v>1588</v>
      </c>
      <c r="F68" s="2899"/>
      <c r="G68" s="2899"/>
      <c r="H68" s="2894"/>
      <c r="I68" s="904"/>
      <c r="J68" s="2764"/>
      <c r="K68" s="3526"/>
      <c r="L68" s="1234" t="s">
        <v>1589</v>
      </c>
      <c r="M68" s="1234" t="e">
        <f>N51*0.5%</f>
        <v>#VALUE!</v>
      </c>
      <c r="N68" s="235" t="e">
        <f>IF(M68&gt;0.5,0.5,ROUND(M68,0))</f>
        <v>#VALUE!</v>
      </c>
      <c r="O68" s="2451" t="s">
        <v>1590</v>
      </c>
    </row>
    <row r="69" spans="1:36" ht="12.75">
      <c r="A69" s="53" t="s">
        <v>42</v>
      </c>
      <c r="B69" s="54" t="s">
        <v>1591</v>
      </c>
      <c r="C69" s="2707">
        <f ca="1">C65-C68</f>
        <v>1332</v>
      </c>
      <c r="D69" s="50" t="s">
        <v>41</v>
      </c>
      <c r="E69" s="52"/>
      <c r="F69" s="2899"/>
      <c r="G69" s="2899"/>
      <c r="H69" s="2894"/>
      <c r="I69" s="904"/>
      <c r="J69" s="2764"/>
      <c r="K69" s="3526"/>
      <c r="L69" s="1234" t="s">
        <v>1592</v>
      </c>
      <c r="M69" s="1234"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1"/>
    </row>
    <row r="70" spans="1:36" ht="13.5" thickBot="1">
      <c r="A70" s="55" t="s">
        <v>46</v>
      </c>
      <c r="B70" s="56" t="s">
        <v>1593</v>
      </c>
      <c r="C70" s="2708">
        <f ca="1">IF(C69&lt;=0,0,ROUND(C69*D70,0))</f>
        <v>75</v>
      </c>
      <c r="D70" s="2169">
        <f>'数据-取费表'!E29</f>
        <v>5.6000000000000001E-2</v>
      </c>
      <c r="E70" s="57"/>
      <c r="F70" s="2899"/>
      <c r="G70" s="2899"/>
      <c r="H70" s="2894"/>
      <c r="I70" s="904"/>
      <c r="J70" s="2764"/>
      <c r="K70" s="3526"/>
      <c r="L70" s="1234" t="s">
        <v>1594</v>
      </c>
      <c r="M70" s="1234" t="e">
        <f>IF(N51&gt;10000,N51*0.5%,IF(AND(N51&gt;5000,N51&lt;=10000),N51*1%,IF(AND(N51&gt;1000,N51&lt;=5000),N51*2%,IF(AND(N51&gt;200,N51&lt;=1000),N51*3%,N51*5%))))</f>
        <v>#VALUE!</v>
      </c>
      <c r="N70" s="235" t="e">
        <f>ROUND(M70,1)</f>
        <v>#VALUE!</v>
      </c>
      <c r="O70" s="2451"/>
    </row>
    <row r="71" spans="1:36" s="1392" customFormat="1" ht="7.5" customHeight="1">
      <c r="A71" s="1404"/>
      <c r="B71" s="1405"/>
      <c r="C71" s="2709"/>
      <c r="D71" s="2212"/>
      <c r="E71" s="1408"/>
      <c r="F71" s="1384"/>
      <c r="G71" s="1384"/>
      <c r="H71" s="1408"/>
      <c r="I71" s="2480"/>
      <c r="J71" s="2764"/>
      <c r="K71" s="3526"/>
      <c r="L71" s="1234" t="s">
        <v>1595</v>
      </c>
      <c r="M71" s="1234"/>
      <c r="N71" s="235" t="e">
        <f>ROUND(SUM(N65:N70),0)</f>
        <v>#VALUE!</v>
      </c>
      <c r="O71" s="2452" t="e">
        <f>N71/N51</f>
        <v>#VALUE!</v>
      </c>
      <c r="P71" s="658"/>
      <c r="Q71" s="658"/>
      <c r="R71" s="658"/>
      <c r="S71" s="658"/>
      <c r="T71" s="658"/>
      <c r="U71" s="658"/>
      <c r="V71" s="658"/>
      <c r="W71" s="658"/>
      <c r="X71" s="658"/>
      <c r="Y71" s="658"/>
      <c r="Z71" s="658"/>
      <c r="AA71" s="658"/>
      <c r="AB71" s="1235"/>
      <c r="AC71" s="1235"/>
      <c r="AD71" s="1235"/>
      <c r="AE71" s="1235"/>
      <c r="AF71" s="1235"/>
      <c r="AG71" s="1235"/>
      <c r="AH71" s="1235"/>
      <c r="AI71" s="1235"/>
      <c r="AJ71" s="1235"/>
    </row>
    <row r="72" spans="1:36" s="1410" customFormat="1" ht="15" thickBot="1">
      <c r="A72" s="3543" t="s">
        <v>1596</v>
      </c>
      <c r="B72" s="3544"/>
      <c r="C72" s="3544"/>
      <c r="D72" s="3544"/>
      <c r="E72" s="3544"/>
      <c r="F72" s="3544"/>
      <c r="G72" s="3544"/>
      <c r="H72" s="3544"/>
      <c r="I72" s="1409"/>
      <c r="J72" s="2773"/>
      <c r="K72" s="933"/>
      <c r="L72" s="933"/>
      <c r="M72" s="933"/>
      <c r="N72" s="933"/>
      <c r="O72" s="933"/>
      <c r="P72" s="933"/>
      <c r="Q72" s="933"/>
      <c r="R72" s="933"/>
      <c r="S72" s="933"/>
      <c r="T72" s="933"/>
      <c r="U72" s="933"/>
      <c r="V72" s="933"/>
      <c r="W72" s="933"/>
      <c r="X72" s="933"/>
      <c r="Y72" s="933"/>
      <c r="Z72" s="933"/>
      <c r="AA72" s="933"/>
      <c r="AB72" s="1411"/>
      <c r="AC72" s="1411"/>
      <c r="AD72" s="1411"/>
      <c r="AE72" s="1411"/>
      <c r="AF72" s="1411"/>
      <c r="AG72" s="1411"/>
      <c r="AH72" s="1411"/>
      <c r="AI72" s="1411"/>
      <c r="AJ72" s="1411"/>
    </row>
    <row r="73" spans="1:36" s="1410" customFormat="1" ht="14.25">
      <c r="A73" s="3456" t="s">
        <v>1576</v>
      </c>
      <c r="B73" s="3457"/>
      <c r="C73" s="1534"/>
      <c r="D73" s="1534" t="s">
        <v>1577</v>
      </c>
      <c r="E73" s="58" t="s">
        <v>1578</v>
      </c>
      <c r="F73" s="59"/>
      <c r="G73" s="59"/>
      <c r="H73" s="60"/>
      <c r="I73" s="2710"/>
      <c r="J73" s="2795"/>
      <c r="K73" s="933"/>
      <c r="L73" s="933"/>
      <c r="M73" s="933"/>
      <c r="N73" s="933"/>
      <c r="O73" s="933"/>
      <c r="P73" s="933"/>
      <c r="Q73" s="933"/>
      <c r="R73" s="933"/>
      <c r="S73" s="933"/>
      <c r="T73" s="933"/>
      <c r="U73" s="933"/>
      <c r="V73" s="933"/>
      <c r="W73" s="933"/>
      <c r="X73" s="933"/>
      <c r="Y73" s="933"/>
      <c r="Z73" s="933"/>
      <c r="AA73" s="933"/>
      <c r="AB73" s="1411"/>
      <c r="AC73" s="1411"/>
      <c r="AD73" s="1411"/>
      <c r="AE73" s="1411"/>
      <c r="AF73" s="1411"/>
      <c r="AG73" s="1411"/>
      <c r="AH73" s="1411"/>
      <c r="AI73" s="1411"/>
      <c r="AJ73" s="1411"/>
    </row>
    <row r="74" spans="1:36" s="1410" customFormat="1" ht="14.25">
      <c r="A74" s="61">
        <v>1</v>
      </c>
      <c r="B74" s="54" t="s">
        <v>1597</v>
      </c>
      <c r="C74" s="2707">
        <f ca="1">ROUND(D47/(1+'数据-取费表'!F30),0)</f>
        <v>1332</v>
      </c>
      <c r="D74" s="50" t="s">
        <v>41</v>
      </c>
      <c r="E74" s="2015"/>
      <c r="F74" s="2016"/>
      <c r="G74" s="2016"/>
      <c r="H74" s="62"/>
      <c r="I74" s="2710"/>
      <c r="J74" s="2795"/>
      <c r="K74" s="933"/>
      <c r="L74" s="933"/>
      <c r="M74" s="933"/>
      <c r="N74" s="933"/>
      <c r="O74" s="933"/>
      <c r="P74" s="933"/>
      <c r="Q74" s="933"/>
      <c r="R74" s="933"/>
      <c r="S74" s="933"/>
      <c r="T74" s="933"/>
      <c r="U74" s="933"/>
      <c r="V74" s="933"/>
      <c r="W74" s="933"/>
      <c r="X74" s="933"/>
      <c r="Y74" s="933"/>
      <c r="Z74" s="933"/>
      <c r="AA74" s="933"/>
      <c r="AB74" s="1411"/>
      <c r="AC74" s="1411"/>
      <c r="AD74" s="1411"/>
      <c r="AE74" s="1411"/>
      <c r="AF74" s="1411"/>
      <c r="AG74" s="1411"/>
      <c r="AH74" s="1411"/>
      <c r="AI74" s="1411"/>
      <c r="AJ74" s="1411"/>
    </row>
    <row r="75" spans="1:36" s="1410" customFormat="1" ht="14.25">
      <c r="A75" s="63">
        <v>2</v>
      </c>
      <c r="B75" s="41" t="s">
        <v>1599</v>
      </c>
      <c r="C75" s="2707">
        <f ca="1">C76+C80</f>
        <v>8</v>
      </c>
      <c r="D75" s="50" t="s">
        <v>41</v>
      </c>
      <c r="E75" s="2015"/>
      <c r="F75" s="2016"/>
      <c r="G75" s="2016"/>
      <c r="H75" s="62"/>
      <c r="I75" s="2710"/>
      <c r="J75" s="2795"/>
      <c r="K75" s="933"/>
      <c r="L75" s="933"/>
      <c r="M75" s="933"/>
      <c r="N75" s="933"/>
      <c r="O75" s="933"/>
      <c r="P75" s="933"/>
      <c r="Q75" s="933"/>
      <c r="R75" s="933"/>
      <c r="S75" s="933"/>
      <c r="T75" s="933"/>
      <c r="U75" s="933"/>
      <c r="V75" s="933"/>
      <c r="W75" s="933"/>
      <c r="X75" s="933"/>
      <c r="Y75" s="933"/>
      <c r="Z75" s="933"/>
      <c r="AA75" s="933"/>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3"/>
      <c r="L76" s="933"/>
      <c r="M76" s="933"/>
      <c r="N76" s="933"/>
      <c r="O76" s="933"/>
      <c r="P76" s="933"/>
      <c r="Q76" s="933"/>
      <c r="R76" s="933"/>
      <c r="S76" s="933"/>
      <c r="T76" s="933"/>
      <c r="U76" s="933"/>
      <c r="V76" s="933"/>
      <c r="W76" s="933"/>
      <c r="X76" s="933"/>
      <c r="Y76" s="933"/>
      <c r="Z76" s="933"/>
      <c r="AA76" s="933"/>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7"/>
      <c r="J77" s="2796"/>
      <c r="K77" s="933"/>
      <c r="L77" s="933"/>
      <c r="M77" s="933"/>
      <c r="N77" s="933"/>
      <c r="O77" s="933"/>
      <c r="P77" s="933"/>
      <c r="Q77" s="933"/>
      <c r="R77" s="933"/>
      <c r="S77" s="933"/>
      <c r="T77" s="933"/>
      <c r="U77" s="933"/>
      <c r="V77" s="933"/>
      <c r="W77" s="933"/>
      <c r="X77" s="933"/>
      <c r="Y77" s="933"/>
      <c r="Z77" s="933"/>
      <c r="AA77" s="933"/>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89" t="s">
        <v>1606</v>
      </c>
      <c r="F78" s="3477"/>
      <c r="G78" s="3477"/>
      <c r="H78" s="3490"/>
      <c r="I78" s="2710"/>
      <c r="J78" s="2795"/>
      <c r="K78" s="933"/>
      <c r="L78" s="933"/>
      <c r="M78" s="933"/>
      <c r="N78" s="933"/>
      <c r="O78" s="933"/>
      <c r="P78" s="933"/>
      <c r="Q78" s="933"/>
      <c r="R78" s="933"/>
      <c r="S78" s="933"/>
      <c r="T78" s="933"/>
      <c r="U78" s="933"/>
      <c r="V78" s="933"/>
      <c r="W78" s="933"/>
      <c r="X78" s="933"/>
      <c r="Y78" s="933"/>
      <c r="Z78" s="933"/>
      <c r="AA78" s="933"/>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3"/>
      <c r="L79" s="933"/>
      <c r="M79" s="933"/>
      <c r="N79" s="933"/>
      <c r="O79" s="933"/>
      <c r="P79" s="933"/>
      <c r="Q79" s="933"/>
      <c r="R79" s="933"/>
      <c r="S79" s="933"/>
      <c r="T79" s="933"/>
      <c r="U79" s="933"/>
      <c r="V79" s="933"/>
      <c r="W79" s="933"/>
      <c r="X79" s="933"/>
      <c r="Y79" s="933"/>
      <c r="Z79" s="933"/>
      <c r="AA79" s="933"/>
      <c r="AB79" s="1411"/>
      <c r="AC79" s="1411"/>
      <c r="AD79" s="1411"/>
      <c r="AE79" s="1411"/>
      <c r="AF79" s="1411"/>
      <c r="AG79" s="1411"/>
      <c r="AH79" s="1411"/>
      <c r="AI79" s="1411"/>
      <c r="AJ79" s="1411"/>
    </row>
    <row r="80" spans="1:36" s="1410" customFormat="1" ht="24.75" customHeight="1">
      <c r="A80" s="49" t="s">
        <v>77</v>
      </c>
      <c r="B80" s="50" t="s">
        <v>1610</v>
      </c>
      <c r="C80" s="2715">
        <f ca="1">ROUND(D47*D80/(1+'数据-取费表'!F30),0)</f>
        <v>8</v>
      </c>
      <c r="D80" s="2716">
        <f>'数据-取费表'!E31</f>
        <v>6.000000000000001E-3</v>
      </c>
      <c r="E80" s="3425" t="s">
        <v>1611</v>
      </c>
      <c r="F80" s="3426"/>
      <c r="G80" s="3426"/>
      <c r="H80" s="3446"/>
      <c r="I80" s="608"/>
      <c r="J80" s="2797"/>
      <c r="K80" s="933"/>
      <c r="L80" s="933"/>
      <c r="M80" s="933"/>
      <c r="N80" s="933"/>
      <c r="O80" s="933"/>
      <c r="P80" s="933"/>
      <c r="Q80" s="933"/>
      <c r="R80" s="933"/>
      <c r="S80" s="933"/>
      <c r="T80" s="933"/>
      <c r="U80" s="933"/>
      <c r="V80" s="933"/>
      <c r="W80" s="933"/>
      <c r="X80" s="933"/>
      <c r="Y80" s="933"/>
      <c r="Z80" s="933"/>
      <c r="AA80" s="933"/>
      <c r="AB80" s="1411"/>
      <c r="AC80" s="1411"/>
      <c r="AD80" s="1411"/>
      <c r="AE80" s="1411"/>
      <c r="AF80" s="1411"/>
      <c r="AG80" s="1411"/>
      <c r="AH80" s="1411"/>
      <c r="AI80" s="1411"/>
      <c r="AJ80" s="1411"/>
    </row>
    <row r="81" spans="1:36" s="1410" customFormat="1" ht="14.25">
      <c r="A81" s="53" t="s">
        <v>42</v>
      </c>
      <c r="B81" s="54" t="s">
        <v>1612</v>
      </c>
      <c r="C81" s="2707">
        <f ca="1">C74-C75</f>
        <v>1324</v>
      </c>
      <c r="D81" s="50" t="s">
        <v>41</v>
      </c>
      <c r="E81" s="2015"/>
      <c r="F81" s="2016"/>
      <c r="G81" s="2016"/>
      <c r="H81" s="62"/>
      <c r="I81" s="2710"/>
      <c r="J81" s="2795"/>
      <c r="K81" s="933"/>
      <c r="L81" s="933"/>
      <c r="M81" s="933"/>
      <c r="N81" s="933"/>
      <c r="O81" s="933"/>
      <c r="P81" s="933"/>
      <c r="Q81" s="933"/>
      <c r="R81" s="933"/>
      <c r="S81" s="933"/>
      <c r="T81" s="933"/>
      <c r="U81" s="933"/>
      <c r="V81" s="933"/>
      <c r="W81" s="933"/>
      <c r="X81" s="933"/>
      <c r="Y81" s="933"/>
      <c r="Z81" s="933"/>
      <c r="AA81" s="933"/>
      <c r="AB81" s="1411"/>
      <c r="AC81" s="1411"/>
      <c r="AD81" s="1411"/>
      <c r="AE81" s="1411"/>
      <c r="AF81" s="1411"/>
      <c r="AG81" s="1411"/>
      <c r="AH81" s="1411"/>
      <c r="AI81" s="1411"/>
      <c r="AJ81" s="1411"/>
    </row>
    <row r="82" spans="1:36" s="1410" customFormat="1" ht="14.25">
      <c r="A82" s="53" t="s">
        <v>43</v>
      </c>
      <c r="B82" s="54" t="s">
        <v>1613</v>
      </c>
      <c r="C82" s="2717">
        <f ca="1">IF(C81&lt;=0,0,C81/C75)</f>
        <v>165.5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3"/>
      <c r="L82" s="933"/>
      <c r="M82" s="933"/>
      <c r="N82" s="933"/>
      <c r="O82" s="933"/>
      <c r="P82" s="933"/>
      <c r="Q82" s="933"/>
      <c r="R82" s="933"/>
      <c r="S82" s="933"/>
      <c r="T82" s="933"/>
      <c r="U82" s="933"/>
      <c r="V82" s="933"/>
      <c r="W82" s="933"/>
      <c r="X82" s="933"/>
      <c r="Y82" s="933"/>
      <c r="Z82" s="933"/>
      <c r="AA82" s="933"/>
      <c r="AB82" s="1411"/>
      <c r="AC82" s="1411"/>
      <c r="AD82" s="1411"/>
      <c r="AE82" s="1411"/>
      <c r="AF82" s="1411"/>
      <c r="AG82" s="1411"/>
      <c r="AH82" s="1411"/>
      <c r="AI82" s="1411"/>
      <c r="AJ82" s="1411"/>
    </row>
    <row r="83" spans="1:36" s="1410" customFormat="1" ht="15" thickBot="1">
      <c r="A83" s="55" t="s">
        <v>44</v>
      </c>
      <c r="B83" s="56" t="s">
        <v>1614</v>
      </c>
      <c r="C83" s="2718">
        <f ca="1">ROUND(IF(C81&lt;=0,0,IF(C82&gt;=200%,C81*60%-C75*35%,IF(C82&gt;=100%,C81*50%-C75*15%,IF(C82&gt;=50%,C81*40%-C75*5%,IF(C82&lt;50%,C81*30%,0))))),0)</f>
        <v>792</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3"/>
      <c r="L83" s="933"/>
      <c r="M83" s="933"/>
      <c r="N83" s="933"/>
      <c r="O83" s="933"/>
      <c r="P83" s="933"/>
      <c r="Q83" s="933"/>
      <c r="R83" s="933"/>
      <c r="S83" s="933"/>
      <c r="T83" s="933"/>
      <c r="U83" s="933"/>
      <c r="V83" s="933"/>
      <c r="W83" s="933"/>
      <c r="X83" s="933"/>
      <c r="Y83" s="933"/>
      <c r="Z83" s="933"/>
      <c r="AA83" s="933"/>
      <c r="AB83" s="1411"/>
      <c r="AC83" s="1411"/>
      <c r="AD83" s="1411"/>
      <c r="AE83" s="1411"/>
      <c r="AF83" s="1411"/>
      <c r="AG83" s="1411"/>
      <c r="AH83" s="1411"/>
      <c r="AI83" s="1411"/>
      <c r="AJ83" s="1411"/>
    </row>
    <row r="84" spans="1:36" s="1410" customFormat="1" ht="7.5" customHeight="1">
      <c r="A84" s="607"/>
      <c r="B84" s="607"/>
      <c r="C84" s="607"/>
      <c r="D84" s="607"/>
      <c r="E84" s="607"/>
      <c r="F84" s="607"/>
      <c r="G84" s="607"/>
      <c r="H84" s="608"/>
      <c r="I84" s="608"/>
      <c r="J84" s="2797"/>
      <c r="K84" s="933"/>
      <c r="L84" s="933"/>
      <c r="M84" s="933"/>
      <c r="N84" s="933"/>
      <c r="O84" s="933"/>
      <c r="P84" s="933"/>
      <c r="Q84" s="933"/>
      <c r="R84" s="933"/>
      <c r="S84" s="933"/>
      <c r="T84" s="933"/>
      <c r="U84" s="933"/>
      <c r="V84" s="933"/>
      <c r="W84" s="933"/>
      <c r="X84" s="933"/>
      <c r="Y84" s="933"/>
      <c r="Z84" s="933"/>
      <c r="AA84" s="933"/>
      <c r="AB84" s="1411"/>
      <c r="AC84" s="1411"/>
      <c r="AD84" s="1411"/>
      <c r="AE84" s="1411"/>
      <c r="AF84" s="1411"/>
      <c r="AG84" s="1411"/>
      <c r="AH84" s="1411"/>
      <c r="AI84" s="1411"/>
      <c r="AJ84" s="1411"/>
    </row>
    <row r="85" spans="1:36" s="1410" customFormat="1" ht="15" thickBot="1">
      <c r="A85" s="3543" t="s">
        <v>1615</v>
      </c>
      <c r="B85" s="3544"/>
      <c r="C85" s="3544"/>
      <c r="D85" s="3544"/>
      <c r="E85" s="3544"/>
      <c r="F85" s="3544"/>
      <c r="G85" s="3544"/>
      <c r="H85" s="3544"/>
      <c r="I85" s="607"/>
      <c r="J85" s="2796"/>
      <c r="K85" s="933"/>
      <c r="L85" s="933"/>
      <c r="M85" s="933"/>
      <c r="N85" s="933"/>
      <c r="O85" s="933"/>
      <c r="P85" s="933"/>
      <c r="Q85" s="933"/>
      <c r="R85" s="933"/>
      <c r="S85" s="933"/>
      <c r="T85" s="933"/>
      <c r="U85" s="933"/>
      <c r="V85" s="933"/>
      <c r="W85" s="933"/>
      <c r="X85" s="933"/>
      <c r="Y85" s="933"/>
      <c r="Z85" s="933"/>
      <c r="AA85" s="933"/>
      <c r="AB85" s="1411"/>
      <c r="AC85" s="1411"/>
      <c r="AD85" s="1411"/>
      <c r="AE85" s="1411"/>
      <c r="AF85" s="1411"/>
      <c r="AG85" s="1411"/>
      <c r="AH85" s="1411"/>
      <c r="AI85" s="1411"/>
      <c r="AJ85" s="1411"/>
    </row>
    <row r="86" spans="1:36" s="1410" customFormat="1" ht="14.25">
      <c r="A86" s="3456" t="s">
        <v>1576</v>
      </c>
      <c r="B86" s="3457"/>
      <c r="C86" s="1534"/>
      <c r="D86" s="1534" t="s">
        <v>1577</v>
      </c>
      <c r="E86" s="58" t="s">
        <v>1578</v>
      </c>
      <c r="F86" s="59"/>
      <c r="G86" s="59"/>
      <c r="H86" s="72"/>
      <c r="I86" s="607"/>
      <c r="J86" s="2796"/>
      <c r="K86" s="933"/>
      <c r="L86" s="933"/>
      <c r="M86" s="933"/>
      <c r="N86" s="933"/>
      <c r="O86" s="933"/>
      <c r="P86" s="933"/>
      <c r="Q86" s="933"/>
      <c r="R86" s="933"/>
      <c r="S86" s="933"/>
      <c r="T86" s="933"/>
      <c r="U86" s="933"/>
      <c r="V86" s="933"/>
      <c r="W86" s="933"/>
      <c r="X86" s="933"/>
      <c r="Y86" s="933"/>
      <c r="Z86" s="933"/>
      <c r="AA86" s="933"/>
      <c r="AB86" s="1411"/>
      <c r="AC86" s="1411"/>
      <c r="AD86" s="1411"/>
      <c r="AE86" s="1411"/>
      <c r="AF86" s="1411"/>
      <c r="AG86" s="1411"/>
      <c r="AH86" s="1411"/>
      <c r="AI86" s="1411"/>
      <c r="AJ86" s="1411"/>
    </row>
    <row r="87" spans="1:36" s="1410" customFormat="1" ht="14.25">
      <c r="A87" s="61">
        <v>1</v>
      </c>
      <c r="B87" s="54" t="s">
        <v>1597</v>
      </c>
      <c r="C87" s="2707">
        <f ca="1">ROUND(D47/(1+'数据-取费表'!F30),0)</f>
        <v>1332</v>
      </c>
      <c r="D87" s="50" t="s">
        <v>41</v>
      </c>
      <c r="E87" s="2015"/>
      <c r="F87" s="2016"/>
      <c r="G87" s="2016"/>
      <c r="H87" s="73"/>
      <c r="I87" s="607"/>
      <c r="J87" s="2796"/>
      <c r="K87" s="933"/>
      <c r="L87" s="933"/>
      <c r="M87" s="933"/>
      <c r="N87" s="933"/>
      <c r="O87" s="933"/>
      <c r="P87" s="933"/>
      <c r="Q87" s="933"/>
      <c r="R87" s="933"/>
      <c r="S87" s="933"/>
      <c r="T87" s="933"/>
      <c r="U87" s="933"/>
      <c r="V87" s="933"/>
      <c r="W87" s="933"/>
      <c r="X87" s="933"/>
      <c r="Y87" s="933"/>
      <c r="Z87" s="933"/>
      <c r="AA87" s="933"/>
      <c r="AB87" s="1411"/>
      <c r="AC87" s="1411"/>
      <c r="AD87" s="1411"/>
      <c r="AE87" s="1411"/>
      <c r="AF87" s="1411"/>
      <c r="AG87" s="1411"/>
      <c r="AH87" s="1411"/>
      <c r="AI87" s="1411"/>
      <c r="AJ87" s="1411"/>
    </row>
    <row r="88" spans="1:36" s="1410" customFormat="1" ht="14.25">
      <c r="A88" s="63">
        <v>2</v>
      </c>
      <c r="B88" s="41" t="s">
        <v>1599</v>
      </c>
      <c r="C88" s="2707">
        <f ca="1">IF(H90="仅含出让金",C89+C92+C93+C94+C95+C96,C89+C93+C94+C95+C96)</f>
        <v>8</v>
      </c>
      <c r="D88" s="2719"/>
      <c r="E88" s="2015"/>
      <c r="F88" s="2016"/>
      <c r="G88" s="2016"/>
      <c r="H88" s="73"/>
      <c r="I88" s="607"/>
      <c r="J88" s="2796"/>
      <c r="K88" s="933"/>
      <c r="L88" s="933"/>
      <c r="M88" s="933"/>
      <c r="N88" s="933"/>
      <c r="O88" s="933"/>
      <c r="P88" s="933"/>
      <c r="Q88" s="933"/>
      <c r="R88" s="933"/>
      <c r="S88" s="933"/>
      <c r="T88" s="933"/>
      <c r="U88" s="933"/>
      <c r="V88" s="933"/>
      <c r="W88" s="933"/>
      <c r="X88" s="933"/>
      <c r="Y88" s="933"/>
      <c r="Z88" s="933"/>
      <c r="AA88" s="933"/>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7"/>
      <c r="J89" s="2796"/>
      <c r="K89" s="933"/>
      <c r="L89" s="933"/>
      <c r="M89" s="933"/>
      <c r="N89" s="933"/>
      <c r="O89" s="933"/>
      <c r="P89" s="933"/>
      <c r="Q89" s="933"/>
      <c r="R89" s="933"/>
      <c r="S89" s="933"/>
      <c r="T89" s="933"/>
      <c r="U89" s="933"/>
      <c r="V89" s="933"/>
      <c r="W89" s="933"/>
      <c r="X89" s="933"/>
      <c r="Y89" s="933"/>
      <c r="Z89" s="933"/>
      <c r="AA89" s="933"/>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7"/>
      <c r="J90" s="2796"/>
      <c r="K90" s="2891" t="s">
        <v>2576</v>
      </c>
      <c r="L90" s="1411"/>
      <c r="M90" s="1411"/>
      <c r="N90" s="1411"/>
      <c r="O90" s="1411"/>
      <c r="P90" s="1411"/>
      <c r="Q90" s="1411"/>
      <c r="R90" s="1411"/>
      <c r="S90" s="1411"/>
      <c r="T90" s="933"/>
      <c r="U90" s="933"/>
      <c r="V90" s="933"/>
      <c r="W90" s="933"/>
      <c r="X90" s="933"/>
      <c r="Y90" s="933"/>
      <c r="Z90" s="933"/>
      <c r="AA90" s="933"/>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7"/>
      <c r="J91" s="2796"/>
      <c r="K91" s="933"/>
      <c r="L91" s="933"/>
      <c r="M91" s="933"/>
      <c r="N91" s="933"/>
      <c r="O91" s="933"/>
      <c r="P91" s="933"/>
      <c r="Q91" s="933"/>
      <c r="R91" s="933"/>
      <c r="S91" s="933"/>
      <c r="T91" s="933"/>
      <c r="U91" s="933"/>
      <c r="V91" s="933"/>
      <c r="W91" s="933"/>
      <c r="X91" s="933"/>
      <c r="Y91" s="933"/>
      <c r="Z91" s="933"/>
      <c r="AA91" s="933"/>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465" t="s">
        <v>2493</v>
      </c>
      <c r="H92" s="3545"/>
      <c r="I92" s="607"/>
      <c r="J92" s="2796"/>
      <c r="K92" s="2891" t="s">
        <v>2577</v>
      </c>
      <c r="L92" s="1411"/>
      <c r="M92" s="1411"/>
      <c r="N92" s="1411"/>
      <c r="O92" s="1411"/>
      <c r="P92" s="1411"/>
      <c r="Q92" s="1411"/>
      <c r="R92" s="1411"/>
      <c r="S92" s="1411"/>
      <c r="T92" s="933"/>
      <c r="U92" s="933"/>
      <c r="V92" s="933"/>
      <c r="W92" s="933"/>
      <c r="X92" s="933"/>
      <c r="Y92" s="933"/>
      <c r="Z92" s="933"/>
      <c r="AA92" s="933"/>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25" t="s">
        <v>1623</v>
      </c>
      <c r="F93" s="3426"/>
      <c r="G93" s="3426"/>
      <c r="H93" s="1416" t="s">
        <v>1624</v>
      </c>
      <c r="I93" s="2721"/>
      <c r="J93" s="2798"/>
      <c r="K93" s="933"/>
      <c r="L93" s="933"/>
      <c r="M93" s="933"/>
      <c r="N93" s="933"/>
      <c r="O93" s="933"/>
      <c r="P93" s="933"/>
      <c r="Q93" s="933"/>
      <c r="R93" s="933"/>
      <c r="S93" s="933"/>
      <c r="T93" s="933"/>
      <c r="U93" s="933"/>
      <c r="V93" s="933"/>
      <c r="W93" s="933"/>
      <c r="X93" s="933"/>
      <c r="Y93" s="933"/>
      <c r="Z93" s="933"/>
      <c r="AA93" s="933"/>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25" t="s">
        <v>1626</v>
      </c>
      <c r="F94" s="3426"/>
      <c r="G94" s="3426"/>
      <c r="H94" s="3446"/>
      <c r="I94" s="607"/>
      <c r="J94" s="2796"/>
      <c r="K94" s="2892" t="s">
        <v>2578</v>
      </c>
      <c r="L94" s="1411"/>
      <c r="M94" s="1411"/>
      <c r="N94" s="1411"/>
      <c r="O94" s="1411"/>
      <c r="P94" s="1411"/>
      <c r="Q94" s="933"/>
      <c r="R94" s="933"/>
      <c r="S94" s="933"/>
      <c r="T94" s="933"/>
      <c r="U94" s="933"/>
      <c r="V94" s="933"/>
      <c r="W94" s="933"/>
      <c r="X94" s="933"/>
      <c r="Y94" s="933"/>
      <c r="Z94" s="933"/>
      <c r="AA94" s="933"/>
      <c r="AB94" s="1411"/>
      <c r="AC94" s="1411"/>
      <c r="AD94" s="1411"/>
      <c r="AE94" s="1411"/>
      <c r="AF94" s="1411"/>
      <c r="AG94" s="1411"/>
      <c r="AH94" s="1411"/>
      <c r="AI94" s="1411"/>
      <c r="AJ94" s="1411"/>
    </row>
    <row r="95" spans="1:36" s="1410" customFormat="1" ht="25.5" customHeight="1">
      <c r="A95" s="49" t="s">
        <v>80</v>
      </c>
      <c r="B95" s="50" t="s">
        <v>1610</v>
      </c>
      <c r="C95" s="2715">
        <f ca="1">ROUND(D47*D95/(1+'数据-取费表'!F30),0)</f>
        <v>8</v>
      </c>
      <c r="D95" s="2716">
        <f>'数据-取费表'!E31</f>
        <v>6.000000000000001E-3</v>
      </c>
      <c r="E95" s="3425" t="s">
        <v>1611</v>
      </c>
      <c r="F95" s="3426"/>
      <c r="G95" s="3426"/>
      <c r="H95" s="3446"/>
      <c r="I95" s="607"/>
      <c r="J95" s="2796"/>
      <c r="K95" s="933"/>
      <c r="L95" s="933"/>
      <c r="M95" s="933"/>
      <c r="N95" s="933"/>
      <c r="O95" s="933"/>
      <c r="P95" s="933"/>
      <c r="Q95" s="933"/>
      <c r="R95" s="933"/>
      <c r="S95" s="933"/>
      <c r="T95" s="933"/>
      <c r="U95" s="933"/>
      <c r="V95" s="933"/>
      <c r="W95" s="933"/>
      <c r="X95" s="933"/>
      <c r="Y95" s="933"/>
      <c r="Z95" s="933"/>
      <c r="AA95" s="933"/>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25" t="s">
        <v>1628</v>
      </c>
      <c r="F96" s="3426"/>
      <c r="G96" s="3426"/>
      <c r="H96" s="3446"/>
      <c r="I96" s="607"/>
      <c r="J96" s="2796"/>
      <c r="K96" s="933"/>
      <c r="L96" s="933"/>
      <c r="M96" s="933"/>
      <c r="N96" s="933"/>
      <c r="O96" s="933"/>
      <c r="P96" s="933"/>
      <c r="Q96" s="933"/>
      <c r="R96" s="933"/>
      <c r="S96" s="933"/>
      <c r="T96" s="933"/>
      <c r="U96" s="933"/>
      <c r="V96" s="933"/>
      <c r="W96" s="933"/>
      <c r="X96" s="933"/>
      <c r="Y96" s="933"/>
      <c r="Z96" s="933"/>
      <c r="AA96" s="933"/>
      <c r="AB96" s="1411"/>
      <c r="AC96" s="1411"/>
      <c r="AD96" s="1411"/>
      <c r="AE96" s="1411"/>
      <c r="AF96" s="1411"/>
      <c r="AG96" s="1411"/>
      <c r="AH96" s="1411"/>
      <c r="AI96" s="1411"/>
      <c r="AJ96" s="1411"/>
    </row>
    <row r="97" spans="1:36" s="1410" customFormat="1" ht="14.25">
      <c r="A97" s="53" t="s">
        <v>42</v>
      </c>
      <c r="B97" s="54" t="s">
        <v>1612</v>
      </c>
      <c r="C97" s="2707">
        <f ca="1">ROUND(C87-C88,0)</f>
        <v>1324</v>
      </c>
      <c r="D97" s="50" t="s">
        <v>41</v>
      </c>
      <c r="E97" s="2015"/>
      <c r="F97" s="2016"/>
      <c r="G97" s="2016"/>
      <c r="H97" s="73"/>
      <c r="I97" s="607"/>
      <c r="J97" s="2796"/>
      <c r="K97" s="933"/>
      <c r="L97" s="933"/>
      <c r="M97" s="933"/>
      <c r="N97" s="933"/>
      <c r="O97" s="933"/>
      <c r="P97" s="933"/>
      <c r="Q97" s="933"/>
      <c r="R97" s="933"/>
      <c r="S97" s="933"/>
      <c r="T97" s="933"/>
      <c r="U97" s="933"/>
      <c r="V97" s="933"/>
      <c r="W97" s="933"/>
      <c r="X97" s="933"/>
      <c r="Y97" s="933"/>
      <c r="Z97" s="933"/>
      <c r="AA97" s="933"/>
      <c r="AB97" s="1411"/>
      <c r="AC97" s="1411"/>
      <c r="AD97" s="1411"/>
      <c r="AE97" s="1411"/>
      <c r="AF97" s="1411"/>
      <c r="AG97" s="1411"/>
      <c r="AH97" s="1411"/>
      <c r="AI97" s="1411"/>
      <c r="AJ97" s="1411"/>
    </row>
    <row r="98" spans="1:36" s="1410" customFormat="1" ht="14.25">
      <c r="A98" s="53" t="s">
        <v>43</v>
      </c>
      <c r="B98" s="54" t="s">
        <v>1613</v>
      </c>
      <c r="C98" s="2717">
        <f ca="1">IF(C97&lt;=0,0,C97/C88)</f>
        <v>165.5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7"/>
      <c r="J98" s="2796"/>
      <c r="K98" s="933"/>
      <c r="L98" s="933"/>
      <c r="M98" s="933"/>
      <c r="N98" s="933"/>
      <c r="O98" s="933"/>
      <c r="P98" s="933"/>
      <c r="Q98" s="933"/>
      <c r="R98" s="933"/>
      <c r="S98" s="933"/>
      <c r="T98" s="933"/>
      <c r="U98" s="933"/>
      <c r="V98" s="933"/>
      <c r="W98" s="933"/>
      <c r="X98" s="933"/>
      <c r="Y98" s="933"/>
      <c r="Z98" s="933"/>
      <c r="AA98" s="933"/>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792</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3"/>
      <c r="L99" s="933"/>
      <c r="M99" s="933"/>
      <c r="N99" s="933"/>
      <c r="O99" s="933"/>
      <c r="P99" s="933"/>
      <c r="Q99" s="933"/>
      <c r="R99" s="933"/>
      <c r="S99" s="933"/>
      <c r="T99" s="933"/>
      <c r="U99" s="933"/>
      <c r="V99" s="933"/>
      <c r="W99" s="933"/>
      <c r="X99" s="933"/>
      <c r="Y99" s="933"/>
      <c r="Z99" s="933"/>
      <c r="AA99" s="933"/>
      <c r="AB99" s="1411"/>
      <c r="AC99" s="1411"/>
      <c r="AD99" s="1411"/>
      <c r="AE99" s="1411"/>
      <c r="AF99" s="1411"/>
      <c r="AG99" s="1411"/>
      <c r="AH99" s="1411"/>
      <c r="AI99" s="1411"/>
      <c r="AJ99" s="1411"/>
    </row>
    <row r="100" spans="1:36" ht="21.75" customHeight="1" thickBot="1">
      <c r="A100" s="1398" t="s">
        <v>1629</v>
      </c>
      <c r="B100" s="1388"/>
      <c r="C100" s="1388"/>
      <c r="D100" s="1388"/>
      <c r="E100" s="769"/>
      <c r="F100" s="769"/>
      <c r="G100" s="769"/>
      <c r="H100" s="1397"/>
      <c r="I100" s="1388"/>
    </row>
    <row r="101" spans="1:36" ht="15">
      <c r="A101" s="3443" t="s">
        <v>1630</v>
      </c>
      <c r="B101" s="3444"/>
      <c r="C101" s="3444"/>
      <c r="D101" s="3445"/>
      <c r="E101" s="1388"/>
      <c r="F101" s="3540" t="s">
        <v>2535</v>
      </c>
      <c r="G101" s="3541"/>
      <c r="H101" s="3541"/>
      <c r="I101" s="3542"/>
      <c r="J101" s="2799"/>
    </row>
    <row r="102" spans="1:36" ht="15">
      <c r="A102" s="3460" t="s">
        <v>1632</v>
      </c>
      <c r="B102" s="3461"/>
      <c r="C102" s="2722" t="str">
        <f>C4</f>
        <v>比较法-商业</v>
      </c>
      <c r="D102" s="2723" t="str">
        <f>D4</f>
        <v>收益法</v>
      </c>
      <c r="E102" s="1388"/>
      <c r="F102" s="3462" t="s">
        <v>2536</v>
      </c>
      <c r="G102" s="3464"/>
      <c r="H102" s="3475" t="s">
        <v>2537</v>
      </c>
      <c r="I102" s="3463"/>
      <c r="J102" s="2779"/>
    </row>
    <row r="103" spans="1:36" ht="12.75">
      <c r="A103" s="3546" t="s">
        <v>2531</v>
      </c>
      <c r="B103" s="2234" t="str">
        <f>IF(H19="元","总价（元）","总价（万元）")</f>
        <v>总价（万元）</v>
      </c>
      <c r="C103" s="1234">
        <f ca="1">C19</f>
        <v>626</v>
      </c>
      <c r="D103" s="2726">
        <f ca="1">D19</f>
        <v>431</v>
      </c>
      <c r="E103" s="1388"/>
      <c r="F103" s="3547"/>
      <c r="G103" s="3548"/>
      <c r="H103" s="3466">
        <f>典型户型修正!B25</f>
        <v>400.8</v>
      </c>
      <c r="I103" s="3463"/>
      <c r="J103" s="2779"/>
    </row>
    <row r="104" spans="1:36" ht="12.75">
      <c r="A104" s="3546"/>
      <c r="B104" s="2234" t="s">
        <v>2532</v>
      </c>
      <c r="C104" s="2727">
        <f ca="1">C20</f>
        <v>51134</v>
      </c>
      <c r="D104" s="2728">
        <f ca="1">D20</f>
        <v>35239</v>
      </c>
      <c r="E104" s="1388"/>
      <c r="F104" s="3449" t="s">
        <v>2538</v>
      </c>
      <c r="G104" s="3450"/>
      <c r="H104" s="2736" t="str">
        <f>C110</f>
        <v>总价（万元）</v>
      </c>
      <c r="I104" s="2737">
        <f ca="1">H125</f>
        <v>1399</v>
      </c>
      <c r="J104" s="2779"/>
    </row>
    <row r="105" spans="1:36" ht="12.75">
      <c r="A105" s="3546" t="s">
        <v>2533</v>
      </c>
      <c r="B105" s="2172" t="str">
        <f>B103</f>
        <v>总价（万元）</v>
      </c>
      <c r="C105" s="12">
        <f ca="1">ROUND(IF('数据-取费表'!B4="总价",G19,IF(H19="元",G20*'数据-取费表'!E5,G20*'数据-取费表'!E5/10000)),0)</f>
        <v>568</v>
      </c>
      <c r="D105" s="2729"/>
      <c r="E105" s="1388"/>
      <c r="F105" s="3449"/>
      <c r="G105" s="3450"/>
      <c r="H105" s="2736" t="s">
        <v>2539</v>
      </c>
      <c r="I105" s="52">
        <f ca="1">I125</f>
        <v>34905</v>
      </c>
      <c r="J105" s="2763"/>
    </row>
    <row r="106" spans="1:36" ht="12.75">
      <c r="A106" s="3546"/>
      <c r="B106" s="2234" t="s">
        <v>2532</v>
      </c>
      <c r="C106" s="1408">
        <f ca="1">ROUND(IF('数据-取费表'!B4="楼面单价",G20,IF(H19="元",G19/'数据-取费表'!E5,G19*10000/'数据-取费表'!E5)),0)</f>
        <v>46366</v>
      </c>
      <c r="D106" s="2729"/>
      <c r="E106" s="1388"/>
      <c r="F106" s="3449"/>
      <c r="G106" s="3450"/>
      <c r="H106" s="3481"/>
      <c r="I106" s="3482"/>
      <c r="J106" s="2780"/>
    </row>
    <row r="107" spans="1:36" ht="12.75">
      <c r="A107" s="3553" t="s">
        <v>2534</v>
      </c>
      <c r="B107" s="2730" t="str">
        <f>B103</f>
        <v>总价（万元）</v>
      </c>
      <c r="C107" s="2731">
        <f ca="1">H125</f>
        <v>1399</v>
      </c>
      <c r="D107" s="2732"/>
      <c r="E107" s="1388"/>
      <c r="F107" s="3485" t="s">
        <v>2540</v>
      </c>
      <c r="G107" s="3486"/>
      <c r="H107" s="2738" t="str">
        <f>C112</f>
        <v>总额（万元）</v>
      </c>
      <c r="I107" s="2737">
        <f>SUMIF(I108:I110,"&lt;9E307")</f>
        <v>0</v>
      </c>
      <c r="J107" s="2779"/>
    </row>
    <row r="108" spans="1:36" ht="15" thickBot="1">
      <c r="A108" s="3480"/>
      <c r="B108" s="2733" t="s">
        <v>2532</v>
      </c>
      <c r="C108" s="2734">
        <f ca="1">I125</f>
        <v>34905</v>
      </c>
      <c r="D108" s="2735"/>
      <c r="E108" s="1388"/>
      <c r="F108" s="3451" t="s">
        <v>2541</v>
      </c>
      <c r="G108" s="3452"/>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49" t="s">
        <v>1633</v>
      </c>
      <c r="B109" s="3550"/>
      <c r="C109" s="3550"/>
      <c r="D109" s="3551"/>
      <c r="E109" s="1388"/>
      <c r="F109" s="3451" t="s">
        <v>2542</v>
      </c>
      <c r="G109" s="3452"/>
      <c r="H109" s="2738" t="str">
        <f>C114</f>
        <v>总额（万元）</v>
      </c>
      <c r="I109" s="52">
        <f>C39</f>
        <v>0</v>
      </c>
      <c r="J109" s="2763"/>
    </row>
    <row r="110" spans="1:36" ht="12.75">
      <c r="A110" s="3449" t="s">
        <v>2545</v>
      </c>
      <c r="B110" s="3450"/>
      <c r="C110" s="2736" t="str">
        <f>B103</f>
        <v>总价（万元）</v>
      </c>
      <c r="D110" s="2737">
        <f ca="1">H125</f>
        <v>1399</v>
      </c>
      <c r="E110" s="1388"/>
      <c r="F110" s="3451" t="s">
        <v>2543</v>
      </c>
      <c r="G110" s="3452"/>
      <c r="H110" s="2738" t="str">
        <f>C115</f>
        <v>总额（万元）</v>
      </c>
      <c r="I110" s="52">
        <f>C40</f>
        <v>0</v>
      </c>
      <c r="J110" s="2763"/>
    </row>
    <row r="111" spans="1:36" ht="12.75">
      <c r="A111" s="3449"/>
      <c r="B111" s="3450"/>
      <c r="C111" s="2736" t="s">
        <v>2546</v>
      </c>
      <c r="D111" s="52">
        <f ca="1">I125</f>
        <v>34905</v>
      </c>
      <c r="E111" s="1388"/>
      <c r="F111" s="3449"/>
      <c r="G111" s="3450"/>
      <c r="H111" s="3483"/>
      <c r="I111" s="3484"/>
      <c r="J111" s="2781"/>
    </row>
    <row r="112" spans="1:36" ht="28.5" customHeight="1">
      <c r="A112" s="3520" t="s">
        <v>2540</v>
      </c>
      <c r="B112" s="3521"/>
      <c r="C112" s="2738" t="str">
        <f>IF(H19="元","总额（元）","总额（万元）")</f>
        <v>总额（万元）</v>
      </c>
      <c r="D112" s="2737">
        <f>IF(D38="正常操作",I108+I109+I110,I109+I110)</f>
        <v>0</v>
      </c>
      <c r="E112" s="1388"/>
      <c r="F112" s="3432" t="str">
        <f>IF(项目基本情况!F5="已注销","——","3.房地产抵押价值")</f>
        <v>3.房地产抵押价值</v>
      </c>
      <c r="G112" s="3433"/>
      <c r="H112" s="1408" t="str">
        <f>C116</f>
        <v>总价（万元）</v>
      </c>
      <c r="I112" s="2737">
        <f ca="1">IF(F112="——","——",I104-I107)</f>
        <v>1399</v>
      </c>
      <c r="J112" s="2779"/>
    </row>
    <row r="113" spans="1:27" ht="12.75">
      <c r="A113" s="3451" t="s">
        <v>2547</v>
      </c>
      <c r="B113" s="3452"/>
      <c r="C113" s="2738" t="str">
        <f>C112</f>
        <v>总额（万元）</v>
      </c>
      <c r="D113" s="52">
        <f>IF(D38="同一抵押权人同一抵押物续贷",C38&amp;"（未扣减，详见特别提示）",C38)</f>
        <v>0</v>
      </c>
      <c r="E113" s="1388"/>
      <c r="F113" s="3434"/>
      <c r="G113" s="3435"/>
      <c r="H113" s="2736" t="s">
        <v>2539</v>
      </c>
      <c r="I113" s="2740">
        <f ca="1">D117</f>
        <v>34905</v>
      </c>
      <c r="J113" s="2782"/>
    </row>
    <row r="114" spans="1:27" ht="12.75">
      <c r="A114" s="3451" t="s">
        <v>2548</v>
      </c>
      <c r="B114" s="3452"/>
      <c r="C114" s="2738" t="str">
        <f>C112</f>
        <v>总额（万元）</v>
      </c>
      <c r="D114" s="52">
        <f>C39</f>
        <v>0</v>
      </c>
      <c r="E114" s="1388"/>
      <c r="F114" s="3432" t="str">
        <f>IF(项目基本情况!F5="已注销及未注销","4.抵押担保权已注销时的房地产抵押价值",IF(项目基本情况!F5="已注销","3.抵押担保权已注销时的房地产抵押价值","——"))</f>
        <v>——</v>
      </c>
      <c r="G114" s="3433"/>
      <c r="H114" s="1408" t="str">
        <f>C118</f>
        <v>总价（万元）</v>
      </c>
      <c r="I114" s="2737" t="str">
        <f>IF(F114="——","——",I104-I109-I110)</f>
        <v>——</v>
      </c>
      <c r="J114" s="2779"/>
    </row>
    <row r="115" spans="1:27" ht="12.75">
      <c r="A115" s="3451" t="s">
        <v>2549</v>
      </c>
      <c r="B115" s="3452"/>
      <c r="C115" s="2738" t="str">
        <f>C112</f>
        <v>总额（万元）</v>
      </c>
      <c r="D115" s="52">
        <f>C40</f>
        <v>0</v>
      </c>
      <c r="E115" s="1388"/>
      <c r="F115" s="3434"/>
      <c r="G115" s="3435"/>
      <c r="H115" s="2736" t="s">
        <v>2539</v>
      </c>
      <c r="I115" s="52" t="str">
        <f>D119</f>
        <v>——</v>
      </c>
      <c r="J115" s="2763"/>
    </row>
    <row r="116" spans="1:27" ht="12.75">
      <c r="A116" s="3449" t="str">
        <f>IF(项目基本情况!F5="已注销","——","3.房地产抵押价值")</f>
        <v>3.房地产抵押价值</v>
      </c>
      <c r="B116" s="3450"/>
      <c r="C116" s="2736" t="str">
        <f>B103</f>
        <v>总价（万元）</v>
      </c>
      <c r="D116" s="2737">
        <f ca="1">IF(A116="——","——",D110-D112)</f>
        <v>1399</v>
      </c>
      <c r="E116" s="1388"/>
      <c r="F116" s="3432" t="str">
        <f>IF(项目基本情况!G5="抵押净值",IF(OR(项目基本情况!F5="已注销",项目基本情况!F5="房地产抵押价值"),"4.抵押净值","5.抵押净值"),"——")</f>
        <v>——</v>
      </c>
      <c r="G116" s="3433"/>
      <c r="H116" s="2736" t="str">
        <f>C120</f>
        <v>总价（万元）</v>
      </c>
      <c r="I116" s="2737" t="str">
        <f>IF(F116="——","——",O61)</f>
        <v>——</v>
      </c>
      <c r="J116" s="2779"/>
    </row>
    <row r="117" spans="1:27" ht="13.5" thickBot="1">
      <c r="A117" s="3449"/>
      <c r="B117" s="3450"/>
      <c r="C117" s="2736" t="s">
        <v>2546</v>
      </c>
      <c r="D117" s="52">
        <f ca="1">ROUND(IF(D116=D110,D111,IF(H19="元",D116/B125,D116*10000/B125)),0)</f>
        <v>34905</v>
      </c>
      <c r="E117" s="1388"/>
      <c r="F117" s="3512"/>
      <c r="G117" s="3513"/>
      <c r="H117" s="2741" t="s">
        <v>2539</v>
      </c>
      <c r="I117" s="2725" t="str">
        <f ca="1">D121</f>
        <v>——</v>
      </c>
      <c r="J117" s="2763"/>
    </row>
    <row r="118" spans="1:27" ht="15.75">
      <c r="A118" s="3449" t="str">
        <f>IF(项目基本情况!F5="已注销及未注销","4.抵押担保权已注销时的房地产抵押价值",IF(项目基本情况!F5="已注销","3.抵押担保权已注销时的房地产抵押价值","——"))</f>
        <v>——</v>
      </c>
      <c r="B118" s="3450"/>
      <c r="C118" s="2736" t="str">
        <f>B103</f>
        <v>总价（万元）</v>
      </c>
      <c r="D118" s="2737" t="str">
        <f>IF(A118="——","——",D110-D114-D115)</f>
        <v>——</v>
      </c>
      <c r="E118" s="1388"/>
      <c r="F118" s="3427"/>
      <c r="G118" s="3427"/>
      <c r="H118" s="3468"/>
      <c r="I118" s="3468"/>
      <c r="J118" s="2783"/>
      <c r="O118" s="32"/>
      <c r="P118" s="32"/>
    </row>
    <row r="119" spans="1:27" s="1235" customFormat="1" ht="12.75">
      <c r="A119" s="3449"/>
      <c r="B119" s="3450"/>
      <c r="C119" s="2736" t="s">
        <v>2546</v>
      </c>
      <c r="D119" s="52" t="str">
        <f>IF(A118="——","——",IF(H19="元",ROUND(D118/B125,0),ROUND(D118*10000/B125,0)))</f>
        <v>——</v>
      </c>
      <c r="E119" s="1388"/>
      <c r="F119" s="3552" t="str">
        <f>IF(B33="总价","（以上估价结果中楼面单价为总价除以建筑面积得出）","（以上估价结果中总价为楼面单价乘以建筑面积得出）")</f>
        <v>（以上估价结果中总价为楼面单价乘以建筑面积得出）</v>
      </c>
      <c r="G119" s="3552"/>
      <c r="H119" s="3552"/>
      <c r="I119" s="3552"/>
      <c r="J119" s="2784"/>
      <c r="K119" s="658"/>
      <c r="L119" s="658"/>
      <c r="M119" s="658"/>
      <c r="N119" s="658"/>
      <c r="O119" s="32"/>
      <c r="P119" s="32"/>
      <c r="Q119" s="658"/>
      <c r="R119" s="658"/>
      <c r="S119" s="658"/>
      <c r="T119" s="658"/>
      <c r="U119" s="658"/>
      <c r="V119" s="658"/>
      <c r="W119" s="658"/>
      <c r="X119" s="658"/>
      <c r="Y119" s="658"/>
      <c r="Z119" s="658"/>
      <c r="AA119" s="658"/>
    </row>
    <row r="120" spans="1:27" s="1235" customFormat="1" ht="12.75">
      <c r="A120" s="3449" t="str">
        <f>IF(项目基本情况!G5="抵押净值",IF(OR(项目基本情况!F5="已注销",项目基本情况!F5="房地产抵押价值"),"4.抵押净值","5.抵押净值"),"——")</f>
        <v>——</v>
      </c>
      <c r="B120" s="3450"/>
      <c r="C120" s="2736" t="str">
        <f>B103</f>
        <v>总价（万元）</v>
      </c>
      <c r="D120" s="2737" t="str">
        <f>IF(A120="——","——",O61)</f>
        <v>——</v>
      </c>
      <c r="E120" s="1388"/>
      <c r="F120" s="1442"/>
      <c r="G120" s="1442"/>
      <c r="H120" s="1442"/>
      <c r="I120" s="1442"/>
      <c r="J120" s="2784"/>
      <c r="K120" s="658"/>
      <c r="L120" s="658"/>
      <c r="M120" s="658"/>
      <c r="N120" s="658"/>
      <c r="O120" s="32"/>
      <c r="P120" s="32"/>
      <c r="Q120" s="658"/>
      <c r="R120" s="658"/>
      <c r="S120" s="658"/>
      <c r="T120" s="658"/>
      <c r="U120" s="658"/>
      <c r="V120" s="658"/>
      <c r="W120" s="658"/>
      <c r="X120" s="658"/>
      <c r="Y120" s="658"/>
      <c r="Z120" s="658"/>
      <c r="AA120" s="658"/>
    </row>
    <row r="121" spans="1:27" s="1235" customFormat="1" ht="13.5" thickBot="1">
      <c r="A121" s="3518"/>
      <c r="B121" s="3519"/>
      <c r="C121" s="2741" t="s">
        <v>2546</v>
      </c>
      <c r="D121" s="2725" t="str">
        <f ca="1">IF(D120=D110,D111,IF(A120="——","——",O63))</f>
        <v>——</v>
      </c>
      <c r="E121" s="1388"/>
      <c r="F121" s="1442"/>
      <c r="G121" s="1442"/>
      <c r="H121" s="1442"/>
      <c r="I121" s="1442"/>
      <c r="J121" s="2784"/>
      <c r="K121" s="658"/>
      <c r="L121" s="658"/>
      <c r="M121" s="658"/>
      <c r="N121" s="658"/>
      <c r="O121" s="32"/>
      <c r="P121" s="32"/>
      <c r="Q121" s="658"/>
      <c r="R121" s="658"/>
      <c r="S121" s="658"/>
      <c r="T121" s="658"/>
      <c r="U121" s="658"/>
      <c r="V121" s="658"/>
      <c r="W121" s="658"/>
      <c r="X121" s="658"/>
      <c r="Y121" s="658"/>
      <c r="Z121" s="658"/>
      <c r="AA121" s="658"/>
    </row>
    <row r="122" spans="1:27" s="1235" customFormat="1" ht="15">
      <c r="A122" s="3469" t="s">
        <v>1672</v>
      </c>
      <c r="B122" s="3470"/>
      <c r="C122" s="3470"/>
      <c r="D122" s="3470"/>
      <c r="E122" s="3470"/>
      <c r="F122" s="3470"/>
      <c r="G122" s="3470"/>
      <c r="H122" s="3470"/>
      <c r="I122" s="3470"/>
      <c r="J122" s="2785"/>
      <c r="K122" s="658"/>
      <c r="L122" s="658"/>
      <c r="M122" s="658"/>
      <c r="N122" s="658"/>
      <c r="O122" s="658"/>
      <c r="P122" s="658"/>
      <c r="Q122" s="658"/>
      <c r="R122" s="658"/>
      <c r="S122" s="658"/>
      <c r="T122" s="658"/>
      <c r="U122" s="658"/>
      <c r="V122" s="658"/>
      <c r="W122" s="658"/>
      <c r="X122" s="658"/>
      <c r="Y122" s="658"/>
      <c r="Z122" s="658"/>
      <c r="AA122" s="658"/>
    </row>
    <row r="123" spans="1:27" s="1235" customFormat="1" ht="12.75">
      <c r="A123" s="3442" t="s">
        <v>2550</v>
      </c>
      <c r="B123" s="3440" t="s">
        <v>2551</v>
      </c>
      <c r="C123" s="3440" t="s">
        <v>2557</v>
      </c>
      <c r="D123" s="3447" t="s">
        <v>2552</v>
      </c>
      <c r="E123" s="3448"/>
      <c r="F123" s="3438" t="s">
        <v>2558</v>
      </c>
      <c r="G123" s="3438"/>
      <c r="H123" s="3438" t="s">
        <v>2553</v>
      </c>
      <c r="I123" s="3439"/>
      <c r="J123" s="2763"/>
      <c r="K123" s="658"/>
      <c r="L123" s="658"/>
      <c r="M123" s="658"/>
      <c r="N123" s="658"/>
      <c r="O123" s="658"/>
      <c r="P123" s="658"/>
      <c r="Q123" s="658"/>
      <c r="R123" s="658"/>
      <c r="S123" s="658"/>
      <c r="T123" s="658"/>
      <c r="U123" s="658"/>
      <c r="V123" s="658"/>
      <c r="W123" s="658"/>
      <c r="X123" s="658"/>
      <c r="Y123" s="658"/>
      <c r="Z123" s="658"/>
      <c r="AA123" s="658"/>
    </row>
    <row r="124" spans="1:27" s="1235" customFormat="1" ht="12.75">
      <c r="A124" s="3442"/>
      <c r="B124" s="3441"/>
      <c r="C124" s="3441"/>
      <c r="D124" s="2019" t="s">
        <v>2554</v>
      </c>
      <c r="E124" s="2019" t="s">
        <v>2559</v>
      </c>
      <c r="F124" s="2019" t="s">
        <v>2554</v>
      </c>
      <c r="G124" s="2019" t="s">
        <v>2555</v>
      </c>
      <c r="H124" s="2019" t="s">
        <v>2554</v>
      </c>
      <c r="I124" s="52" t="s">
        <v>2555</v>
      </c>
      <c r="J124" s="2763"/>
      <c r="K124" s="658"/>
      <c r="L124" s="658"/>
      <c r="M124" s="658"/>
      <c r="N124" s="658"/>
      <c r="O124" s="658"/>
      <c r="P124" s="658"/>
      <c r="Q124" s="658"/>
      <c r="R124" s="658"/>
      <c r="S124" s="658"/>
      <c r="T124" s="658"/>
      <c r="U124" s="658"/>
      <c r="V124" s="658"/>
      <c r="W124" s="658"/>
      <c r="X124" s="658"/>
      <c r="Y124" s="658"/>
      <c r="Z124" s="658"/>
      <c r="AA124" s="658"/>
    </row>
    <row r="125" spans="1:27" s="1235" customFormat="1" ht="12.75">
      <c r="A125" s="2009" t="str">
        <f>项目基本情况!I1</f>
        <v>北京市房地产</v>
      </c>
      <c r="B125" s="2019">
        <f>典型户型修正!B25</f>
        <v>400.8</v>
      </c>
      <c r="C125" s="1383"/>
      <c r="D125" s="2019">
        <f>C36</f>
        <v>0</v>
      </c>
      <c r="E125" s="2019">
        <f>ROUND(IF(H19="元",D125/B125,D125*10000/B125),0)</f>
        <v>0</v>
      </c>
      <c r="F125" s="2019">
        <f>C37</f>
        <v>0</v>
      </c>
      <c r="G125" s="2019">
        <f>ROUND(IF(H19="元",F125/B125,F125*10000/B125),0)</f>
        <v>0</v>
      </c>
      <c r="H125" s="2019">
        <f ca="1">C34</f>
        <v>1399</v>
      </c>
      <c r="I125" s="52">
        <f ca="1">C35</f>
        <v>34905</v>
      </c>
      <c r="J125" s="2763"/>
      <c r="K125" s="658"/>
      <c r="L125" s="658"/>
      <c r="M125" s="658"/>
      <c r="N125" s="658"/>
      <c r="O125" s="658"/>
      <c r="P125" s="658"/>
      <c r="Q125" s="658"/>
      <c r="R125" s="658"/>
      <c r="S125" s="658"/>
      <c r="T125" s="658"/>
      <c r="U125" s="658"/>
      <c r="V125" s="658"/>
      <c r="W125" s="658"/>
      <c r="X125" s="658"/>
      <c r="Y125" s="658"/>
      <c r="Z125" s="658"/>
      <c r="AA125" s="658"/>
    </row>
    <row r="126" spans="1:27" s="1235" customFormat="1" ht="12.75">
      <c r="A126" s="3442" t="s">
        <v>2556</v>
      </c>
      <c r="B126" s="3438"/>
      <c r="C126" s="3438"/>
      <c r="D126" s="3473" t="str">
        <f>IF(H19="元",NUMBERSTRING(INT(D125),2)&amp;"元整",NUMBERSTRING(INT(D125*10000),2)&amp;"元整")</f>
        <v>零元整</v>
      </c>
      <c r="E126" s="3474"/>
      <c r="F126" s="3473" t="str">
        <f>IF(H19="元",NUMBERSTRING(INT(F125),2)&amp;"元整",NUMBERSTRING(INT(F125*10000),2)&amp;"元整")</f>
        <v>零元整</v>
      </c>
      <c r="G126" s="3474"/>
      <c r="H126" s="3473" t="str">
        <f ca="1">IF(H19="元",NUMBERSTRING(INT(H125),2)&amp;"元整",NUMBERSTRING(INT(H125*10000),2)&amp;"元整")</f>
        <v>壹仟叁佰玖拾玖万元整</v>
      </c>
      <c r="I126" s="3522"/>
      <c r="J126" s="2786"/>
      <c r="K126" s="658"/>
      <c r="L126" s="658"/>
      <c r="M126" s="658"/>
      <c r="N126" s="658"/>
      <c r="O126" s="658"/>
      <c r="P126" s="658"/>
      <c r="Q126" s="658"/>
      <c r="R126" s="658"/>
      <c r="S126" s="658"/>
      <c r="T126" s="658"/>
      <c r="U126" s="658"/>
      <c r="V126" s="658"/>
      <c r="W126" s="658"/>
      <c r="X126" s="658"/>
      <c r="Y126" s="658"/>
      <c r="Z126" s="658"/>
      <c r="AA126" s="658"/>
    </row>
    <row r="127" spans="1:27" s="1235" customFormat="1" ht="12.75">
      <c r="A127" s="3462" t="str">
        <f>IF(项目基本情况!D5="房地产市场价值","——",MID(A112,3,LEN(A112)-2))</f>
        <v>估价师所知悉的法定优先受偿款</v>
      </c>
      <c r="B127" s="3475"/>
      <c r="C127" s="3464"/>
      <c r="D127" s="3466">
        <f>I107</f>
        <v>0</v>
      </c>
      <c r="E127" s="3475"/>
      <c r="F127" s="3475"/>
      <c r="G127" s="3475"/>
      <c r="H127" s="3475"/>
      <c r="I127" s="3463"/>
      <c r="J127" s="2779"/>
      <c r="K127" s="658"/>
      <c r="L127" s="658"/>
      <c r="M127" s="658"/>
      <c r="N127" s="658"/>
      <c r="O127" s="658"/>
      <c r="P127" s="658"/>
      <c r="Q127" s="658"/>
      <c r="R127" s="658"/>
      <c r="S127" s="658"/>
      <c r="T127" s="658"/>
      <c r="U127" s="658"/>
      <c r="V127" s="658"/>
      <c r="W127" s="658"/>
      <c r="X127" s="658"/>
      <c r="Y127" s="658"/>
      <c r="Z127" s="658"/>
      <c r="AA127" s="658"/>
    </row>
    <row r="128" spans="1:27" s="1235" customFormat="1" ht="12.75">
      <c r="A128" s="3476" t="s">
        <v>2556</v>
      </c>
      <c r="B128" s="3477"/>
      <c r="C128" s="3478"/>
      <c r="D128" s="3514">
        <f>H111</f>
        <v>0</v>
      </c>
      <c r="E128" s="3515"/>
      <c r="F128" s="3515"/>
      <c r="G128" s="3515"/>
      <c r="H128" s="3515"/>
      <c r="I128" s="3516"/>
      <c r="J128" s="2787"/>
      <c r="K128" s="658"/>
      <c r="L128" s="658"/>
      <c r="M128" s="658"/>
      <c r="N128" s="658"/>
      <c r="O128" s="658"/>
      <c r="P128" s="658"/>
      <c r="Q128" s="658"/>
      <c r="R128" s="658"/>
      <c r="S128" s="658"/>
      <c r="T128" s="658"/>
      <c r="U128" s="658"/>
      <c r="V128" s="658"/>
      <c r="W128" s="658"/>
      <c r="X128" s="658"/>
      <c r="Y128" s="658"/>
      <c r="Z128" s="658"/>
      <c r="AA128" s="658"/>
    </row>
    <row r="129" spans="1:27" s="1235" customFormat="1" ht="12.75">
      <c r="A129" s="3449" t="str">
        <f>IF(项目基本情况!D5="房地产市场价值","——",MID(A116,3,LEN(A116)-2))</f>
        <v>房地产抵押价值</v>
      </c>
      <c r="B129" s="3450"/>
      <c r="C129" s="3450"/>
      <c r="D129" s="3466">
        <f ca="1">I112</f>
        <v>1399</v>
      </c>
      <c r="E129" s="3475"/>
      <c r="F129" s="3475"/>
      <c r="G129" s="3475"/>
      <c r="H129" s="3475"/>
      <c r="I129" s="3463"/>
      <c r="J129" s="2779"/>
      <c r="K129" s="658"/>
      <c r="L129" s="658"/>
      <c r="M129" s="658"/>
      <c r="N129" s="658"/>
      <c r="O129" s="658"/>
      <c r="P129" s="658"/>
      <c r="Q129" s="658"/>
      <c r="R129" s="658"/>
      <c r="S129" s="658"/>
      <c r="T129" s="658"/>
      <c r="U129" s="658"/>
      <c r="V129" s="658"/>
      <c r="W129" s="658"/>
      <c r="X129" s="658"/>
      <c r="Y129" s="658"/>
      <c r="Z129" s="658"/>
      <c r="AA129" s="658"/>
    </row>
    <row r="130" spans="1:27" s="1235" customFormat="1" ht="12.75">
      <c r="A130" s="3442" t="s">
        <v>2556</v>
      </c>
      <c r="B130" s="3438"/>
      <c r="C130" s="3438"/>
      <c r="D130" s="3514">
        <f ca="1">I113</f>
        <v>34905</v>
      </c>
      <c r="E130" s="3515"/>
      <c r="F130" s="3515"/>
      <c r="G130" s="3515"/>
      <c r="H130" s="3515"/>
      <c r="I130" s="3516"/>
      <c r="J130" s="2787"/>
      <c r="K130" s="658"/>
      <c r="L130" s="658"/>
      <c r="M130" s="658"/>
      <c r="N130" s="658"/>
      <c r="O130" s="658"/>
      <c r="P130" s="658"/>
      <c r="Q130" s="658"/>
      <c r="R130" s="658"/>
      <c r="S130" s="658"/>
      <c r="T130" s="658"/>
      <c r="U130" s="658"/>
      <c r="V130" s="658"/>
      <c r="W130" s="658"/>
      <c r="X130" s="658"/>
      <c r="Y130" s="658"/>
      <c r="Z130" s="658"/>
      <c r="AA130" s="658"/>
    </row>
    <row r="131" spans="1:27" s="1235" customFormat="1" ht="13.5" thickBot="1">
      <c r="A131" s="3449" t="str">
        <f>IF(项目基本情况!D5="房地产市场价值","——",MID(A118,3,LEN(A118)-2))</f>
        <v/>
      </c>
      <c r="B131" s="3450"/>
      <c r="C131" s="3450"/>
      <c r="D131" s="3422" t="str">
        <f>I114</f>
        <v>——</v>
      </c>
      <c r="E131" s="3423"/>
      <c r="F131" s="3423"/>
      <c r="G131" s="3423"/>
      <c r="H131" s="3423"/>
      <c r="I131" s="3424"/>
      <c r="J131" s="2779"/>
      <c r="K131" s="658"/>
      <c r="L131" s="658"/>
      <c r="M131" s="658"/>
      <c r="N131" s="658"/>
      <c r="O131" s="658"/>
      <c r="P131" s="658"/>
      <c r="Q131" s="658"/>
      <c r="R131" s="658"/>
      <c r="S131" s="658"/>
      <c r="T131" s="658"/>
      <c r="U131" s="658"/>
      <c r="V131" s="658"/>
      <c r="W131" s="658"/>
      <c r="X131" s="658"/>
      <c r="Y131" s="658"/>
      <c r="Z131" s="658"/>
      <c r="AA131" s="658"/>
    </row>
    <row r="132" spans="1:27" s="1235" customFormat="1" ht="14.25" thickTop="1" thickBot="1">
      <c r="A132" s="3442" t="s">
        <v>2556</v>
      </c>
      <c r="B132" s="3438"/>
      <c r="C132" s="3489"/>
      <c r="D132" s="3467" t="str">
        <f>I115</f>
        <v>——</v>
      </c>
      <c r="E132" s="3467"/>
      <c r="F132" s="3467"/>
      <c r="G132" s="3467"/>
      <c r="H132" s="3467"/>
      <c r="I132" s="3467"/>
      <c r="J132" s="2787"/>
      <c r="K132" s="658"/>
      <c r="L132" s="658"/>
      <c r="M132" s="658"/>
      <c r="N132" s="658"/>
      <c r="O132" s="658"/>
      <c r="P132" s="658"/>
      <c r="Q132" s="658"/>
      <c r="R132" s="658"/>
      <c r="S132" s="658"/>
      <c r="T132" s="658"/>
      <c r="U132" s="658"/>
      <c r="V132" s="658"/>
      <c r="W132" s="658"/>
      <c r="X132" s="658"/>
      <c r="Y132" s="658"/>
      <c r="Z132" s="658"/>
      <c r="AA132" s="658"/>
    </row>
    <row r="133" spans="1:27" s="1235" customFormat="1" ht="14.25" thickTop="1" thickBot="1">
      <c r="A133" s="3449" t="str">
        <f>IF(项目基本情况!D5="房地产市场价值","——",MID(F116,3,LEN(F116)-2))</f>
        <v/>
      </c>
      <c r="B133" s="3450"/>
      <c r="C133" s="3466"/>
      <c r="D133" s="3517" t="str">
        <f>I116</f>
        <v>——</v>
      </c>
      <c r="E133" s="3517"/>
      <c r="F133" s="3517"/>
      <c r="G133" s="3517"/>
      <c r="H133" s="3517"/>
      <c r="I133" s="3517"/>
      <c r="J133" s="2779"/>
      <c r="K133" s="658"/>
      <c r="L133" s="658"/>
      <c r="M133" s="658"/>
      <c r="N133" s="658"/>
      <c r="O133" s="658"/>
      <c r="P133" s="658"/>
      <c r="Q133" s="658"/>
      <c r="R133" s="658"/>
      <c r="S133" s="658"/>
      <c r="T133" s="658"/>
      <c r="U133" s="658"/>
      <c r="V133" s="658"/>
      <c r="W133" s="658"/>
      <c r="X133" s="658"/>
      <c r="Y133" s="658"/>
      <c r="Z133" s="658"/>
      <c r="AA133" s="658"/>
    </row>
    <row r="134" spans="1:27" s="1235" customFormat="1" ht="14.25" thickTop="1" thickBot="1">
      <c r="A134" s="3505" t="s">
        <v>2556</v>
      </c>
      <c r="B134" s="3506"/>
      <c r="C134" s="3506"/>
      <c r="D134" s="3523">
        <f>H118</f>
        <v>0</v>
      </c>
      <c r="E134" s="3524"/>
      <c r="F134" s="3524"/>
      <c r="G134" s="3524"/>
      <c r="H134" s="3524"/>
      <c r="I134" s="3525"/>
      <c r="J134" s="2787"/>
      <c r="K134" s="658"/>
      <c r="L134" s="658"/>
      <c r="M134" s="658"/>
      <c r="N134" s="658"/>
      <c r="O134" s="658"/>
      <c r="P134" s="658"/>
      <c r="Q134" s="658"/>
      <c r="R134" s="658"/>
      <c r="S134" s="658"/>
      <c r="T134" s="658"/>
      <c r="U134" s="658"/>
      <c r="V134" s="658"/>
      <c r="W134" s="658"/>
      <c r="X134" s="658"/>
      <c r="Y134" s="658"/>
      <c r="Z134" s="658"/>
      <c r="AA134" s="658"/>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8"/>
      <c r="L135" s="658"/>
      <c r="M135" s="658"/>
      <c r="N135" s="658"/>
      <c r="O135" s="658"/>
      <c r="P135" s="658"/>
      <c r="Q135" s="658"/>
      <c r="R135" s="658"/>
      <c r="S135" s="658"/>
      <c r="T135" s="658"/>
      <c r="U135" s="658"/>
      <c r="V135" s="658"/>
      <c r="W135" s="658"/>
      <c r="X135" s="658"/>
      <c r="Y135" s="658"/>
      <c r="Z135" s="658"/>
      <c r="AA135" s="658"/>
    </row>
    <row r="136" spans="1:27" s="1235" customFormat="1" ht="13.5" thickBot="1">
      <c r="A136" s="3510" t="str">
        <f>IF(B33="总价","（以上估价结果中楼面单价为总价除以建筑面积得出）","（以上估价结果中总价为楼面单价乘以建筑面积得出）")</f>
        <v>（以上估价结果中总价为楼面单价乘以建筑面积得出）</v>
      </c>
      <c r="B136" s="3510"/>
      <c r="C136" s="3510"/>
      <c r="D136" s="3510"/>
      <c r="E136" s="3510"/>
      <c r="F136" s="3510"/>
      <c r="G136" s="3510"/>
      <c r="H136" s="3510"/>
      <c r="I136" s="3510"/>
      <c r="J136" s="2781"/>
      <c r="K136" s="658"/>
      <c r="L136" s="658"/>
      <c r="M136" s="658"/>
      <c r="N136" s="658"/>
      <c r="O136" s="658"/>
      <c r="P136" s="658"/>
      <c r="Q136" s="658"/>
      <c r="R136" s="658"/>
      <c r="S136" s="658"/>
      <c r="T136" s="658"/>
      <c r="U136" s="658"/>
      <c r="V136" s="658"/>
      <c r="W136" s="658"/>
      <c r="X136" s="658"/>
      <c r="Y136" s="658"/>
      <c r="Z136" s="658"/>
      <c r="AA136" s="658"/>
    </row>
    <row r="137" spans="1:27" s="1235" customFormat="1" ht="21.75" customHeight="1">
      <c r="A137" s="1418" t="s">
        <v>1635</v>
      </c>
      <c r="B137" s="1419"/>
      <c r="C137" s="1420" t="s">
        <v>1636</v>
      </c>
      <c r="D137" s="1421"/>
      <c r="E137" s="1421"/>
      <c r="F137" s="1421"/>
      <c r="G137" s="1421"/>
      <c r="H137" s="1422"/>
      <c r="I137" s="1423"/>
      <c r="J137" s="2789"/>
      <c r="K137" s="658"/>
      <c r="L137" s="658"/>
      <c r="M137" s="658"/>
      <c r="N137" s="658"/>
      <c r="O137" s="658"/>
      <c r="P137" s="658"/>
      <c r="Q137" s="658"/>
      <c r="R137" s="658"/>
      <c r="S137" s="658"/>
      <c r="T137" s="658"/>
      <c r="U137" s="658"/>
      <c r="V137" s="658"/>
      <c r="W137" s="658"/>
      <c r="X137" s="658"/>
      <c r="Y137" s="658"/>
      <c r="Z137" s="658"/>
      <c r="AA137" s="658"/>
    </row>
    <row r="138" spans="1:27" s="1235" customFormat="1" ht="21.75" customHeight="1">
      <c r="A138" s="1424">
        <v>1</v>
      </c>
      <c r="B138" s="1425"/>
      <c r="C138" s="1425"/>
      <c r="D138" s="1421"/>
      <c r="E138" s="1421"/>
      <c r="F138" s="1421"/>
      <c r="G138" s="1421"/>
      <c r="H138" s="1422"/>
      <c r="I138" s="1423"/>
      <c r="J138" s="2789"/>
      <c r="K138" s="658"/>
      <c r="L138" s="658"/>
      <c r="M138" s="658"/>
      <c r="N138" s="658"/>
      <c r="O138" s="658"/>
      <c r="P138" s="658"/>
      <c r="Q138" s="658"/>
      <c r="R138" s="658"/>
      <c r="S138" s="658"/>
      <c r="T138" s="658"/>
      <c r="U138" s="658"/>
      <c r="V138" s="658"/>
      <c r="W138" s="658"/>
      <c r="X138" s="658"/>
      <c r="Y138" s="658"/>
      <c r="Z138" s="658"/>
      <c r="AA138" s="658"/>
    </row>
    <row r="139" spans="1:27" s="1235" customFormat="1" ht="21.75" customHeight="1">
      <c r="A139" s="1424">
        <v>2</v>
      </c>
      <c r="B139" s="1425"/>
      <c r="C139" s="1425"/>
      <c r="D139" s="1421"/>
      <c r="E139" s="1421"/>
      <c r="F139" s="1421"/>
      <c r="G139" s="1421"/>
      <c r="H139" s="1422"/>
      <c r="I139" s="1423"/>
      <c r="J139" s="2789"/>
      <c r="K139" s="658"/>
      <c r="L139" s="658"/>
      <c r="M139" s="658"/>
      <c r="N139" s="658"/>
      <c r="O139" s="658"/>
      <c r="P139" s="658"/>
      <c r="Q139" s="658"/>
      <c r="R139" s="658"/>
      <c r="S139" s="658"/>
      <c r="T139" s="658"/>
      <c r="U139" s="658"/>
      <c r="V139" s="658"/>
      <c r="W139" s="658"/>
      <c r="X139" s="658"/>
      <c r="Y139" s="658"/>
      <c r="Z139" s="658"/>
      <c r="AA139" s="658"/>
    </row>
    <row r="140" spans="1:27" s="1235" customFormat="1" ht="21.75" customHeight="1">
      <c r="A140" s="1424">
        <v>3</v>
      </c>
      <c r="B140" s="1425"/>
      <c r="C140" s="1425"/>
      <c r="D140" s="1421"/>
      <c r="E140" s="1421"/>
      <c r="F140" s="32"/>
      <c r="G140" s="32"/>
      <c r="H140" s="32"/>
      <c r="I140" s="32"/>
      <c r="J140" s="2790"/>
      <c r="K140" s="658"/>
      <c r="L140" s="658"/>
      <c r="M140" s="658"/>
      <c r="N140" s="658"/>
      <c r="O140" s="658"/>
      <c r="P140" s="658"/>
      <c r="Q140" s="658"/>
      <c r="R140" s="658"/>
      <c r="S140" s="658"/>
      <c r="T140" s="658"/>
      <c r="U140" s="658"/>
      <c r="V140" s="658"/>
      <c r="W140" s="658"/>
      <c r="X140" s="658"/>
      <c r="Y140" s="658"/>
      <c r="Z140" s="658"/>
      <c r="AA140" s="658"/>
    </row>
    <row r="141" spans="1:27" s="1235" customFormat="1" ht="21.75" customHeight="1">
      <c r="A141" s="1426"/>
      <c r="B141" s="1427"/>
      <c r="C141" s="1427"/>
      <c r="D141" s="1428"/>
      <c r="E141" s="1428"/>
      <c r="F141" s="1428"/>
      <c r="G141" s="1428"/>
      <c r="H141" s="1429"/>
      <c r="I141" s="1430"/>
      <c r="J141" s="2789"/>
      <c r="K141" s="658"/>
      <c r="L141" s="658"/>
      <c r="M141" s="658"/>
      <c r="N141" s="658"/>
      <c r="O141" s="658"/>
      <c r="P141" s="658"/>
      <c r="Q141" s="658"/>
      <c r="R141" s="658"/>
      <c r="S141" s="658"/>
      <c r="T141" s="658"/>
      <c r="U141" s="658"/>
      <c r="V141" s="658"/>
      <c r="W141" s="658"/>
      <c r="X141" s="658"/>
      <c r="Y141" s="658"/>
      <c r="Z141" s="658"/>
      <c r="AA141" s="658"/>
    </row>
    <row r="142" spans="1:27" s="1235" customFormat="1" ht="21.75" customHeight="1">
      <c r="A142" s="1425"/>
      <c r="B142" s="1425"/>
      <c r="C142" s="1425"/>
      <c r="D142" s="1421"/>
      <c r="E142" s="1421"/>
      <c r="F142" s="1421"/>
      <c r="G142" s="1421"/>
      <c r="H142" s="1422"/>
      <c r="I142" s="658"/>
      <c r="J142" s="2790"/>
      <c r="K142" s="658"/>
      <c r="L142" s="658"/>
      <c r="M142" s="658"/>
      <c r="N142" s="658"/>
      <c r="O142" s="658"/>
      <c r="P142" s="658"/>
      <c r="Q142" s="658"/>
      <c r="R142" s="658"/>
      <c r="S142" s="658"/>
      <c r="T142" s="658"/>
      <c r="U142" s="658"/>
      <c r="V142" s="658"/>
      <c r="W142" s="658"/>
      <c r="X142" s="658"/>
      <c r="Y142" s="658"/>
      <c r="Z142" s="658"/>
      <c r="AA142" s="658"/>
    </row>
    <row r="143" spans="1:27" s="1235" customFormat="1" ht="21.75" customHeight="1">
      <c r="A143" s="658"/>
      <c r="B143" s="658"/>
      <c r="C143" s="658"/>
      <c r="D143" s="658"/>
      <c r="E143" s="658"/>
      <c r="F143" s="1431" t="s">
        <v>1637</v>
      </c>
      <c r="G143" s="1432"/>
      <c r="H143" s="1432"/>
      <c r="I143" s="1433" t="s">
        <v>1638</v>
      </c>
      <c r="J143" s="2791"/>
      <c r="K143" s="658"/>
      <c r="L143" s="658"/>
      <c r="M143" s="658"/>
      <c r="N143" s="658"/>
      <c r="O143" s="658"/>
      <c r="P143" s="658"/>
      <c r="Q143" s="658"/>
      <c r="R143" s="658"/>
      <c r="S143" s="658"/>
      <c r="T143" s="658"/>
      <c r="U143" s="658"/>
      <c r="V143" s="658"/>
      <c r="W143" s="658"/>
      <c r="X143" s="658"/>
      <c r="Y143" s="658"/>
      <c r="Z143" s="658"/>
      <c r="AA143" s="658"/>
    </row>
    <row r="144" spans="1:27" s="1235" customFormat="1" ht="21.75" customHeight="1">
      <c r="A144" s="658"/>
      <c r="B144" s="1434" t="s">
        <v>1639</v>
      </c>
      <c r="C144" s="658"/>
      <c r="D144" s="658"/>
      <c r="E144" s="658"/>
      <c r="F144" s="658"/>
      <c r="G144" s="658"/>
      <c r="H144" s="658"/>
      <c r="I144" s="658"/>
      <c r="J144" s="2790"/>
      <c r="K144" s="658"/>
      <c r="L144" s="658"/>
      <c r="M144" s="658"/>
      <c r="N144" s="658"/>
      <c r="O144" s="658"/>
      <c r="P144" s="658"/>
      <c r="Q144" s="658"/>
      <c r="R144" s="658"/>
      <c r="S144" s="658"/>
      <c r="T144" s="658"/>
      <c r="U144" s="658"/>
      <c r="V144" s="658"/>
      <c r="W144" s="658"/>
      <c r="X144" s="658"/>
      <c r="Y144" s="658"/>
      <c r="Z144" s="658"/>
      <c r="AA144" s="658"/>
    </row>
    <row r="145" spans="1:27" s="1235" customFormat="1" ht="21.75" customHeight="1">
      <c r="A145" s="658"/>
      <c r="B145" s="658"/>
      <c r="C145" s="658"/>
      <c r="D145" s="658"/>
      <c r="E145" s="658"/>
      <c r="F145" s="658"/>
      <c r="G145" s="658"/>
      <c r="H145" s="658"/>
      <c r="I145" s="658"/>
      <c r="J145" s="2790"/>
      <c r="K145" s="658"/>
      <c r="L145" s="658"/>
      <c r="M145" s="658"/>
      <c r="N145" s="658"/>
      <c r="O145" s="658"/>
      <c r="P145" s="658"/>
      <c r="Q145" s="658"/>
      <c r="R145" s="658"/>
      <c r="S145" s="658"/>
      <c r="T145" s="658"/>
      <c r="U145" s="658"/>
      <c r="V145" s="658"/>
      <c r="W145" s="658"/>
      <c r="X145" s="658"/>
      <c r="Y145" s="658"/>
      <c r="Z145" s="658"/>
      <c r="AA145" s="658"/>
    </row>
    <row r="146" spans="1:27" s="1235" customFormat="1" ht="21.75" customHeight="1">
      <c r="A146" s="658"/>
      <c r="B146" s="1432"/>
      <c r="C146" s="1432"/>
      <c r="D146" s="1432"/>
      <c r="E146" s="1432"/>
      <c r="F146" s="1432"/>
      <c r="G146" s="1432"/>
      <c r="H146" s="1432"/>
      <c r="I146" s="1433" t="s">
        <v>1640</v>
      </c>
      <c r="J146" s="2791"/>
      <c r="K146" s="658"/>
      <c r="L146" s="658"/>
      <c r="M146" s="658"/>
      <c r="N146" s="658"/>
      <c r="O146" s="658"/>
      <c r="P146" s="658"/>
      <c r="Q146" s="658"/>
      <c r="R146" s="658"/>
      <c r="S146" s="658"/>
      <c r="T146" s="658"/>
      <c r="U146" s="658"/>
      <c r="V146" s="658"/>
      <c r="W146" s="658"/>
      <c r="X146" s="658"/>
      <c r="Y146" s="658"/>
      <c r="Z146" s="658"/>
      <c r="AA146" s="658"/>
    </row>
    <row r="147" spans="1:27" s="1235" customFormat="1" ht="21.75" customHeight="1">
      <c r="A147" s="658"/>
      <c r="B147" s="1434" t="s">
        <v>1641</v>
      </c>
      <c r="C147" s="658"/>
      <c r="D147" s="658"/>
      <c r="E147" s="658"/>
      <c r="F147" s="658"/>
      <c r="G147" s="658"/>
      <c r="H147" s="658"/>
      <c r="I147" s="658"/>
      <c r="J147" s="2790"/>
      <c r="K147" s="658"/>
      <c r="L147" s="658"/>
      <c r="M147" s="658"/>
      <c r="N147" s="658"/>
      <c r="O147" s="658"/>
      <c r="P147" s="658"/>
      <c r="Q147" s="658"/>
      <c r="R147" s="658"/>
      <c r="S147" s="658"/>
      <c r="T147" s="658"/>
      <c r="U147" s="658"/>
      <c r="V147" s="658"/>
      <c r="W147" s="658"/>
      <c r="X147" s="658"/>
      <c r="Y147" s="658"/>
      <c r="Z147" s="658"/>
      <c r="AA147" s="658"/>
    </row>
    <row r="148" spans="1:27" s="1235" customFormat="1" ht="21.75" customHeight="1">
      <c r="A148" s="658"/>
      <c r="B148" s="1434"/>
      <c r="C148" s="658"/>
      <c r="D148" s="658"/>
      <c r="E148" s="658"/>
      <c r="F148" s="658"/>
      <c r="G148" s="658"/>
      <c r="H148" s="658"/>
      <c r="I148" s="658"/>
      <c r="J148" s="2790"/>
      <c r="K148" s="658"/>
      <c r="L148" s="658"/>
      <c r="M148" s="658"/>
      <c r="N148" s="658"/>
      <c r="O148" s="658"/>
      <c r="P148" s="658"/>
      <c r="Q148" s="658"/>
      <c r="R148" s="658"/>
      <c r="S148" s="658"/>
      <c r="T148" s="658"/>
      <c r="U148" s="658"/>
      <c r="V148" s="658"/>
      <c r="W148" s="658"/>
      <c r="X148" s="658"/>
      <c r="Y148" s="658"/>
      <c r="Z148" s="658"/>
      <c r="AA148" s="658"/>
    </row>
    <row r="149" spans="1:27" s="1235" customFormat="1" ht="21.75" customHeight="1">
      <c r="A149" s="658"/>
      <c r="B149" s="1432"/>
      <c r="C149" s="1432"/>
      <c r="D149" s="1432"/>
      <c r="E149" s="1432"/>
      <c r="F149" s="1432"/>
      <c r="G149" s="1432"/>
      <c r="H149" s="1432"/>
      <c r="I149" s="1433" t="s">
        <v>1640</v>
      </c>
      <c r="J149" s="2791"/>
      <c r="K149" s="658"/>
      <c r="L149" s="658"/>
      <c r="M149" s="658"/>
      <c r="N149" s="658"/>
      <c r="O149" s="658"/>
      <c r="P149" s="658"/>
      <c r="Q149" s="658"/>
      <c r="R149" s="658"/>
      <c r="S149" s="658"/>
      <c r="T149" s="658"/>
      <c r="U149" s="658"/>
      <c r="V149" s="658"/>
      <c r="W149" s="658"/>
      <c r="X149" s="658"/>
      <c r="Y149" s="658"/>
      <c r="Z149" s="658"/>
      <c r="AA149" s="658"/>
    </row>
    <row r="150" spans="1:27" s="1235" customFormat="1" ht="21.75" customHeight="1">
      <c r="A150" s="658"/>
      <c r="B150" s="1434"/>
      <c r="C150" s="1435"/>
      <c r="D150" s="1436"/>
      <c r="E150" s="1436"/>
      <c r="F150" s="1437"/>
      <c r="G150" s="658"/>
      <c r="H150" s="658"/>
      <c r="I150" s="658"/>
      <c r="J150" s="2790"/>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34"/>
      <c r="C151" s="1435"/>
      <c r="D151" s="1436"/>
      <c r="E151" s="1436"/>
      <c r="J151" s="2790"/>
    </row>
    <row r="152" spans="1:27" s="658" customFormat="1" ht="21.75" customHeight="1">
      <c r="J152" s="2790"/>
    </row>
    <row r="153" spans="1:27" s="658" customFormat="1" ht="21.75" customHeight="1">
      <c r="J153" s="2790"/>
    </row>
    <row r="154" spans="1:27" s="658" customFormat="1" ht="21.75" customHeight="1">
      <c r="J154" s="2790"/>
    </row>
    <row r="155" spans="1:27" s="658" customFormat="1" ht="21.75" customHeight="1">
      <c r="J155" s="2790"/>
    </row>
    <row r="156" spans="1:27" s="658" customFormat="1" ht="21.75" customHeight="1">
      <c r="J156" s="2790"/>
    </row>
    <row r="157" spans="1:27" s="658" customFormat="1" ht="21.75" customHeight="1">
      <c r="J157" s="2790"/>
    </row>
    <row r="158" spans="1:27" s="658" customFormat="1" ht="21.75" customHeight="1">
      <c r="J158" s="2790"/>
    </row>
    <row r="159" spans="1:27" s="658" customFormat="1" ht="21.75" customHeight="1">
      <c r="J159" s="2790"/>
    </row>
    <row r="160" spans="1:27" s="658" customFormat="1" ht="21.75" customHeight="1">
      <c r="J160" s="2790"/>
    </row>
    <row r="161" spans="10:10" s="658" customFormat="1" ht="21.75" customHeight="1">
      <c r="J161" s="2790"/>
    </row>
    <row r="162" spans="10:10" s="658" customFormat="1" ht="21.75" customHeight="1">
      <c r="J162" s="2790"/>
    </row>
    <row r="163" spans="10:10" s="658" customFormat="1" ht="21.75" customHeight="1">
      <c r="J163" s="2790"/>
    </row>
    <row r="164" spans="10:10" s="658" customFormat="1" ht="21.75" customHeight="1">
      <c r="J164" s="2790"/>
    </row>
    <row r="165" spans="10:10" s="658" customFormat="1" ht="21.75" customHeight="1">
      <c r="J165" s="2790"/>
    </row>
    <row r="166" spans="10:10" s="658" customFormat="1" ht="21.75" customHeight="1">
      <c r="J166" s="2790"/>
    </row>
    <row r="167" spans="10:10" s="658" customFormat="1" ht="21.75" customHeight="1">
      <c r="J167" s="2790"/>
    </row>
    <row r="168" spans="10:10" s="658" customFormat="1" ht="21.75" customHeight="1">
      <c r="J168" s="2790"/>
    </row>
    <row r="169" spans="10:10" s="658" customFormat="1" ht="21.75" customHeight="1">
      <c r="J169" s="2790"/>
    </row>
    <row r="170" spans="10:10" s="658" customFormat="1" ht="21.75" customHeight="1">
      <c r="J170" s="2790"/>
    </row>
    <row r="171" spans="10:10" s="658" customFormat="1" ht="21.75" customHeight="1">
      <c r="J171" s="2790"/>
    </row>
    <row r="172" spans="10:10" s="658" customFormat="1" ht="21.75" customHeight="1">
      <c r="J172" s="2790"/>
    </row>
    <row r="173" spans="10:10" s="658" customFormat="1" ht="21.75" customHeight="1">
      <c r="J173" s="2790"/>
    </row>
    <row r="174" spans="10:10" s="658" customFormat="1" ht="21.75" customHeight="1">
      <c r="J174" s="2790"/>
    </row>
    <row r="175" spans="10:10" s="658" customFormat="1" ht="21.75" customHeight="1">
      <c r="J175" s="2790"/>
    </row>
    <row r="176" spans="10:10" s="658" customFormat="1" ht="21.75" customHeight="1">
      <c r="J176" s="2790"/>
    </row>
    <row r="177" spans="10:10" s="658" customFormat="1" ht="21.75" customHeight="1">
      <c r="J177" s="2790"/>
    </row>
    <row r="178" spans="10:10" s="658" customFormat="1" ht="21.75" customHeight="1">
      <c r="J178" s="2790"/>
    </row>
    <row r="179" spans="10:10" s="658" customFormat="1" ht="21.75" customHeight="1">
      <c r="J179" s="2790"/>
    </row>
    <row r="180" spans="10:10" s="658" customFormat="1" ht="21.75" customHeight="1">
      <c r="J180" s="2790"/>
    </row>
    <row r="181" spans="10:10" s="658" customFormat="1" ht="21.75" customHeight="1">
      <c r="J181" s="2790"/>
    </row>
    <row r="182" spans="10:10" s="658" customFormat="1" ht="21.75" customHeight="1">
      <c r="J182" s="2790"/>
    </row>
    <row r="183" spans="10:10" s="658" customFormat="1" ht="21.75" customHeight="1">
      <c r="J183" s="2790"/>
    </row>
    <row r="184" spans="10:10" s="658" customFormat="1" ht="21.75" customHeight="1">
      <c r="J184" s="2790"/>
    </row>
    <row r="185" spans="10:10" s="658" customFormat="1" ht="21.75" customHeight="1">
      <c r="J185" s="2790"/>
    </row>
    <row r="186" spans="10:10" s="658" customFormat="1" ht="21.75" customHeight="1">
      <c r="J186" s="2790"/>
    </row>
    <row r="187" spans="10:10" s="658" customFormat="1" ht="21.75" customHeight="1">
      <c r="J187" s="2790"/>
    </row>
    <row r="188" spans="10:10" s="658" customFormat="1" ht="21.75" customHeight="1">
      <c r="J188" s="2790"/>
    </row>
    <row r="189" spans="10:10" s="658" customFormat="1" ht="21.75" customHeight="1">
      <c r="J189" s="2790"/>
    </row>
    <row r="190" spans="10:10" s="658" customFormat="1" ht="21.75" customHeight="1">
      <c r="J190" s="2790"/>
    </row>
    <row r="191" spans="10:10" s="658" customFormat="1" ht="21.75" customHeight="1">
      <c r="J191" s="2790"/>
    </row>
    <row r="192" spans="10:10" s="658" customFormat="1" ht="21.75" customHeight="1">
      <c r="J192" s="2790"/>
    </row>
    <row r="193" spans="10:10" s="658" customFormat="1" ht="21.75" customHeight="1">
      <c r="J193" s="2790"/>
    </row>
    <row r="194" spans="10:10" s="658" customFormat="1" ht="21.75" customHeight="1">
      <c r="J194" s="2790"/>
    </row>
    <row r="195" spans="10:10" s="658" customFormat="1" ht="21.75" customHeight="1">
      <c r="J195" s="2790"/>
    </row>
    <row r="196" spans="10:10" s="658" customFormat="1" ht="21.75" customHeight="1">
      <c r="J196" s="2790"/>
    </row>
    <row r="197" spans="10:10" s="658" customFormat="1" ht="21.75" customHeight="1">
      <c r="J197" s="2790"/>
    </row>
    <row r="198" spans="10:10" s="658" customFormat="1" ht="21.75" customHeight="1">
      <c r="J198" s="2790"/>
    </row>
    <row r="199" spans="10:10" s="658" customFormat="1" ht="21.75" customHeight="1">
      <c r="J199" s="2790"/>
    </row>
    <row r="200" spans="10:10" s="658" customFormat="1" ht="21.75" customHeight="1">
      <c r="J200" s="2790"/>
    </row>
    <row r="201" spans="10:10" s="658" customFormat="1" ht="21.75" customHeight="1">
      <c r="J201" s="2790"/>
    </row>
    <row r="202" spans="10:10" s="658" customFormat="1" ht="21.75" customHeight="1">
      <c r="J202" s="2790"/>
    </row>
    <row r="203" spans="10:10" s="658" customFormat="1" ht="21.75" customHeight="1">
      <c r="J203" s="2790"/>
    </row>
    <row r="204" spans="10:10" s="658" customFormat="1" ht="21.75" customHeight="1">
      <c r="J204" s="2790"/>
    </row>
    <row r="205" spans="10:10" s="658" customFormat="1" ht="21.75" customHeight="1">
      <c r="J205" s="2790"/>
    </row>
    <row r="206" spans="10:10" s="658" customFormat="1" ht="21.75" customHeight="1">
      <c r="J206" s="2790"/>
    </row>
    <row r="207" spans="10:10" s="658" customFormat="1" ht="21.75" customHeight="1">
      <c r="J207" s="2790"/>
    </row>
    <row r="208" spans="10:10" s="658" customFormat="1" ht="21.75" customHeight="1">
      <c r="J208" s="2790"/>
    </row>
    <row r="209" spans="10:10" s="658" customFormat="1" ht="21.75" customHeight="1">
      <c r="J209" s="2790"/>
    </row>
    <row r="210" spans="10:10" s="658" customFormat="1" ht="21.75" customHeight="1">
      <c r="J210" s="2790"/>
    </row>
    <row r="211" spans="10:10" s="658" customFormat="1" ht="21.75" customHeight="1">
      <c r="J211" s="2790"/>
    </row>
    <row r="212" spans="10:10" s="658" customFormat="1" ht="21.75" customHeight="1">
      <c r="J212" s="2790"/>
    </row>
    <row r="213" spans="10:10" s="658" customFormat="1" ht="21.75" customHeight="1">
      <c r="J213" s="2790"/>
    </row>
    <row r="214" spans="10:10" s="658" customFormat="1" ht="21.75" customHeight="1">
      <c r="J214" s="2790"/>
    </row>
    <row r="215" spans="10:10" s="658" customFormat="1" ht="21.75" customHeight="1">
      <c r="J215" s="2790"/>
    </row>
    <row r="216" spans="10:10" s="658" customFormat="1" ht="21.75" customHeight="1">
      <c r="J216" s="2790"/>
    </row>
    <row r="217" spans="10:10" s="658" customFormat="1" ht="21.75" customHeight="1">
      <c r="J217" s="2790"/>
    </row>
    <row r="218" spans="10:10" s="658" customFormat="1" ht="21.75" customHeight="1">
      <c r="J218" s="2790"/>
    </row>
    <row r="219" spans="10:10" s="658" customFormat="1" ht="21.75" customHeight="1">
      <c r="J219" s="2790"/>
    </row>
    <row r="220" spans="10:10" s="658" customFormat="1" ht="21.75" customHeight="1">
      <c r="J220" s="2790"/>
    </row>
    <row r="221" spans="10:10" s="658" customFormat="1" ht="21.75" customHeight="1">
      <c r="J221" s="2790"/>
    </row>
    <row r="222" spans="10:10" s="658" customFormat="1" ht="21.75" customHeight="1">
      <c r="J222" s="2790"/>
    </row>
    <row r="223" spans="10:10" s="658" customFormat="1" ht="21.75" customHeight="1">
      <c r="J223" s="2790"/>
    </row>
    <row r="224" spans="10:10" s="658" customFormat="1" ht="21.75" customHeight="1">
      <c r="J224" s="2790"/>
    </row>
    <row r="225" spans="10:10" s="658" customFormat="1" ht="21.75" customHeight="1">
      <c r="J225" s="2790"/>
    </row>
    <row r="226" spans="10:10" s="658" customFormat="1" ht="21.75" customHeight="1">
      <c r="J226" s="2790"/>
    </row>
    <row r="227" spans="10:10" s="658" customFormat="1" ht="21.75" customHeight="1">
      <c r="J227" s="2790"/>
    </row>
    <row r="228" spans="10:10" s="658" customFormat="1" ht="21.75" customHeight="1">
      <c r="J228" s="2790"/>
    </row>
    <row r="229" spans="10:10" s="658" customFormat="1" ht="21.75" customHeight="1">
      <c r="J229" s="2790"/>
    </row>
    <row r="230" spans="10:10" s="658" customFormat="1" ht="21.75" customHeight="1">
      <c r="J230" s="2790"/>
    </row>
    <row r="231" spans="10:10" s="658" customFormat="1" ht="21.75" customHeight="1">
      <c r="J231" s="2790"/>
    </row>
    <row r="232" spans="10:10" s="658" customFormat="1" ht="21.75" customHeight="1">
      <c r="J232" s="2790"/>
    </row>
    <row r="233" spans="10:10" s="658" customFormat="1" ht="21.75" customHeight="1">
      <c r="J233" s="2790"/>
    </row>
    <row r="234" spans="10:10" s="658" customFormat="1" ht="21.75" customHeight="1">
      <c r="J234" s="2790"/>
    </row>
    <row r="235" spans="10:10" s="658" customFormat="1" ht="21.75" customHeight="1">
      <c r="J235" s="2790"/>
    </row>
    <row r="236" spans="10:10" s="658" customFormat="1" ht="21.75" customHeight="1">
      <c r="J236" s="2790"/>
    </row>
    <row r="237" spans="10:10" s="658" customFormat="1" ht="21.75" customHeight="1">
      <c r="J237" s="2790"/>
    </row>
    <row r="238" spans="10:10" s="658" customFormat="1" ht="21.75" customHeight="1">
      <c r="J238" s="2790"/>
    </row>
    <row r="239" spans="10:10" s="658" customFormat="1" ht="21.75" customHeight="1">
      <c r="J239" s="2790"/>
    </row>
    <row r="240" spans="10:10" s="658" customFormat="1" ht="21.75" customHeight="1">
      <c r="J240" s="2790"/>
    </row>
    <row r="241" spans="10:10" s="658" customFormat="1" ht="21.75" customHeight="1">
      <c r="J241" s="2790"/>
    </row>
    <row r="242" spans="10:10" s="658" customFormat="1" ht="21.75" customHeight="1">
      <c r="J242" s="2790"/>
    </row>
    <row r="243" spans="10:10" s="658" customFormat="1" ht="21.75" customHeight="1">
      <c r="J243" s="2790"/>
    </row>
    <row r="244" spans="10:10" s="658" customFormat="1" ht="21.75" customHeight="1">
      <c r="J244" s="2790"/>
    </row>
    <row r="245" spans="10:10" s="658" customFormat="1" ht="21.75" customHeight="1">
      <c r="J245" s="2790"/>
    </row>
    <row r="246" spans="10:10" s="658" customFormat="1" ht="21.75" customHeight="1">
      <c r="J246" s="2790"/>
    </row>
    <row r="247" spans="10:10" s="658" customFormat="1" ht="21.75" customHeight="1">
      <c r="J247" s="2790"/>
    </row>
    <row r="248" spans="10:10" s="658" customFormat="1" ht="21.75" customHeight="1">
      <c r="J248" s="2790"/>
    </row>
    <row r="249" spans="10:10" s="658" customFormat="1" ht="21.75" customHeight="1">
      <c r="J249" s="2790"/>
    </row>
    <row r="250" spans="10:10" s="658" customFormat="1" ht="21.75" customHeight="1">
      <c r="J250" s="2790"/>
    </row>
    <row r="251" spans="10:10" s="658" customFormat="1" ht="21.75" customHeight="1">
      <c r="J251" s="2790"/>
    </row>
    <row r="252" spans="10:10" s="658" customFormat="1" ht="21.75" customHeight="1">
      <c r="J252" s="2790"/>
    </row>
    <row r="253" spans="10:10" s="658" customFormat="1" ht="21.75" customHeight="1">
      <c r="J253" s="2790"/>
    </row>
    <row r="254" spans="10:10" s="658" customFormat="1" ht="21.75" customHeight="1">
      <c r="J254" s="2790"/>
    </row>
    <row r="255" spans="10:10" s="658" customFormat="1" ht="21.75" customHeight="1">
      <c r="J255" s="2790"/>
    </row>
    <row r="256" spans="10:10" s="658" customFormat="1" ht="21.75" customHeight="1">
      <c r="J256" s="2790"/>
    </row>
    <row r="257" spans="10:10" s="658" customFormat="1" ht="21.75" customHeight="1">
      <c r="J257" s="2790"/>
    </row>
    <row r="258" spans="10:10" s="658" customFormat="1" ht="21.75" customHeight="1">
      <c r="J258" s="2790"/>
    </row>
    <row r="259" spans="10:10" s="658" customFormat="1" ht="21.75" customHeight="1">
      <c r="J259" s="2790"/>
    </row>
    <row r="260" spans="10:10" s="658" customFormat="1" ht="21.75" customHeight="1">
      <c r="J260" s="2790"/>
    </row>
    <row r="261" spans="10:10" s="658" customFormat="1" ht="21.75" customHeight="1">
      <c r="J261" s="2790"/>
    </row>
    <row r="262" spans="10:10" s="658" customFormat="1" ht="21.75" customHeight="1">
      <c r="J262" s="2790"/>
    </row>
    <row r="263" spans="10:10" s="658" customFormat="1" ht="21.75" customHeight="1">
      <c r="J263" s="2790"/>
    </row>
    <row r="264" spans="10:10" s="658" customFormat="1" ht="21.75" customHeight="1">
      <c r="J264" s="2790"/>
    </row>
    <row r="265" spans="10:10" s="658" customFormat="1" ht="21.75" customHeight="1">
      <c r="J265" s="2790"/>
    </row>
    <row r="266" spans="10:10" s="658" customFormat="1" ht="21.75" customHeight="1">
      <c r="J266" s="2790"/>
    </row>
    <row r="267" spans="10:10" s="658" customFormat="1" ht="21.75" customHeight="1">
      <c r="J267" s="2790"/>
    </row>
    <row r="268" spans="10:10" s="658" customFormat="1" ht="21.75" customHeight="1">
      <c r="J268" s="2790"/>
    </row>
    <row r="269" spans="10:10" s="658" customFormat="1" ht="21.75" customHeight="1">
      <c r="J269" s="2790"/>
    </row>
    <row r="270" spans="10:10" s="658" customFormat="1" ht="21.75" customHeight="1">
      <c r="J270" s="2790"/>
    </row>
    <row r="271" spans="10:10" s="658" customFormat="1" ht="21.75" customHeight="1">
      <c r="J271" s="2790"/>
    </row>
    <row r="272" spans="10:10" s="658" customFormat="1" ht="21.75" customHeight="1">
      <c r="J272" s="2790"/>
    </row>
    <row r="273" spans="10:10" s="658" customFormat="1" ht="21.75" customHeight="1">
      <c r="J273" s="2790"/>
    </row>
    <row r="274" spans="10:10" s="658" customFormat="1" ht="21.75" customHeight="1">
      <c r="J274" s="2790"/>
    </row>
    <row r="275" spans="10:10" s="658" customFormat="1" ht="21.75" customHeight="1">
      <c r="J275" s="2790"/>
    </row>
    <row r="276" spans="10:10" s="658" customFormat="1" ht="21.75" customHeight="1">
      <c r="J276" s="2790"/>
    </row>
    <row r="277" spans="10:10" s="658" customFormat="1" ht="21.75" customHeight="1">
      <c r="J277" s="2790"/>
    </row>
    <row r="278" spans="10:10" s="658" customFormat="1" ht="21.75" customHeight="1">
      <c r="J278" s="2790"/>
    </row>
    <row r="279" spans="10:10" s="658" customFormat="1" ht="21.75" customHeight="1">
      <c r="J279" s="2790"/>
    </row>
    <row r="280" spans="10:10" s="658" customFormat="1" ht="21.75" customHeight="1">
      <c r="J280" s="2790"/>
    </row>
    <row r="281" spans="10:10" s="658" customFormat="1" ht="21.75" customHeight="1">
      <c r="J281" s="2790"/>
    </row>
    <row r="282" spans="10:10" s="658" customFormat="1" ht="21.75" customHeight="1">
      <c r="J282" s="2790"/>
    </row>
    <row r="283" spans="10:10" s="658" customFormat="1" ht="21.75" customHeight="1">
      <c r="J283" s="2790"/>
    </row>
    <row r="284" spans="10:10" s="658" customFormat="1" ht="21.75" customHeight="1">
      <c r="J284" s="2790"/>
    </row>
    <row r="285" spans="10:10" s="658" customFormat="1" ht="21.75" customHeight="1">
      <c r="J285" s="2790"/>
    </row>
    <row r="286" spans="10:10" s="658" customFormat="1" ht="21.75" customHeight="1">
      <c r="J286" s="2790"/>
    </row>
    <row r="287" spans="10:10" s="658" customFormat="1" ht="21.75" customHeight="1">
      <c r="J287" s="2790"/>
    </row>
    <row r="288" spans="10:10" s="658" customFormat="1" ht="21.75" customHeight="1">
      <c r="J288" s="2790"/>
    </row>
    <row r="289" spans="10:10" s="658" customFormat="1" ht="21.75" customHeight="1">
      <c r="J289" s="2790"/>
    </row>
    <row r="290" spans="10:10" s="658" customFormat="1" ht="21.75" customHeight="1">
      <c r="J290" s="2790"/>
    </row>
    <row r="291" spans="10:10" s="658" customFormat="1" ht="21.75" customHeight="1">
      <c r="J291" s="2790"/>
    </row>
    <row r="292" spans="10:10" s="658" customFormat="1" ht="21.75" customHeight="1">
      <c r="J292" s="2790"/>
    </row>
    <row r="293" spans="10:10" s="658" customFormat="1" ht="21.75" customHeight="1">
      <c r="J293" s="2790"/>
    </row>
    <row r="294" spans="10:10" s="658" customFormat="1" ht="21.75" customHeight="1">
      <c r="J294" s="2790"/>
    </row>
    <row r="295" spans="10:10" s="658" customFormat="1" ht="21.75" customHeight="1">
      <c r="J295" s="2790"/>
    </row>
    <row r="296" spans="10:10" s="658" customFormat="1" ht="21.75" customHeight="1">
      <c r="J296" s="2790"/>
    </row>
    <row r="297" spans="10:10" s="658" customFormat="1" ht="21.75" customHeight="1">
      <c r="J297" s="2790"/>
    </row>
    <row r="298" spans="10:10" s="658" customFormat="1" ht="21.75" customHeight="1">
      <c r="J298" s="2790"/>
    </row>
    <row r="299" spans="10:10" s="658" customFormat="1" ht="21.75" customHeight="1">
      <c r="J299" s="2790"/>
    </row>
    <row r="300" spans="10:10" s="658" customFormat="1" ht="21.75" customHeight="1">
      <c r="J300" s="2790"/>
    </row>
    <row r="301" spans="10:10" s="658" customFormat="1" ht="21.75" customHeight="1">
      <c r="J301" s="2790"/>
    </row>
    <row r="302" spans="10:10" s="658" customFormat="1" ht="21.75" customHeight="1">
      <c r="J302" s="2790"/>
    </row>
    <row r="303" spans="10:10" s="658" customFormat="1" ht="21.75" customHeight="1">
      <c r="J303" s="2790"/>
    </row>
    <row r="304" spans="10:10" s="658" customFormat="1" ht="21.75" customHeight="1">
      <c r="J304" s="2790"/>
    </row>
    <row r="305" spans="10:10" s="658" customFormat="1" ht="21.75" customHeight="1">
      <c r="J305" s="2790"/>
    </row>
    <row r="306" spans="10:10" s="658" customFormat="1" ht="21.75" customHeight="1">
      <c r="J306" s="2790"/>
    </row>
    <row r="307" spans="10:10" s="658" customFormat="1" ht="21.75" customHeight="1">
      <c r="J307" s="2790"/>
    </row>
    <row r="308" spans="10:10" s="658" customFormat="1" ht="21.75" customHeight="1">
      <c r="J308" s="2790"/>
    </row>
    <row r="309" spans="10:10" s="658" customFormat="1" ht="21.75" customHeight="1">
      <c r="J309" s="2790"/>
    </row>
    <row r="310" spans="10:10" s="658" customFormat="1" ht="21.75" customHeight="1">
      <c r="J310" s="2790"/>
    </row>
    <row r="311" spans="10:10" s="658" customFormat="1" ht="21.75" customHeight="1">
      <c r="J311" s="2790"/>
    </row>
    <row r="312" spans="10:10" s="658" customFormat="1" ht="21.75" customHeight="1">
      <c r="J312" s="2790"/>
    </row>
    <row r="313" spans="10:10" s="658" customFormat="1" ht="21.75" customHeight="1">
      <c r="J313" s="2790"/>
    </row>
    <row r="314" spans="10:10" s="658" customFormat="1" ht="21.75" customHeight="1">
      <c r="J314" s="2790"/>
    </row>
    <row r="315" spans="10:10" s="658" customFormat="1" ht="21.75" customHeight="1">
      <c r="J315" s="2790"/>
    </row>
    <row r="316" spans="10:10" s="658" customFormat="1" ht="21.75" customHeight="1">
      <c r="J316" s="2790"/>
    </row>
    <row r="317" spans="10:10" s="658" customFormat="1" ht="21.75" customHeight="1">
      <c r="J317" s="2790"/>
    </row>
    <row r="318" spans="10:10" s="658" customFormat="1" ht="21.75" customHeight="1">
      <c r="J318" s="2790"/>
    </row>
    <row r="319" spans="10:10" s="658" customFormat="1" ht="21.75" customHeight="1">
      <c r="J319" s="2790"/>
    </row>
    <row r="320" spans="10:10" s="658" customFormat="1" ht="21.75" customHeight="1">
      <c r="J320" s="2790"/>
    </row>
    <row r="321" spans="10:10" s="658" customFormat="1" ht="21.75" customHeight="1">
      <c r="J321" s="2790"/>
    </row>
    <row r="322" spans="10:10" s="658" customFormat="1" ht="21.75" customHeight="1">
      <c r="J322" s="2790"/>
    </row>
    <row r="323" spans="10:10" s="658" customFormat="1" ht="21.75" customHeight="1">
      <c r="J323" s="2790"/>
    </row>
    <row r="324" spans="10:10" s="658" customFormat="1" ht="21.75" customHeight="1">
      <c r="J324" s="2790"/>
    </row>
    <row r="325" spans="10:10" s="658" customFormat="1" ht="21.75" customHeight="1">
      <c r="J325" s="2790"/>
    </row>
    <row r="326" spans="10:10" s="658" customFormat="1" ht="21.75" customHeight="1">
      <c r="J326" s="2790"/>
    </row>
    <row r="327" spans="10:10" s="658" customFormat="1" ht="21.75" customHeight="1">
      <c r="J327" s="2790"/>
    </row>
    <row r="328" spans="10:10" s="658" customFormat="1" ht="21.75" customHeight="1">
      <c r="J328" s="2790"/>
    </row>
    <row r="329" spans="10:10" s="658" customFormat="1" ht="21.75" customHeight="1">
      <c r="J329" s="2790"/>
    </row>
    <row r="330" spans="10:10" s="658" customFormat="1" ht="21.75" customHeight="1">
      <c r="J330" s="2790"/>
    </row>
    <row r="331" spans="10:10" s="658" customFormat="1" ht="21.75" customHeight="1">
      <c r="J331" s="2790"/>
    </row>
    <row r="332" spans="10:10" s="658" customFormat="1" ht="21.75" customHeight="1">
      <c r="J332" s="2790"/>
    </row>
    <row r="333" spans="10:10" s="658" customFormat="1" ht="21.75" customHeight="1">
      <c r="J333" s="2790"/>
    </row>
    <row r="334" spans="10:10" s="658" customFormat="1" ht="21.75" customHeight="1">
      <c r="J334" s="2790"/>
    </row>
    <row r="335" spans="10:10" s="658" customFormat="1" ht="21.75" customHeight="1">
      <c r="J335" s="2790"/>
    </row>
    <row r="336" spans="10:10" s="658" customFormat="1" ht="21.75" customHeight="1">
      <c r="J336" s="2790"/>
    </row>
    <row r="337" spans="10:10" s="658" customFormat="1" ht="21.75" customHeight="1">
      <c r="J337" s="2790"/>
    </row>
    <row r="338" spans="10:10" s="658" customFormat="1" ht="21.75" customHeight="1">
      <c r="J338" s="2790"/>
    </row>
    <row r="339" spans="10:10" s="658" customFormat="1" ht="21.75" customHeight="1">
      <c r="J339" s="2790"/>
    </row>
    <row r="340" spans="10:10" s="658" customFormat="1" ht="21.75" customHeight="1">
      <c r="J340" s="2790"/>
    </row>
    <row r="341" spans="10:10" s="658" customFormat="1" ht="21.75" customHeight="1">
      <c r="J341" s="2790"/>
    </row>
    <row r="342" spans="10:10" s="658" customFormat="1" ht="21.75" customHeight="1">
      <c r="J342" s="2790"/>
    </row>
    <row r="343" spans="10:10" s="658" customFormat="1" ht="21.75" customHeight="1">
      <c r="J343" s="2790"/>
    </row>
    <row r="344" spans="10:10" s="658" customFormat="1" ht="21.75" customHeight="1">
      <c r="J344" s="2790"/>
    </row>
    <row r="345" spans="10:10" s="658" customFormat="1" ht="21.75" customHeight="1">
      <c r="J345" s="2790"/>
    </row>
    <row r="346" spans="10:10" s="658" customFormat="1" ht="21.75" customHeight="1">
      <c r="J346" s="2790"/>
    </row>
    <row r="347" spans="10:10" s="658" customFormat="1" ht="21.75" customHeight="1">
      <c r="J347" s="2790"/>
    </row>
    <row r="348" spans="10:10" s="658" customFormat="1" ht="21.75" customHeight="1">
      <c r="J348" s="2790"/>
    </row>
    <row r="349" spans="10:10" s="658" customFormat="1" ht="21.75" customHeight="1">
      <c r="J349" s="2790"/>
    </row>
    <row r="350" spans="10:10" s="658" customFormat="1" ht="21.75" customHeight="1">
      <c r="J350" s="2790"/>
    </row>
    <row r="351" spans="10:10" s="658" customFormat="1" ht="21.75" customHeight="1">
      <c r="J351" s="2790"/>
    </row>
    <row r="352" spans="10:10" s="658" customFormat="1" ht="21.75" customHeight="1">
      <c r="J352" s="2790"/>
    </row>
    <row r="353" spans="10:10" s="658" customFormat="1" ht="21.75" customHeight="1">
      <c r="J353" s="2790"/>
    </row>
    <row r="354" spans="10:10" s="658" customFormat="1" ht="21.75" customHeight="1">
      <c r="J354" s="2790"/>
    </row>
    <row r="355" spans="10:10" s="658" customFormat="1" ht="21.75" customHeight="1">
      <c r="J355" s="2790"/>
    </row>
    <row r="356" spans="10:10" s="658" customFormat="1" ht="21.75" customHeight="1">
      <c r="J356" s="2790"/>
    </row>
    <row r="357" spans="10:10" s="658" customFormat="1" ht="21.75" customHeight="1">
      <c r="J357" s="2790"/>
    </row>
    <row r="358" spans="10:10" s="658" customFormat="1" ht="21.75" customHeight="1">
      <c r="J358" s="2790"/>
    </row>
    <row r="359" spans="10:10" s="658" customFormat="1" ht="21.75" customHeight="1">
      <c r="J359" s="2790"/>
    </row>
    <row r="360" spans="10:10" s="658" customFormat="1" ht="21.75" customHeight="1">
      <c r="J360" s="2790"/>
    </row>
    <row r="361" spans="10:10" s="658" customFormat="1" ht="21.75" customHeight="1">
      <c r="J361" s="2790"/>
    </row>
    <row r="362" spans="10:10" s="658" customFormat="1" ht="21.75" customHeight="1">
      <c r="J362" s="2790"/>
    </row>
    <row r="363" spans="10:10" s="658" customFormat="1" ht="21.75" customHeight="1">
      <c r="J363" s="2790"/>
    </row>
    <row r="364" spans="10:10" s="658" customFormat="1" ht="21.75" customHeight="1">
      <c r="J364" s="2790"/>
    </row>
    <row r="365" spans="10:10" s="658" customFormat="1" ht="21.75" customHeight="1">
      <c r="J365" s="2790"/>
    </row>
    <row r="366" spans="10:10" s="658" customFormat="1" ht="21.75" customHeight="1">
      <c r="J366" s="2790"/>
    </row>
    <row r="367" spans="10:10" s="658" customFormat="1" ht="21.75" customHeight="1">
      <c r="J367" s="2790"/>
    </row>
    <row r="368" spans="10:10" s="658" customFormat="1" ht="21.75" customHeight="1">
      <c r="J368" s="2790"/>
    </row>
    <row r="369" spans="10:27" s="658" customFormat="1" ht="21.75" customHeight="1">
      <c r="J369" s="2790"/>
    </row>
    <row r="370" spans="10:27" s="658" customFormat="1" ht="21.75" customHeight="1">
      <c r="J370" s="2790"/>
    </row>
    <row r="371" spans="10:27" s="658" customFormat="1" ht="21.75" customHeight="1">
      <c r="J371" s="2790"/>
    </row>
    <row r="372" spans="10:27" s="658" customFormat="1" ht="21.75" customHeight="1">
      <c r="J372" s="2790"/>
    </row>
    <row r="373" spans="10:27" s="658" customFormat="1" ht="21.75" customHeight="1">
      <c r="J373" s="2790"/>
    </row>
    <row r="374" spans="10:27" s="658" customFormat="1" ht="21.75" customHeight="1">
      <c r="J374" s="2790"/>
    </row>
    <row r="375" spans="10:27" s="658" customFormat="1" ht="21.75" customHeight="1">
      <c r="J375" s="2790"/>
    </row>
    <row r="376" spans="10:27" s="658" customFormat="1" ht="21.75" customHeight="1">
      <c r="J376" s="2790"/>
    </row>
    <row r="377" spans="10:27" s="658" customFormat="1" ht="21.75" customHeight="1">
      <c r="J377" s="2790"/>
    </row>
    <row r="378" spans="10:27" s="658" customFormat="1" ht="21.75" customHeight="1">
      <c r="J378" s="2790"/>
    </row>
    <row r="379" spans="10:27" s="658" customFormat="1" ht="21.75" customHeight="1">
      <c r="J379" s="2790"/>
    </row>
    <row r="380" spans="10:27" s="658" customFormat="1" ht="21.75" customHeight="1">
      <c r="J380" s="2790"/>
    </row>
    <row r="381" spans="10:27" s="658" customFormat="1" ht="21.75" customHeight="1">
      <c r="J381" s="2790"/>
    </row>
    <row r="382" spans="10:27" s="658" customFormat="1" ht="21.75" customHeight="1">
      <c r="J382" s="2790"/>
    </row>
    <row r="383" spans="10:27" s="1235" customFormat="1" ht="21.75" customHeight="1">
      <c r="J383" s="2760"/>
      <c r="K383" s="658"/>
      <c r="L383" s="658"/>
      <c r="M383" s="658"/>
      <c r="N383" s="658"/>
      <c r="O383" s="658"/>
      <c r="P383" s="658"/>
      <c r="Q383" s="658"/>
      <c r="R383" s="658"/>
      <c r="S383" s="658"/>
      <c r="T383" s="658"/>
      <c r="U383" s="658"/>
      <c r="V383" s="658"/>
      <c r="W383" s="658"/>
      <c r="X383" s="658"/>
      <c r="Y383" s="658"/>
      <c r="Z383" s="658"/>
      <c r="AA383" s="658"/>
    </row>
    <row r="384" spans="10:27" s="1235" customFormat="1" ht="21.75" customHeight="1">
      <c r="J384" s="2760"/>
      <c r="K384" s="658"/>
      <c r="L384" s="658"/>
      <c r="M384" s="658"/>
      <c r="N384" s="658"/>
      <c r="O384" s="658"/>
      <c r="P384" s="658"/>
      <c r="Q384" s="658"/>
      <c r="R384" s="658"/>
      <c r="S384" s="658"/>
      <c r="T384" s="658"/>
      <c r="U384" s="658"/>
      <c r="V384" s="658"/>
      <c r="W384" s="658"/>
      <c r="X384" s="658"/>
      <c r="Y384" s="658"/>
      <c r="Z384" s="658"/>
      <c r="AA384" s="658"/>
    </row>
    <row r="385" spans="10:27" s="1235" customFormat="1" ht="21.75" customHeight="1">
      <c r="J385" s="2760"/>
      <c r="K385" s="658"/>
      <c r="L385" s="658"/>
      <c r="M385" s="658"/>
      <c r="N385" s="658"/>
      <c r="O385" s="658"/>
      <c r="P385" s="658"/>
      <c r="Q385" s="658"/>
      <c r="R385" s="658"/>
      <c r="S385" s="658"/>
      <c r="T385" s="658"/>
      <c r="U385" s="658"/>
      <c r="V385" s="658"/>
      <c r="W385" s="658"/>
      <c r="X385" s="658"/>
      <c r="Y385" s="658"/>
      <c r="Z385" s="658"/>
      <c r="AA385" s="658"/>
    </row>
    <row r="386" spans="10:27" s="1235" customFormat="1" ht="21.75" customHeight="1">
      <c r="J386" s="2760"/>
      <c r="K386" s="658"/>
      <c r="L386" s="658"/>
      <c r="M386" s="658"/>
      <c r="N386" s="658"/>
      <c r="O386" s="658"/>
      <c r="P386" s="658"/>
      <c r="Q386" s="658"/>
      <c r="R386" s="658"/>
      <c r="S386" s="658"/>
      <c r="T386" s="658"/>
      <c r="U386" s="658"/>
      <c r="V386" s="658"/>
      <c r="W386" s="658"/>
      <c r="X386" s="658"/>
      <c r="Y386" s="658"/>
      <c r="Z386" s="658"/>
      <c r="AA386" s="658"/>
    </row>
    <row r="387" spans="10:27" s="1235" customFormat="1" ht="21.75" customHeight="1">
      <c r="J387" s="2760"/>
      <c r="K387" s="658"/>
      <c r="L387" s="658"/>
      <c r="M387" s="658"/>
      <c r="N387" s="658"/>
      <c r="O387" s="658"/>
      <c r="P387" s="658"/>
      <c r="Q387" s="658"/>
      <c r="R387" s="658"/>
      <c r="S387" s="658"/>
      <c r="T387" s="658"/>
      <c r="U387" s="658"/>
      <c r="V387" s="658"/>
      <c r="W387" s="658"/>
      <c r="X387" s="658"/>
      <c r="Y387" s="658"/>
      <c r="Z387" s="658"/>
      <c r="AA387" s="658"/>
    </row>
    <row r="388" spans="10:27" s="1235" customFormat="1" ht="21.75" customHeight="1">
      <c r="J388" s="2760"/>
      <c r="K388" s="658"/>
      <c r="L388" s="658"/>
      <c r="M388" s="658"/>
      <c r="N388" s="658"/>
      <c r="O388" s="658"/>
      <c r="P388" s="658"/>
      <c r="Q388" s="658"/>
      <c r="R388" s="658"/>
      <c r="S388" s="658"/>
      <c r="T388" s="658"/>
      <c r="U388" s="658"/>
      <c r="V388" s="658"/>
      <c r="W388" s="658"/>
      <c r="X388" s="658"/>
      <c r="Y388" s="658"/>
      <c r="Z388" s="658"/>
      <c r="AA388" s="658"/>
    </row>
    <row r="389" spans="10:27" s="1235" customFormat="1" ht="21.75" customHeight="1">
      <c r="J389" s="2760"/>
      <c r="K389" s="658"/>
      <c r="L389" s="658"/>
      <c r="M389" s="658"/>
      <c r="N389" s="658"/>
      <c r="O389" s="658"/>
      <c r="P389" s="658"/>
      <c r="Q389" s="658"/>
      <c r="R389" s="658"/>
      <c r="S389" s="658"/>
      <c r="T389" s="658"/>
      <c r="U389" s="658"/>
      <c r="V389" s="658"/>
      <c r="W389" s="658"/>
      <c r="X389" s="658"/>
      <c r="Y389" s="658"/>
      <c r="Z389" s="658"/>
      <c r="AA389" s="658"/>
    </row>
    <row r="390" spans="10:27" s="1235" customFormat="1" ht="21.75" customHeight="1">
      <c r="J390" s="2760"/>
      <c r="K390" s="658"/>
      <c r="L390" s="658"/>
      <c r="M390" s="658"/>
      <c r="N390" s="658"/>
      <c r="O390" s="658"/>
      <c r="P390" s="658"/>
      <c r="Q390" s="658"/>
      <c r="R390" s="658"/>
      <c r="S390" s="658"/>
      <c r="T390" s="658"/>
      <c r="U390" s="658"/>
      <c r="V390" s="658"/>
      <c r="W390" s="658"/>
      <c r="X390" s="658"/>
      <c r="Y390" s="658"/>
      <c r="Z390" s="658"/>
      <c r="AA390" s="658"/>
    </row>
    <row r="391" spans="10:27" s="1235" customFormat="1" ht="21.75" customHeight="1">
      <c r="J391" s="2760"/>
      <c r="K391" s="658"/>
      <c r="L391" s="658"/>
      <c r="M391" s="658"/>
      <c r="N391" s="658"/>
      <c r="O391" s="658"/>
      <c r="P391" s="658"/>
      <c r="Q391" s="658"/>
      <c r="R391" s="658"/>
      <c r="S391" s="658"/>
      <c r="T391" s="658"/>
      <c r="U391" s="658"/>
      <c r="V391" s="658"/>
      <c r="W391" s="658"/>
      <c r="X391" s="658"/>
      <c r="Y391" s="658"/>
      <c r="Z391" s="658"/>
      <c r="AA391" s="658"/>
    </row>
    <row r="392" spans="10:27" s="1235" customFormat="1" ht="21.75" customHeight="1">
      <c r="J392" s="2760"/>
      <c r="K392" s="658"/>
      <c r="L392" s="658"/>
      <c r="M392" s="658"/>
      <c r="N392" s="658"/>
      <c r="O392" s="658"/>
      <c r="P392" s="658"/>
      <c r="Q392" s="658"/>
      <c r="R392" s="658"/>
      <c r="S392" s="658"/>
      <c r="T392" s="658"/>
      <c r="U392" s="658"/>
      <c r="V392" s="658"/>
      <c r="W392" s="658"/>
      <c r="X392" s="658"/>
      <c r="Y392" s="658"/>
      <c r="Z392" s="658"/>
      <c r="AA392" s="658"/>
    </row>
    <row r="393" spans="10:27" s="1235" customFormat="1" ht="21.75" customHeight="1">
      <c r="J393" s="2760"/>
      <c r="K393" s="658"/>
      <c r="L393" s="658"/>
      <c r="M393" s="658"/>
      <c r="N393" s="658"/>
      <c r="O393" s="658"/>
      <c r="P393" s="658"/>
      <c r="Q393" s="658"/>
      <c r="R393" s="658"/>
      <c r="S393" s="658"/>
      <c r="T393" s="658"/>
      <c r="U393" s="658"/>
      <c r="V393" s="658"/>
      <c r="W393" s="658"/>
      <c r="X393" s="658"/>
      <c r="Y393" s="658"/>
      <c r="Z393" s="658"/>
      <c r="AA393" s="658"/>
    </row>
    <row r="394" spans="10:27" s="1235" customFormat="1" ht="21.75" customHeight="1">
      <c r="J394" s="2760"/>
      <c r="K394" s="658"/>
      <c r="L394" s="658"/>
      <c r="M394" s="658"/>
      <c r="N394" s="658"/>
      <c r="O394" s="658"/>
      <c r="P394" s="658"/>
      <c r="Q394" s="658"/>
      <c r="R394" s="658"/>
      <c r="S394" s="658"/>
      <c r="T394" s="658"/>
      <c r="U394" s="658"/>
      <c r="V394" s="658"/>
      <c r="W394" s="658"/>
      <c r="X394" s="658"/>
      <c r="Y394" s="658"/>
      <c r="Z394" s="658"/>
      <c r="AA394" s="658"/>
    </row>
    <row r="395" spans="10:27" s="1235" customFormat="1" ht="21.75" customHeight="1">
      <c r="J395" s="2760"/>
      <c r="K395" s="658"/>
      <c r="L395" s="658"/>
      <c r="M395" s="658"/>
      <c r="N395" s="658"/>
      <c r="O395" s="658"/>
      <c r="P395" s="658"/>
      <c r="Q395" s="658"/>
      <c r="R395" s="658"/>
      <c r="S395" s="658"/>
      <c r="T395" s="658"/>
      <c r="U395" s="658"/>
      <c r="V395" s="658"/>
      <c r="W395" s="658"/>
      <c r="X395" s="658"/>
      <c r="Y395" s="658"/>
      <c r="Z395" s="658"/>
      <c r="AA395" s="658"/>
    </row>
    <row r="396" spans="10:27" s="1235" customFormat="1" ht="21.75" customHeight="1">
      <c r="J396" s="2760"/>
      <c r="K396" s="658"/>
      <c r="L396" s="658"/>
      <c r="M396" s="658"/>
      <c r="N396" s="658"/>
      <c r="O396" s="658"/>
      <c r="P396" s="658"/>
      <c r="Q396" s="658"/>
      <c r="R396" s="658"/>
      <c r="S396" s="658"/>
      <c r="T396" s="658"/>
      <c r="U396" s="658"/>
      <c r="V396" s="658"/>
      <c r="W396" s="658"/>
      <c r="X396" s="658"/>
      <c r="Y396" s="658"/>
      <c r="Z396" s="658"/>
      <c r="AA396" s="658"/>
    </row>
    <row r="397" spans="10:27" s="1235" customFormat="1" ht="21.75" customHeight="1">
      <c r="J397" s="2760"/>
      <c r="K397" s="658"/>
      <c r="L397" s="658"/>
      <c r="M397" s="658"/>
      <c r="N397" s="658"/>
      <c r="O397" s="658"/>
      <c r="P397" s="658"/>
      <c r="Q397" s="658"/>
      <c r="R397" s="658"/>
      <c r="S397" s="658"/>
      <c r="T397" s="658"/>
      <c r="U397" s="658"/>
      <c r="V397" s="658"/>
      <c r="W397" s="658"/>
      <c r="X397" s="658"/>
      <c r="Y397" s="658"/>
      <c r="Z397" s="658"/>
      <c r="AA397" s="658"/>
    </row>
    <row r="398" spans="10:27" s="1235" customFormat="1" ht="21.75" customHeight="1">
      <c r="J398" s="2760"/>
      <c r="K398" s="658"/>
      <c r="L398" s="658"/>
      <c r="M398" s="658"/>
      <c r="N398" s="658"/>
      <c r="O398" s="658"/>
      <c r="P398" s="658"/>
      <c r="Q398" s="658"/>
      <c r="R398" s="658"/>
      <c r="S398" s="658"/>
      <c r="T398" s="658"/>
      <c r="U398" s="658"/>
      <c r="V398" s="658"/>
      <c r="W398" s="658"/>
      <c r="X398" s="658"/>
      <c r="Y398" s="658"/>
      <c r="Z398" s="658"/>
      <c r="AA398" s="658"/>
    </row>
    <row r="399" spans="10:27" s="1235" customFormat="1" ht="21.75" customHeight="1">
      <c r="J399" s="2760"/>
      <c r="K399" s="658"/>
      <c r="L399" s="658"/>
      <c r="M399" s="658"/>
      <c r="N399" s="658"/>
      <c r="O399" s="658"/>
      <c r="P399" s="658"/>
      <c r="Q399" s="658"/>
      <c r="R399" s="658"/>
      <c r="S399" s="658"/>
      <c r="T399" s="658"/>
      <c r="U399" s="658"/>
      <c r="V399" s="658"/>
      <c r="W399" s="658"/>
      <c r="X399" s="658"/>
      <c r="Y399" s="658"/>
      <c r="Z399" s="658"/>
      <c r="AA399" s="658"/>
    </row>
    <row r="400" spans="10:27" s="1235" customFormat="1" ht="21.75" customHeight="1">
      <c r="J400" s="2760"/>
      <c r="K400" s="658"/>
      <c r="L400" s="658"/>
      <c r="M400" s="658"/>
      <c r="N400" s="658"/>
      <c r="O400" s="658"/>
      <c r="P400" s="658"/>
      <c r="Q400" s="658"/>
      <c r="R400" s="658"/>
      <c r="S400" s="658"/>
      <c r="T400" s="658"/>
      <c r="U400" s="658"/>
      <c r="V400" s="658"/>
      <c r="W400" s="658"/>
      <c r="X400" s="658"/>
      <c r="Y400" s="658"/>
      <c r="Z400" s="658"/>
      <c r="AA400" s="658"/>
    </row>
    <row r="401" spans="10:27" s="1235" customFormat="1" ht="21.75" customHeight="1">
      <c r="J401" s="2760"/>
      <c r="K401" s="658"/>
      <c r="L401" s="658"/>
      <c r="M401" s="658"/>
      <c r="N401" s="658"/>
      <c r="O401" s="658"/>
      <c r="P401" s="658"/>
      <c r="Q401" s="658"/>
      <c r="R401" s="658"/>
      <c r="S401" s="658"/>
      <c r="T401" s="658"/>
      <c r="U401" s="658"/>
      <c r="V401" s="658"/>
      <c r="W401" s="658"/>
      <c r="X401" s="658"/>
      <c r="Y401" s="658"/>
      <c r="Z401" s="658"/>
      <c r="AA401" s="658"/>
    </row>
    <row r="402" spans="10:27" s="1235" customFormat="1" ht="21.75" customHeight="1">
      <c r="J402" s="2760"/>
      <c r="K402" s="658"/>
      <c r="L402" s="658"/>
      <c r="M402" s="658"/>
      <c r="N402" s="658"/>
      <c r="O402" s="658"/>
      <c r="P402" s="658"/>
      <c r="Q402" s="658"/>
      <c r="R402" s="658"/>
      <c r="S402" s="658"/>
      <c r="T402" s="658"/>
      <c r="U402" s="658"/>
      <c r="V402" s="658"/>
      <c r="W402" s="658"/>
      <c r="X402" s="658"/>
      <c r="Y402" s="658"/>
      <c r="Z402" s="658"/>
      <c r="AA402" s="658"/>
    </row>
    <row r="403" spans="10:27" s="1235" customFormat="1" ht="21.75" customHeight="1">
      <c r="J403" s="2760"/>
      <c r="K403" s="658"/>
      <c r="L403" s="658"/>
      <c r="M403" s="658"/>
      <c r="N403" s="658"/>
      <c r="O403" s="658"/>
      <c r="P403" s="658"/>
      <c r="Q403" s="658"/>
      <c r="R403" s="658"/>
      <c r="S403" s="658"/>
      <c r="T403" s="658"/>
      <c r="U403" s="658"/>
      <c r="V403" s="658"/>
      <c r="W403" s="658"/>
      <c r="X403" s="658"/>
      <c r="Y403" s="658"/>
      <c r="Z403" s="658"/>
      <c r="AA403" s="658"/>
    </row>
    <row r="404" spans="10:27" s="1235" customFormat="1" ht="21.75" customHeight="1">
      <c r="J404" s="2760"/>
      <c r="K404" s="658"/>
      <c r="L404" s="658"/>
      <c r="M404" s="658"/>
      <c r="N404" s="658"/>
      <c r="O404" s="658"/>
      <c r="P404" s="658"/>
      <c r="Q404" s="658"/>
      <c r="R404" s="658"/>
      <c r="S404" s="658"/>
      <c r="T404" s="658"/>
      <c r="U404" s="658"/>
      <c r="V404" s="658"/>
      <c r="W404" s="658"/>
      <c r="X404" s="658"/>
      <c r="Y404" s="658"/>
      <c r="Z404" s="658"/>
      <c r="AA404" s="658"/>
    </row>
    <row r="405" spans="10:27" s="1235" customFormat="1" ht="21.75" customHeight="1">
      <c r="J405" s="2760"/>
      <c r="K405" s="658"/>
      <c r="L405" s="658"/>
      <c r="M405" s="658"/>
      <c r="N405" s="658"/>
      <c r="O405" s="658"/>
      <c r="P405" s="658"/>
      <c r="Q405" s="658"/>
      <c r="R405" s="658"/>
      <c r="S405" s="658"/>
      <c r="T405" s="658"/>
      <c r="U405" s="658"/>
      <c r="V405" s="658"/>
      <c r="W405" s="658"/>
      <c r="X405" s="658"/>
      <c r="Y405" s="658"/>
      <c r="Z405" s="658"/>
      <c r="AA405" s="658"/>
    </row>
    <row r="406" spans="10:27" s="1235" customFormat="1" ht="21.75" customHeight="1">
      <c r="J406" s="2760"/>
      <c r="K406" s="658"/>
      <c r="L406" s="658"/>
      <c r="M406" s="658"/>
      <c r="N406" s="658"/>
      <c r="O406" s="658"/>
      <c r="P406" s="658"/>
      <c r="Q406" s="658"/>
      <c r="R406" s="658"/>
      <c r="S406" s="658"/>
      <c r="T406" s="658"/>
      <c r="U406" s="658"/>
      <c r="V406" s="658"/>
      <c r="W406" s="658"/>
      <c r="X406" s="658"/>
      <c r="Y406" s="658"/>
      <c r="Z406" s="658"/>
      <c r="AA406" s="658"/>
    </row>
    <row r="407" spans="10:27" s="1235" customFormat="1" ht="21.75" customHeight="1">
      <c r="J407" s="2760"/>
      <c r="K407" s="658"/>
      <c r="L407" s="658"/>
      <c r="M407" s="658"/>
      <c r="N407" s="658"/>
      <c r="O407" s="658"/>
      <c r="P407" s="658"/>
      <c r="Q407" s="658"/>
      <c r="R407" s="658"/>
      <c r="S407" s="658"/>
      <c r="T407" s="658"/>
      <c r="U407" s="658"/>
      <c r="V407" s="658"/>
      <c r="W407" s="658"/>
      <c r="X407" s="658"/>
      <c r="Y407" s="658"/>
      <c r="Z407" s="658"/>
      <c r="AA407" s="658"/>
    </row>
    <row r="408" spans="10:27" s="1235" customFormat="1" ht="21.75" customHeight="1">
      <c r="J408" s="2760"/>
      <c r="K408" s="658"/>
      <c r="L408" s="658"/>
      <c r="M408" s="658"/>
      <c r="N408" s="658"/>
      <c r="O408" s="658"/>
      <c r="P408" s="658"/>
      <c r="Q408" s="658"/>
      <c r="R408" s="658"/>
      <c r="S408" s="658"/>
      <c r="T408" s="658"/>
      <c r="U408" s="658"/>
      <c r="V408" s="658"/>
      <c r="W408" s="658"/>
      <c r="X408" s="658"/>
      <c r="Y408" s="658"/>
      <c r="Z408" s="658"/>
      <c r="AA408" s="658"/>
    </row>
    <row r="409" spans="10:27" s="1235" customFormat="1" ht="21.75" customHeight="1">
      <c r="J409" s="2760"/>
      <c r="K409" s="658"/>
      <c r="L409" s="658"/>
      <c r="M409" s="658"/>
      <c r="N409" s="658"/>
      <c r="O409" s="658"/>
      <c r="P409" s="658"/>
      <c r="Q409" s="658"/>
      <c r="R409" s="658"/>
      <c r="S409" s="658"/>
      <c r="T409" s="658"/>
      <c r="U409" s="658"/>
      <c r="V409" s="658"/>
      <c r="W409" s="658"/>
      <c r="X409" s="658"/>
      <c r="Y409" s="658"/>
      <c r="Z409" s="658"/>
      <c r="AA409" s="658"/>
    </row>
    <row r="410" spans="10:27" s="1235" customFormat="1" ht="21.75" customHeight="1">
      <c r="J410" s="2760"/>
      <c r="K410" s="658"/>
      <c r="L410" s="658"/>
      <c r="M410" s="658"/>
      <c r="N410" s="658"/>
      <c r="O410" s="658"/>
      <c r="P410" s="658"/>
      <c r="Q410" s="658"/>
      <c r="R410" s="658"/>
      <c r="S410" s="658"/>
      <c r="T410" s="658"/>
      <c r="U410" s="658"/>
      <c r="V410" s="658"/>
      <c r="W410" s="658"/>
      <c r="X410" s="658"/>
      <c r="Y410" s="658"/>
      <c r="Z410" s="658"/>
      <c r="AA410" s="658"/>
    </row>
    <row r="411" spans="10:27" s="1235" customFormat="1" ht="21.75" customHeight="1">
      <c r="J411" s="2760"/>
      <c r="K411" s="658"/>
      <c r="L411" s="658"/>
      <c r="M411" s="658"/>
      <c r="N411" s="658"/>
      <c r="O411" s="658"/>
      <c r="P411" s="658"/>
      <c r="Q411" s="658"/>
      <c r="R411" s="658"/>
      <c r="S411" s="658"/>
      <c r="T411" s="658"/>
      <c r="U411" s="658"/>
      <c r="V411" s="658"/>
      <c r="W411" s="658"/>
      <c r="X411" s="658"/>
      <c r="Y411" s="658"/>
      <c r="Z411" s="658"/>
      <c r="AA411" s="658"/>
    </row>
    <row r="412" spans="10:27" s="1235" customFormat="1" ht="21.75" customHeight="1">
      <c r="J412" s="2760"/>
      <c r="K412" s="658"/>
      <c r="L412" s="658"/>
      <c r="M412" s="658"/>
      <c r="N412" s="658"/>
      <c r="O412" s="658"/>
      <c r="P412" s="658"/>
      <c r="Q412" s="658"/>
      <c r="R412" s="658"/>
      <c r="S412" s="658"/>
      <c r="T412" s="658"/>
      <c r="U412" s="658"/>
      <c r="V412" s="658"/>
      <c r="W412" s="658"/>
      <c r="X412" s="658"/>
      <c r="Y412" s="658"/>
      <c r="Z412" s="658"/>
      <c r="AA412" s="658"/>
    </row>
    <row r="413" spans="10:27" s="1235" customFormat="1" ht="21.75" customHeight="1">
      <c r="J413" s="2760"/>
      <c r="K413" s="658"/>
      <c r="L413" s="658"/>
      <c r="M413" s="658"/>
      <c r="N413" s="658"/>
      <c r="O413" s="658"/>
      <c r="P413" s="658"/>
      <c r="Q413" s="658"/>
      <c r="R413" s="658"/>
      <c r="S413" s="658"/>
      <c r="T413" s="658"/>
      <c r="U413" s="658"/>
      <c r="V413" s="658"/>
      <c r="W413" s="658"/>
      <c r="X413" s="658"/>
      <c r="Y413" s="658"/>
      <c r="Z413" s="658"/>
      <c r="AA413" s="658"/>
    </row>
    <row r="414" spans="10:27" s="1235" customFormat="1" ht="21.75" customHeight="1">
      <c r="J414" s="2760"/>
      <c r="K414" s="658"/>
      <c r="L414" s="658"/>
      <c r="M414" s="658"/>
      <c r="N414" s="658"/>
      <c r="O414" s="658"/>
      <c r="P414" s="658"/>
      <c r="Q414" s="658"/>
      <c r="R414" s="658"/>
      <c r="S414" s="658"/>
      <c r="T414" s="658"/>
      <c r="U414" s="658"/>
      <c r="V414" s="658"/>
      <c r="W414" s="658"/>
      <c r="X414" s="658"/>
      <c r="Y414" s="658"/>
      <c r="Z414" s="658"/>
      <c r="AA414" s="658"/>
    </row>
    <row r="415" spans="10:27" s="1235" customFormat="1" ht="21.75" customHeight="1">
      <c r="J415" s="2760"/>
      <c r="K415" s="658"/>
      <c r="L415" s="658"/>
      <c r="M415" s="658"/>
      <c r="N415" s="658"/>
      <c r="O415" s="658"/>
      <c r="P415" s="658"/>
      <c r="Q415" s="658"/>
      <c r="R415" s="658"/>
      <c r="S415" s="658"/>
      <c r="T415" s="658"/>
      <c r="U415" s="658"/>
      <c r="V415" s="658"/>
      <c r="W415" s="658"/>
      <c r="X415" s="658"/>
      <c r="Y415" s="658"/>
      <c r="Z415" s="658"/>
      <c r="AA415" s="658"/>
    </row>
    <row r="416" spans="10:27" s="1235" customFormat="1" ht="21.75" customHeight="1">
      <c r="J416" s="2760"/>
      <c r="K416" s="658"/>
      <c r="L416" s="658"/>
      <c r="M416" s="658"/>
      <c r="N416" s="658"/>
      <c r="O416" s="658"/>
      <c r="P416" s="658"/>
      <c r="Q416" s="658"/>
      <c r="R416" s="658"/>
      <c r="S416" s="658"/>
      <c r="T416" s="658"/>
      <c r="U416" s="658"/>
      <c r="V416" s="658"/>
      <c r="W416" s="658"/>
      <c r="X416" s="658"/>
      <c r="Y416" s="658"/>
      <c r="Z416" s="658"/>
      <c r="AA416" s="658"/>
    </row>
    <row r="417" spans="10:27" s="1235" customFormat="1" ht="21.75" customHeight="1">
      <c r="J417" s="2760"/>
      <c r="K417" s="658"/>
      <c r="L417" s="658"/>
      <c r="M417" s="658"/>
      <c r="N417" s="658"/>
      <c r="O417" s="658"/>
      <c r="P417" s="658"/>
      <c r="Q417" s="658"/>
      <c r="R417" s="658"/>
      <c r="S417" s="658"/>
      <c r="T417" s="658"/>
      <c r="U417" s="658"/>
      <c r="V417" s="658"/>
      <c r="W417" s="658"/>
      <c r="X417" s="658"/>
      <c r="Y417" s="658"/>
      <c r="Z417" s="658"/>
      <c r="AA417" s="658"/>
    </row>
    <row r="418" spans="10:27" s="1235" customFormat="1" ht="21.75" customHeight="1">
      <c r="J418" s="2760"/>
      <c r="K418" s="658"/>
      <c r="L418" s="658"/>
      <c r="M418" s="658"/>
      <c r="N418" s="658"/>
      <c r="O418" s="658"/>
      <c r="P418" s="658"/>
      <c r="Q418" s="658"/>
      <c r="R418" s="658"/>
      <c r="S418" s="658"/>
      <c r="T418" s="658"/>
      <c r="U418" s="658"/>
      <c r="V418" s="658"/>
      <c r="W418" s="658"/>
      <c r="X418" s="658"/>
      <c r="Y418" s="658"/>
      <c r="Z418" s="658"/>
      <c r="AA418" s="658"/>
    </row>
    <row r="419" spans="10:27" s="1235" customFormat="1" ht="21.75" customHeight="1">
      <c r="J419" s="2760"/>
      <c r="K419" s="658"/>
      <c r="L419" s="658"/>
      <c r="M419" s="658"/>
      <c r="N419" s="658"/>
      <c r="O419" s="658"/>
      <c r="P419" s="658"/>
      <c r="Q419" s="658"/>
      <c r="R419" s="658"/>
      <c r="S419" s="658"/>
      <c r="T419" s="658"/>
      <c r="U419" s="658"/>
      <c r="V419" s="658"/>
      <c r="W419" s="658"/>
      <c r="X419" s="658"/>
      <c r="Y419" s="658"/>
      <c r="Z419" s="658"/>
      <c r="AA419" s="658"/>
    </row>
    <row r="420" spans="10:27" s="1235" customFormat="1" ht="21.75" customHeight="1">
      <c r="J420" s="2760"/>
      <c r="K420" s="658"/>
      <c r="L420" s="658"/>
      <c r="M420" s="658"/>
      <c r="N420" s="658"/>
      <c r="O420" s="658"/>
      <c r="P420" s="658"/>
      <c r="Q420" s="658"/>
      <c r="R420" s="658"/>
      <c r="S420" s="658"/>
      <c r="T420" s="658"/>
      <c r="U420" s="658"/>
      <c r="V420" s="658"/>
      <c r="W420" s="658"/>
      <c r="X420" s="658"/>
      <c r="Y420" s="658"/>
      <c r="Z420" s="658"/>
      <c r="AA420" s="658"/>
    </row>
    <row r="421" spans="10:27" s="1235" customFormat="1" ht="21.75" customHeight="1">
      <c r="J421" s="2760"/>
      <c r="K421" s="658"/>
      <c r="L421" s="658"/>
      <c r="M421" s="658"/>
      <c r="N421" s="658"/>
      <c r="O421" s="658"/>
      <c r="P421" s="658"/>
      <c r="Q421" s="658"/>
      <c r="R421" s="658"/>
      <c r="S421" s="658"/>
      <c r="T421" s="658"/>
      <c r="U421" s="658"/>
      <c r="V421" s="658"/>
      <c r="W421" s="658"/>
      <c r="X421" s="658"/>
      <c r="Y421" s="658"/>
      <c r="Z421" s="658"/>
      <c r="AA421" s="658"/>
    </row>
    <row r="422" spans="10:27" s="1235" customFormat="1" ht="21.75" customHeight="1">
      <c r="J422" s="2760"/>
      <c r="K422" s="658"/>
      <c r="L422" s="658"/>
      <c r="M422" s="658"/>
      <c r="N422" s="658"/>
      <c r="O422" s="658"/>
      <c r="P422" s="658"/>
      <c r="Q422" s="658"/>
      <c r="R422" s="658"/>
      <c r="S422" s="658"/>
      <c r="T422" s="658"/>
      <c r="U422" s="658"/>
      <c r="V422" s="658"/>
      <c r="W422" s="658"/>
      <c r="X422" s="658"/>
      <c r="Y422" s="658"/>
      <c r="Z422" s="658"/>
      <c r="AA422" s="658"/>
    </row>
    <row r="423" spans="10:27" s="1235" customFormat="1" ht="21.75" customHeight="1">
      <c r="J423" s="2760"/>
      <c r="K423" s="658"/>
      <c r="L423" s="658"/>
      <c r="M423" s="658"/>
      <c r="N423" s="658"/>
      <c r="O423" s="658"/>
      <c r="P423" s="658"/>
      <c r="Q423" s="658"/>
      <c r="R423" s="658"/>
      <c r="S423" s="658"/>
      <c r="T423" s="658"/>
      <c r="U423" s="658"/>
      <c r="V423" s="658"/>
      <c r="W423" s="658"/>
      <c r="X423" s="658"/>
      <c r="Y423" s="658"/>
      <c r="Z423" s="658"/>
      <c r="AA423" s="658"/>
    </row>
    <row r="424" spans="10:27" s="1235" customFormat="1" ht="21.75" customHeight="1">
      <c r="J424" s="2760"/>
      <c r="K424" s="658"/>
      <c r="L424" s="658"/>
      <c r="M424" s="658"/>
      <c r="N424" s="658"/>
      <c r="O424" s="658"/>
      <c r="P424" s="658"/>
      <c r="Q424" s="658"/>
      <c r="R424" s="658"/>
      <c r="S424" s="658"/>
      <c r="T424" s="658"/>
      <c r="U424" s="658"/>
      <c r="V424" s="658"/>
      <c r="W424" s="658"/>
      <c r="X424" s="658"/>
      <c r="Y424" s="658"/>
      <c r="Z424" s="658"/>
      <c r="AA424" s="658"/>
    </row>
    <row r="425" spans="10:27" s="1235" customFormat="1" ht="21.75" customHeight="1">
      <c r="J425" s="2760"/>
      <c r="K425" s="658"/>
      <c r="L425" s="658"/>
      <c r="M425" s="658"/>
      <c r="N425" s="658"/>
      <c r="O425" s="658"/>
      <c r="P425" s="658"/>
      <c r="Q425" s="658"/>
      <c r="R425" s="658"/>
      <c r="S425" s="658"/>
      <c r="T425" s="658"/>
      <c r="U425" s="658"/>
      <c r="V425" s="658"/>
      <c r="W425" s="658"/>
      <c r="X425" s="658"/>
      <c r="Y425" s="658"/>
      <c r="Z425" s="658"/>
      <c r="AA425" s="658"/>
    </row>
    <row r="426" spans="10:27" s="1235" customFormat="1" ht="21.75" customHeight="1">
      <c r="J426" s="2760"/>
      <c r="K426" s="658"/>
      <c r="L426" s="658"/>
      <c r="M426" s="658"/>
      <c r="N426" s="658"/>
      <c r="O426" s="658"/>
      <c r="P426" s="658"/>
      <c r="Q426" s="658"/>
      <c r="R426" s="658"/>
      <c r="S426" s="658"/>
      <c r="T426" s="658"/>
      <c r="U426" s="658"/>
      <c r="V426" s="658"/>
      <c r="W426" s="658"/>
      <c r="X426" s="658"/>
      <c r="Y426" s="658"/>
      <c r="Z426" s="658"/>
      <c r="AA426" s="658"/>
    </row>
    <row r="427" spans="10:27" s="1235" customFormat="1" ht="21.75" customHeight="1">
      <c r="J427" s="2760"/>
      <c r="K427" s="658"/>
      <c r="L427" s="658"/>
      <c r="M427" s="658"/>
      <c r="N427" s="658"/>
      <c r="O427" s="658"/>
      <c r="P427" s="658"/>
      <c r="Q427" s="658"/>
      <c r="R427" s="658"/>
      <c r="S427" s="658"/>
      <c r="T427" s="658"/>
      <c r="U427" s="658"/>
      <c r="V427" s="658"/>
      <c r="W427" s="658"/>
      <c r="X427" s="658"/>
      <c r="Y427" s="658"/>
      <c r="Z427" s="658"/>
      <c r="AA427" s="658"/>
    </row>
    <row r="428" spans="10:27" s="1235" customFormat="1" ht="21.75" customHeight="1">
      <c r="J428" s="2760"/>
      <c r="K428" s="658"/>
      <c r="L428" s="658"/>
      <c r="M428" s="658"/>
      <c r="N428" s="658"/>
      <c r="O428" s="658"/>
      <c r="P428" s="658"/>
      <c r="Q428" s="658"/>
      <c r="R428" s="658"/>
      <c r="S428" s="658"/>
      <c r="T428" s="658"/>
      <c r="U428" s="658"/>
      <c r="V428" s="658"/>
      <c r="W428" s="658"/>
      <c r="X428" s="658"/>
      <c r="Y428" s="658"/>
      <c r="Z428" s="658"/>
      <c r="AA428" s="658"/>
    </row>
    <row r="429" spans="10:27" s="1235" customFormat="1" ht="21.75" customHeight="1">
      <c r="J429" s="2760"/>
      <c r="K429" s="658"/>
      <c r="L429" s="658"/>
      <c r="M429" s="658"/>
      <c r="N429" s="658"/>
      <c r="O429" s="658"/>
      <c r="P429" s="658"/>
      <c r="Q429" s="658"/>
      <c r="R429" s="658"/>
      <c r="S429" s="658"/>
      <c r="T429" s="658"/>
      <c r="U429" s="658"/>
      <c r="V429" s="658"/>
      <c r="W429" s="658"/>
      <c r="X429" s="658"/>
      <c r="Y429" s="658"/>
      <c r="Z429" s="658"/>
      <c r="AA429" s="658"/>
    </row>
    <row r="430" spans="10:27" s="1235" customFormat="1" ht="21.75" customHeight="1">
      <c r="J430" s="2760"/>
      <c r="K430" s="658"/>
      <c r="L430" s="658"/>
      <c r="M430" s="658"/>
      <c r="N430" s="658"/>
      <c r="O430" s="658"/>
      <c r="P430" s="658"/>
      <c r="Q430" s="658"/>
      <c r="R430" s="658"/>
      <c r="S430" s="658"/>
      <c r="T430" s="658"/>
      <c r="U430" s="658"/>
      <c r="V430" s="658"/>
      <c r="W430" s="658"/>
      <c r="X430" s="658"/>
      <c r="Y430" s="658"/>
      <c r="Z430" s="658"/>
      <c r="AA430" s="658"/>
    </row>
    <row r="431" spans="10:27" s="1235" customFormat="1" ht="21.75" customHeight="1">
      <c r="J431" s="2760"/>
      <c r="K431" s="658"/>
      <c r="L431" s="658"/>
      <c r="M431" s="658"/>
      <c r="N431" s="658"/>
      <c r="O431" s="658"/>
      <c r="P431" s="658"/>
      <c r="Q431" s="658"/>
      <c r="R431" s="658"/>
      <c r="S431" s="658"/>
      <c r="T431" s="658"/>
      <c r="U431" s="658"/>
      <c r="V431" s="658"/>
      <c r="W431" s="658"/>
      <c r="X431" s="658"/>
      <c r="Y431" s="658"/>
      <c r="Z431" s="658"/>
      <c r="AA431" s="658"/>
    </row>
    <row r="432" spans="10:27" s="1235" customFormat="1" ht="21.75" customHeight="1">
      <c r="J432" s="2760"/>
      <c r="K432" s="658"/>
      <c r="L432" s="658"/>
      <c r="M432" s="658"/>
      <c r="N432" s="658"/>
      <c r="O432" s="658"/>
      <c r="P432" s="658"/>
      <c r="Q432" s="658"/>
      <c r="R432" s="658"/>
      <c r="S432" s="658"/>
      <c r="T432" s="658"/>
      <c r="U432" s="658"/>
      <c r="V432" s="658"/>
      <c r="W432" s="658"/>
      <c r="X432" s="658"/>
      <c r="Y432" s="658"/>
      <c r="Z432" s="658"/>
      <c r="AA432" s="658"/>
    </row>
    <row r="433" spans="10:27" s="1235" customFormat="1" ht="21.75" customHeight="1">
      <c r="J433" s="2760"/>
      <c r="K433" s="658"/>
      <c r="L433" s="658"/>
      <c r="M433" s="658"/>
      <c r="N433" s="658"/>
      <c r="O433" s="658"/>
      <c r="P433" s="658"/>
      <c r="Q433" s="658"/>
      <c r="R433" s="658"/>
      <c r="S433" s="658"/>
      <c r="T433" s="658"/>
      <c r="U433" s="658"/>
      <c r="V433" s="658"/>
      <c r="W433" s="658"/>
      <c r="X433" s="658"/>
      <c r="Y433" s="658"/>
      <c r="Z433" s="658"/>
      <c r="AA433" s="658"/>
    </row>
    <row r="434" spans="10:27" s="1235" customFormat="1" ht="21.75" customHeight="1">
      <c r="J434" s="2760"/>
      <c r="K434" s="658"/>
      <c r="L434" s="658"/>
      <c r="M434" s="658"/>
      <c r="N434" s="658"/>
      <c r="O434" s="658"/>
      <c r="P434" s="658"/>
      <c r="Q434" s="658"/>
      <c r="R434" s="658"/>
      <c r="S434" s="658"/>
      <c r="T434" s="658"/>
      <c r="U434" s="658"/>
      <c r="V434" s="658"/>
      <c r="W434" s="658"/>
      <c r="X434" s="658"/>
      <c r="Y434" s="658"/>
      <c r="Z434" s="658"/>
      <c r="AA434" s="658"/>
    </row>
    <row r="435" spans="10:27" s="1235" customFormat="1" ht="21.75" customHeight="1">
      <c r="J435" s="2760"/>
      <c r="K435" s="658"/>
      <c r="L435" s="658"/>
      <c r="M435" s="658"/>
      <c r="N435" s="658"/>
      <c r="O435" s="658"/>
      <c r="P435" s="658"/>
      <c r="Q435" s="658"/>
      <c r="R435" s="658"/>
      <c r="S435" s="658"/>
      <c r="T435" s="658"/>
      <c r="U435" s="658"/>
      <c r="V435" s="658"/>
      <c r="W435" s="658"/>
      <c r="X435" s="658"/>
      <c r="Y435" s="658"/>
      <c r="Z435" s="658"/>
      <c r="AA435" s="658"/>
    </row>
    <row r="436" spans="10:27" s="1235" customFormat="1" ht="21.75" customHeight="1">
      <c r="J436" s="2760"/>
      <c r="K436" s="658"/>
      <c r="L436" s="658"/>
      <c r="M436" s="658"/>
      <c r="N436" s="658"/>
      <c r="O436" s="658"/>
      <c r="P436" s="658"/>
      <c r="Q436" s="658"/>
      <c r="R436" s="658"/>
      <c r="S436" s="658"/>
      <c r="T436" s="658"/>
      <c r="U436" s="658"/>
      <c r="V436" s="658"/>
      <c r="W436" s="658"/>
      <c r="X436" s="658"/>
      <c r="Y436" s="658"/>
      <c r="Z436" s="658"/>
      <c r="AA436" s="658"/>
    </row>
    <row r="437" spans="10:27" s="1235" customFormat="1" ht="21.75" customHeight="1">
      <c r="J437" s="2760"/>
      <c r="K437" s="658"/>
      <c r="L437" s="658"/>
      <c r="M437" s="658"/>
      <c r="N437" s="658"/>
      <c r="O437" s="658"/>
      <c r="P437" s="658"/>
      <c r="Q437" s="658"/>
      <c r="R437" s="658"/>
      <c r="S437" s="658"/>
      <c r="T437" s="658"/>
      <c r="U437" s="658"/>
      <c r="V437" s="658"/>
      <c r="W437" s="658"/>
      <c r="X437" s="658"/>
      <c r="Y437" s="658"/>
      <c r="Z437" s="658"/>
      <c r="AA437" s="658"/>
    </row>
    <row r="438" spans="10:27" s="1235" customFormat="1" ht="21.75" customHeight="1">
      <c r="J438" s="2760"/>
      <c r="K438" s="658"/>
      <c r="L438" s="658"/>
      <c r="M438" s="658"/>
      <c r="N438" s="658"/>
      <c r="O438" s="658"/>
      <c r="P438" s="658"/>
      <c r="Q438" s="658"/>
      <c r="R438" s="658"/>
      <c r="S438" s="658"/>
      <c r="T438" s="658"/>
      <c r="U438" s="658"/>
      <c r="V438" s="658"/>
      <c r="W438" s="658"/>
      <c r="X438" s="658"/>
      <c r="Y438" s="658"/>
      <c r="Z438" s="658"/>
      <c r="AA438" s="658"/>
    </row>
    <row r="439" spans="10:27" s="1235" customFormat="1" ht="21.75" customHeight="1">
      <c r="J439" s="2760"/>
      <c r="K439" s="658"/>
      <c r="L439" s="658"/>
      <c r="M439" s="658"/>
      <c r="N439" s="658"/>
      <c r="O439" s="658"/>
      <c r="P439" s="658"/>
      <c r="Q439" s="658"/>
      <c r="R439" s="658"/>
      <c r="S439" s="658"/>
      <c r="T439" s="658"/>
      <c r="U439" s="658"/>
      <c r="V439" s="658"/>
      <c r="W439" s="658"/>
      <c r="X439" s="658"/>
      <c r="Y439" s="658"/>
      <c r="Z439" s="658"/>
      <c r="AA439" s="658"/>
    </row>
    <row r="440" spans="10:27" s="1235" customFormat="1" ht="21.75" customHeight="1">
      <c r="J440" s="2760"/>
      <c r="K440" s="658"/>
      <c r="L440" s="658"/>
      <c r="M440" s="658"/>
      <c r="N440" s="658"/>
      <c r="O440" s="658"/>
      <c r="P440" s="658"/>
      <c r="Q440" s="658"/>
      <c r="R440" s="658"/>
      <c r="S440" s="658"/>
      <c r="T440" s="658"/>
      <c r="U440" s="658"/>
      <c r="V440" s="658"/>
      <c r="W440" s="658"/>
      <c r="X440" s="658"/>
      <c r="Y440" s="658"/>
      <c r="Z440" s="658"/>
      <c r="AA440" s="658"/>
    </row>
    <row r="441" spans="10:27" s="1235" customFormat="1" ht="21.75" customHeight="1">
      <c r="J441" s="2760"/>
      <c r="K441" s="658"/>
      <c r="L441" s="658"/>
      <c r="M441" s="658"/>
      <c r="N441" s="658"/>
      <c r="O441" s="658"/>
      <c r="P441" s="658"/>
      <c r="Q441" s="658"/>
      <c r="R441" s="658"/>
      <c r="S441" s="658"/>
      <c r="T441" s="658"/>
      <c r="U441" s="658"/>
      <c r="V441" s="658"/>
      <c r="W441" s="658"/>
      <c r="X441" s="658"/>
      <c r="Y441" s="658"/>
      <c r="Z441" s="658"/>
      <c r="AA441" s="658"/>
    </row>
    <row r="442" spans="10:27" s="1235" customFormat="1" ht="21.75" customHeight="1">
      <c r="J442" s="2760"/>
      <c r="K442" s="658"/>
      <c r="L442" s="658"/>
      <c r="M442" s="658"/>
      <c r="N442" s="658"/>
      <c r="O442" s="658"/>
      <c r="P442" s="658"/>
      <c r="Q442" s="658"/>
      <c r="R442" s="658"/>
      <c r="S442" s="658"/>
      <c r="T442" s="658"/>
      <c r="U442" s="658"/>
      <c r="V442" s="658"/>
      <c r="W442" s="658"/>
      <c r="X442" s="658"/>
      <c r="Y442" s="658"/>
      <c r="Z442" s="658"/>
      <c r="AA442" s="658"/>
    </row>
    <row r="443" spans="10:27" s="1235" customFormat="1" ht="21.75" customHeight="1">
      <c r="J443" s="2760"/>
      <c r="K443" s="658"/>
      <c r="L443" s="658"/>
      <c r="M443" s="658"/>
      <c r="N443" s="658"/>
      <c r="O443" s="658"/>
      <c r="P443" s="658"/>
      <c r="Q443" s="658"/>
      <c r="R443" s="658"/>
      <c r="S443" s="658"/>
      <c r="T443" s="658"/>
      <c r="U443" s="658"/>
      <c r="V443" s="658"/>
      <c r="W443" s="658"/>
      <c r="X443" s="658"/>
      <c r="Y443" s="658"/>
      <c r="Z443" s="658"/>
      <c r="AA443" s="658"/>
    </row>
    <row r="444" spans="10:27" s="1235" customFormat="1" ht="21.75" customHeight="1">
      <c r="J444" s="2760"/>
      <c r="K444" s="658"/>
      <c r="L444" s="658"/>
      <c r="M444" s="658"/>
      <c r="N444" s="658"/>
      <c r="O444" s="658"/>
      <c r="P444" s="658"/>
      <c r="Q444" s="658"/>
      <c r="R444" s="658"/>
      <c r="S444" s="658"/>
      <c r="T444" s="658"/>
      <c r="U444" s="658"/>
      <c r="V444" s="658"/>
      <c r="W444" s="658"/>
      <c r="X444" s="658"/>
      <c r="Y444" s="658"/>
      <c r="Z444" s="658"/>
      <c r="AA444" s="658"/>
    </row>
    <row r="445" spans="10:27" s="1235" customFormat="1" ht="21.75" customHeight="1">
      <c r="J445" s="2760"/>
      <c r="K445" s="658"/>
      <c r="L445" s="658"/>
      <c r="M445" s="658"/>
      <c r="N445" s="658"/>
      <c r="O445" s="658"/>
      <c r="P445" s="658"/>
      <c r="Q445" s="658"/>
      <c r="R445" s="658"/>
      <c r="S445" s="658"/>
      <c r="T445" s="658"/>
      <c r="U445" s="658"/>
      <c r="V445" s="658"/>
      <c r="W445" s="658"/>
      <c r="X445" s="658"/>
      <c r="Y445" s="658"/>
      <c r="Z445" s="658"/>
      <c r="AA445" s="658"/>
    </row>
    <row r="446" spans="10:27" s="1235" customFormat="1" ht="21.75" customHeight="1">
      <c r="J446" s="2760"/>
      <c r="K446" s="658"/>
      <c r="L446" s="658"/>
      <c r="M446" s="658"/>
      <c r="N446" s="658"/>
      <c r="O446" s="658"/>
      <c r="P446" s="658"/>
      <c r="Q446" s="658"/>
      <c r="R446" s="658"/>
      <c r="S446" s="658"/>
      <c r="T446" s="658"/>
      <c r="U446" s="658"/>
      <c r="V446" s="658"/>
      <c r="W446" s="658"/>
      <c r="X446" s="658"/>
      <c r="Y446" s="658"/>
      <c r="Z446" s="658"/>
      <c r="AA446" s="658"/>
    </row>
    <row r="447" spans="10:27" s="1235" customFormat="1" ht="21.75" customHeight="1">
      <c r="J447" s="2760"/>
      <c r="K447" s="658"/>
      <c r="L447" s="658"/>
      <c r="M447" s="658"/>
      <c r="N447" s="658"/>
      <c r="O447" s="658"/>
      <c r="P447" s="658"/>
      <c r="Q447" s="658"/>
      <c r="R447" s="658"/>
      <c r="S447" s="658"/>
      <c r="T447" s="658"/>
      <c r="U447" s="658"/>
      <c r="V447" s="658"/>
      <c r="W447" s="658"/>
      <c r="X447" s="658"/>
      <c r="Y447" s="658"/>
      <c r="Z447" s="658"/>
      <c r="AA447" s="658"/>
    </row>
    <row r="448" spans="10:27" s="1235" customFormat="1" ht="21.75" customHeight="1">
      <c r="J448" s="2760"/>
      <c r="K448" s="658"/>
      <c r="L448" s="658"/>
      <c r="M448" s="658"/>
      <c r="N448" s="658"/>
      <c r="O448" s="658"/>
      <c r="P448" s="658"/>
      <c r="Q448" s="658"/>
      <c r="R448" s="658"/>
      <c r="S448" s="658"/>
      <c r="T448" s="658"/>
      <c r="U448" s="658"/>
      <c r="V448" s="658"/>
      <c r="W448" s="658"/>
      <c r="X448" s="658"/>
      <c r="Y448" s="658"/>
      <c r="Z448" s="658"/>
      <c r="AA448" s="658"/>
    </row>
    <row r="449" spans="10:27" s="1235" customFormat="1" ht="21.75" customHeight="1">
      <c r="J449" s="2760"/>
      <c r="K449" s="658"/>
      <c r="L449" s="658"/>
      <c r="M449" s="658"/>
      <c r="N449" s="658"/>
      <c r="O449" s="658"/>
      <c r="P449" s="658"/>
      <c r="Q449" s="658"/>
      <c r="R449" s="658"/>
      <c r="S449" s="658"/>
      <c r="T449" s="658"/>
      <c r="U449" s="658"/>
      <c r="V449" s="658"/>
      <c r="W449" s="658"/>
      <c r="X449" s="658"/>
      <c r="Y449" s="658"/>
      <c r="Z449" s="658"/>
      <c r="AA449" s="658"/>
    </row>
    <row r="450" spans="10:27" s="1235" customFormat="1" ht="21.75" customHeight="1">
      <c r="J450" s="2760"/>
      <c r="K450" s="658"/>
      <c r="L450" s="658"/>
      <c r="M450" s="658"/>
      <c r="N450" s="658"/>
      <c r="O450" s="658"/>
      <c r="P450" s="658"/>
      <c r="Q450" s="658"/>
      <c r="R450" s="658"/>
      <c r="S450" s="658"/>
      <c r="T450" s="658"/>
      <c r="U450" s="658"/>
      <c r="V450" s="658"/>
      <c r="W450" s="658"/>
      <c r="X450" s="658"/>
      <c r="Y450" s="658"/>
      <c r="Z450" s="658"/>
      <c r="AA450" s="658"/>
    </row>
    <row r="451" spans="10:27" s="1235" customFormat="1" ht="21.75" customHeight="1">
      <c r="J451" s="2760"/>
      <c r="K451" s="658"/>
      <c r="L451" s="658"/>
      <c r="M451" s="658"/>
      <c r="N451" s="658"/>
      <c r="O451" s="658"/>
      <c r="P451" s="658"/>
      <c r="Q451" s="658"/>
      <c r="R451" s="658"/>
      <c r="S451" s="658"/>
      <c r="T451" s="658"/>
      <c r="U451" s="658"/>
      <c r="V451" s="658"/>
      <c r="W451" s="658"/>
      <c r="X451" s="658"/>
      <c r="Y451" s="658"/>
      <c r="Z451" s="658"/>
      <c r="AA451" s="658"/>
    </row>
    <row r="452" spans="10:27" s="1235" customFormat="1" ht="21.75" customHeight="1">
      <c r="J452" s="2760"/>
      <c r="K452" s="658"/>
      <c r="L452" s="658"/>
      <c r="M452" s="658"/>
      <c r="N452" s="658"/>
      <c r="O452" s="658"/>
      <c r="P452" s="658"/>
      <c r="Q452" s="658"/>
      <c r="R452" s="658"/>
      <c r="S452" s="658"/>
      <c r="T452" s="658"/>
      <c r="U452" s="658"/>
      <c r="V452" s="658"/>
      <c r="W452" s="658"/>
      <c r="X452" s="658"/>
      <c r="Y452" s="658"/>
      <c r="Z452" s="658"/>
      <c r="AA452" s="658"/>
    </row>
    <row r="453" spans="10:27" s="1235" customFormat="1" ht="21.75" customHeight="1">
      <c r="J453" s="2760"/>
      <c r="K453" s="658"/>
      <c r="L453" s="658"/>
      <c r="M453" s="658"/>
      <c r="N453" s="658"/>
      <c r="O453" s="658"/>
      <c r="P453" s="658"/>
      <c r="Q453" s="658"/>
      <c r="R453" s="658"/>
      <c r="S453" s="658"/>
      <c r="T453" s="658"/>
      <c r="U453" s="658"/>
      <c r="V453" s="658"/>
      <c r="W453" s="658"/>
      <c r="X453" s="658"/>
      <c r="Y453" s="658"/>
      <c r="Z453" s="658"/>
      <c r="AA453" s="658"/>
    </row>
    <row r="454" spans="10:27" s="1235" customFormat="1" ht="21.75" customHeight="1">
      <c r="J454" s="2760"/>
      <c r="K454" s="658"/>
      <c r="L454" s="658"/>
      <c r="M454" s="658"/>
      <c r="N454" s="658"/>
      <c r="O454" s="658"/>
      <c r="P454" s="658"/>
      <c r="Q454" s="658"/>
      <c r="R454" s="658"/>
      <c r="S454" s="658"/>
      <c r="T454" s="658"/>
      <c r="U454" s="658"/>
      <c r="V454" s="658"/>
      <c r="W454" s="658"/>
      <c r="X454" s="658"/>
      <c r="Y454" s="658"/>
      <c r="Z454" s="658"/>
      <c r="AA454" s="658"/>
    </row>
    <row r="455" spans="10:27" s="1235" customFormat="1" ht="21.75" customHeight="1">
      <c r="J455" s="2760"/>
      <c r="K455" s="658"/>
      <c r="L455" s="658"/>
      <c r="M455" s="658"/>
      <c r="N455" s="658"/>
      <c r="O455" s="658"/>
      <c r="P455" s="658"/>
      <c r="Q455" s="658"/>
      <c r="R455" s="658"/>
      <c r="S455" s="658"/>
      <c r="T455" s="658"/>
      <c r="U455" s="658"/>
      <c r="V455" s="658"/>
      <c r="W455" s="658"/>
      <c r="X455" s="658"/>
      <c r="Y455" s="658"/>
      <c r="Z455" s="658"/>
      <c r="AA455" s="658"/>
    </row>
    <row r="456" spans="10:27" s="1235" customFormat="1" ht="21.75" customHeight="1">
      <c r="J456" s="2760"/>
      <c r="K456" s="658"/>
      <c r="L456" s="658"/>
      <c r="M456" s="658"/>
      <c r="N456" s="658"/>
      <c r="O456" s="658"/>
      <c r="P456" s="658"/>
      <c r="Q456" s="658"/>
      <c r="R456" s="658"/>
      <c r="S456" s="658"/>
      <c r="T456" s="658"/>
      <c r="U456" s="658"/>
      <c r="V456" s="658"/>
      <c r="W456" s="658"/>
      <c r="X456" s="658"/>
      <c r="Y456" s="658"/>
      <c r="Z456" s="658"/>
      <c r="AA456" s="658"/>
    </row>
    <row r="457" spans="10:27" s="1235" customFormat="1" ht="21.75" customHeight="1">
      <c r="J457" s="2760"/>
      <c r="K457" s="658"/>
      <c r="L457" s="658"/>
      <c r="M457" s="658"/>
      <c r="N457" s="658"/>
      <c r="O457" s="658"/>
      <c r="P457" s="658"/>
      <c r="Q457" s="658"/>
      <c r="R457" s="658"/>
      <c r="S457" s="658"/>
      <c r="T457" s="658"/>
      <c r="U457" s="658"/>
      <c r="V457" s="658"/>
      <c r="W457" s="658"/>
      <c r="X457" s="658"/>
      <c r="Y457" s="658"/>
      <c r="Z457" s="658"/>
      <c r="AA457" s="658"/>
    </row>
    <row r="458" spans="10:27" s="1235" customFormat="1" ht="21.75" customHeight="1">
      <c r="J458" s="2760"/>
      <c r="K458" s="658"/>
      <c r="L458" s="658"/>
      <c r="M458" s="658"/>
      <c r="N458" s="658"/>
      <c r="O458" s="658"/>
      <c r="P458" s="658"/>
      <c r="Q458" s="658"/>
      <c r="R458" s="658"/>
      <c r="S458" s="658"/>
      <c r="T458" s="658"/>
      <c r="U458" s="658"/>
      <c r="V458" s="658"/>
      <c r="W458" s="658"/>
      <c r="X458" s="658"/>
      <c r="Y458" s="658"/>
      <c r="Z458" s="658"/>
      <c r="AA458" s="658"/>
    </row>
    <row r="459" spans="10:27" s="1235" customFormat="1" ht="21.75" customHeight="1">
      <c r="J459" s="2760"/>
      <c r="K459" s="658"/>
      <c r="L459" s="658"/>
      <c r="M459" s="658"/>
      <c r="N459" s="658"/>
      <c r="O459" s="658"/>
      <c r="P459" s="658"/>
      <c r="Q459" s="658"/>
      <c r="R459" s="658"/>
      <c r="S459" s="658"/>
      <c r="T459" s="658"/>
      <c r="U459" s="658"/>
      <c r="V459" s="658"/>
      <c r="W459" s="658"/>
      <c r="X459" s="658"/>
      <c r="Y459" s="658"/>
      <c r="Z459" s="658"/>
      <c r="AA459" s="658"/>
    </row>
    <row r="460" spans="10:27" s="1235" customFormat="1" ht="21.75" customHeight="1">
      <c r="J460" s="2760"/>
      <c r="K460" s="658"/>
      <c r="L460" s="658"/>
      <c r="M460" s="658"/>
      <c r="N460" s="658"/>
      <c r="O460" s="658"/>
      <c r="P460" s="658"/>
      <c r="Q460" s="658"/>
      <c r="R460" s="658"/>
      <c r="S460" s="658"/>
      <c r="T460" s="658"/>
      <c r="U460" s="658"/>
      <c r="V460" s="658"/>
      <c r="W460" s="658"/>
      <c r="X460" s="658"/>
      <c r="Y460" s="658"/>
      <c r="Z460" s="658"/>
      <c r="AA460" s="658"/>
    </row>
    <row r="461" spans="10:27" s="1235" customFormat="1" ht="21.75" customHeight="1">
      <c r="J461" s="2760"/>
      <c r="K461" s="658"/>
      <c r="L461" s="658"/>
      <c r="M461" s="658"/>
      <c r="N461" s="658"/>
      <c r="O461" s="658"/>
      <c r="P461" s="658"/>
      <c r="Q461" s="658"/>
      <c r="R461" s="658"/>
      <c r="S461" s="658"/>
      <c r="T461" s="658"/>
      <c r="U461" s="658"/>
      <c r="V461" s="658"/>
      <c r="W461" s="658"/>
      <c r="X461" s="658"/>
      <c r="Y461" s="658"/>
      <c r="Z461" s="658"/>
      <c r="AA461" s="658"/>
    </row>
    <row r="462" spans="10:27" s="1235" customFormat="1" ht="21.75" customHeight="1">
      <c r="J462" s="2760"/>
      <c r="K462" s="658"/>
      <c r="L462" s="658"/>
      <c r="M462" s="658"/>
      <c r="N462" s="658"/>
      <c r="O462" s="658"/>
      <c r="P462" s="658"/>
      <c r="Q462" s="658"/>
      <c r="R462" s="658"/>
      <c r="S462" s="658"/>
      <c r="T462" s="658"/>
      <c r="U462" s="658"/>
      <c r="V462" s="658"/>
      <c r="W462" s="658"/>
      <c r="X462" s="658"/>
      <c r="Y462" s="658"/>
      <c r="Z462" s="658"/>
      <c r="AA462" s="658"/>
    </row>
    <row r="463" spans="10:27" s="1235" customFormat="1" ht="21.75" customHeight="1">
      <c r="J463" s="2760"/>
      <c r="K463" s="658"/>
      <c r="L463" s="658"/>
      <c r="M463" s="658"/>
      <c r="N463" s="658"/>
      <c r="O463" s="658"/>
      <c r="P463" s="658"/>
      <c r="Q463" s="658"/>
      <c r="R463" s="658"/>
      <c r="S463" s="658"/>
      <c r="T463" s="658"/>
      <c r="U463" s="658"/>
      <c r="V463" s="658"/>
      <c r="W463" s="658"/>
      <c r="X463" s="658"/>
      <c r="Y463" s="658"/>
      <c r="Z463" s="658"/>
      <c r="AA463" s="658"/>
    </row>
    <row r="464" spans="10:27" s="1235" customFormat="1" ht="21.75" customHeight="1">
      <c r="J464" s="2760"/>
      <c r="K464" s="658"/>
      <c r="L464" s="658"/>
      <c r="M464" s="658"/>
      <c r="N464" s="658"/>
      <c r="O464" s="658"/>
      <c r="P464" s="658"/>
      <c r="Q464" s="658"/>
      <c r="R464" s="658"/>
      <c r="S464" s="658"/>
      <c r="T464" s="658"/>
      <c r="U464" s="658"/>
      <c r="V464" s="658"/>
      <c r="W464" s="658"/>
      <c r="X464" s="658"/>
      <c r="Y464" s="658"/>
      <c r="Z464" s="658"/>
      <c r="AA464" s="658"/>
    </row>
    <row r="465" spans="10:27" s="1235" customFormat="1" ht="21.75" customHeight="1">
      <c r="J465" s="2760"/>
      <c r="K465" s="658"/>
      <c r="L465" s="658"/>
      <c r="M465" s="658"/>
      <c r="N465" s="658"/>
      <c r="O465" s="658"/>
      <c r="P465" s="658"/>
      <c r="Q465" s="658"/>
      <c r="R465" s="658"/>
      <c r="S465" s="658"/>
      <c r="T465" s="658"/>
      <c r="U465" s="658"/>
      <c r="V465" s="658"/>
      <c r="W465" s="658"/>
      <c r="X465" s="658"/>
      <c r="Y465" s="658"/>
      <c r="Z465" s="658"/>
      <c r="AA465" s="658"/>
    </row>
    <row r="466" spans="10:27" s="1235" customFormat="1" ht="21.75" customHeight="1">
      <c r="J466" s="2760"/>
      <c r="K466" s="658"/>
      <c r="L466" s="658"/>
      <c r="M466" s="658"/>
      <c r="N466" s="658"/>
      <c r="O466" s="658"/>
      <c r="P466" s="658"/>
      <c r="Q466" s="658"/>
      <c r="R466" s="658"/>
      <c r="S466" s="658"/>
      <c r="T466" s="658"/>
      <c r="U466" s="658"/>
      <c r="V466" s="658"/>
      <c r="W466" s="658"/>
      <c r="X466" s="658"/>
      <c r="Y466" s="658"/>
      <c r="Z466" s="658"/>
      <c r="AA466" s="658"/>
    </row>
    <row r="467" spans="10:27" s="1235" customFormat="1" ht="21.75" customHeight="1">
      <c r="J467" s="2760"/>
      <c r="K467" s="658"/>
      <c r="L467" s="658"/>
      <c r="M467" s="658"/>
      <c r="N467" s="658"/>
      <c r="O467" s="658"/>
      <c r="P467" s="658"/>
      <c r="Q467" s="658"/>
      <c r="R467" s="658"/>
      <c r="S467" s="658"/>
      <c r="T467" s="658"/>
      <c r="U467" s="658"/>
      <c r="V467" s="658"/>
      <c r="W467" s="658"/>
      <c r="X467" s="658"/>
      <c r="Y467" s="658"/>
      <c r="Z467" s="658"/>
      <c r="AA467" s="658"/>
    </row>
    <row r="468" spans="10:27" s="1235" customFormat="1" ht="21.75" customHeight="1">
      <c r="J468" s="2760"/>
      <c r="K468" s="658"/>
      <c r="L468" s="658"/>
      <c r="M468" s="658"/>
      <c r="N468" s="658"/>
      <c r="O468" s="658"/>
      <c r="P468" s="658"/>
      <c r="Q468" s="658"/>
      <c r="R468" s="658"/>
      <c r="S468" s="658"/>
      <c r="T468" s="658"/>
      <c r="U468" s="658"/>
      <c r="V468" s="658"/>
      <c r="W468" s="658"/>
      <c r="X468" s="658"/>
      <c r="Y468" s="658"/>
      <c r="Z468" s="658"/>
      <c r="AA468" s="658"/>
    </row>
    <row r="469" spans="10:27" s="1235" customFormat="1" ht="21.75" customHeight="1">
      <c r="J469" s="2760"/>
      <c r="K469" s="658"/>
      <c r="L469" s="658"/>
      <c r="M469" s="658"/>
      <c r="N469" s="658"/>
      <c r="O469" s="658"/>
      <c r="P469" s="658"/>
      <c r="Q469" s="658"/>
      <c r="R469" s="658"/>
      <c r="S469" s="658"/>
      <c r="T469" s="658"/>
      <c r="U469" s="658"/>
      <c r="V469" s="658"/>
      <c r="W469" s="658"/>
      <c r="X469" s="658"/>
      <c r="Y469" s="658"/>
      <c r="Z469" s="658"/>
      <c r="AA469" s="658"/>
    </row>
    <row r="470" spans="10:27" s="1235" customFormat="1" ht="21.75" customHeight="1">
      <c r="J470" s="2760"/>
      <c r="K470" s="658"/>
      <c r="L470" s="658"/>
      <c r="M470" s="658"/>
      <c r="N470" s="658"/>
      <c r="O470" s="658"/>
      <c r="P470" s="658"/>
      <c r="Q470" s="658"/>
      <c r="R470" s="658"/>
      <c r="S470" s="658"/>
      <c r="T470" s="658"/>
      <c r="U470" s="658"/>
      <c r="V470" s="658"/>
      <c r="W470" s="658"/>
      <c r="X470" s="658"/>
      <c r="Y470" s="658"/>
      <c r="Z470" s="658"/>
      <c r="AA470" s="658"/>
    </row>
    <row r="471" spans="10:27" s="1235" customFormat="1" ht="21.75" customHeight="1">
      <c r="J471" s="2760"/>
      <c r="K471" s="658"/>
      <c r="L471" s="658"/>
      <c r="M471" s="658"/>
      <c r="N471" s="658"/>
      <c r="O471" s="658"/>
      <c r="P471" s="658"/>
      <c r="Q471" s="658"/>
      <c r="R471" s="658"/>
      <c r="S471" s="658"/>
      <c r="T471" s="658"/>
      <c r="U471" s="658"/>
      <c r="V471" s="658"/>
      <c r="W471" s="658"/>
      <c r="X471" s="658"/>
      <c r="Y471" s="658"/>
      <c r="Z471" s="658"/>
      <c r="AA471" s="658"/>
    </row>
    <row r="472" spans="10:27" s="1235" customFormat="1" ht="21.75" customHeight="1">
      <c r="J472" s="2760"/>
      <c r="K472" s="658"/>
      <c r="L472" s="658"/>
      <c r="M472" s="658"/>
      <c r="N472" s="658"/>
      <c r="O472" s="658"/>
      <c r="P472" s="658"/>
      <c r="Q472" s="658"/>
      <c r="R472" s="658"/>
      <c r="S472" s="658"/>
      <c r="T472" s="658"/>
      <c r="U472" s="658"/>
      <c r="V472" s="658"/>
      <c r="W472" s="658"/>
      <c r="X472" s="658"/>
      <c r="Y472" s="658"/>
      <c r="Z472" s="658"/>
      <c r="AA472" s="658"/>
    </row>
    <row r="473" spans="10:27" s="1235" customFormat="1" ht="21.75" customHeight="1">
      <c r="J473" s="2760"/>
      <c r="K473" s="658"/>
      <c r="L473" s="658"/>
      <c r="M473" s="658"/>
      <c r="N473" s="658"/>
      <c r="O473" s="658"/>
      <c r="P473" s="658"/>
      <c r="Q473" s="658"/>
      <c r="R473" s="658"/>
      <c r="S473" s="658"/>
      <c r="T473" s="658"/>
      <c r="U473" s="658"/>
      <c r="V473" s="658"/>
      <c r="W473" s="658"/>
      <c r="X473" s="658"/>
      <c r="Y473" s="658"/>
      <c r="Z473" s="658"/>
      <c r="AA473" s="658"/>
    </row>
    <row r="474" spans="10:27" s="1235" customFormat="1" ht="21.75" customHeight="1">
      <c r="J474" s="2760"/>
      <c r="K474" s="658"/>
      <c r="L474" s="658"/>
      <c r="M474" s="658"/>
      <c r="N474" s="658"/>
      <c r="O474" s="658"/>
      <c r="P474" s="658"/>
      <c r="Q474" s="658"/>
      <c r="R474" s="658"/>
      <c r="S474" s="658"/>
      <c r="T474" s="658"/>
      <c r="U474" s="658"/>
      <c r="V474" s="658"/>
      <c r="W474" s="658"/>
      <c r="X474" s="658"/>
      <c r="Y474" s="658"/>
      <c r="Z474" s="658"/>
      <c r="AA474" s="658"/>
    </row>
    <row r="475" spans="10:27" s="1235" customFormat="1" ht="21.75" customHeight="1">
      <c r="J475" s="2760"/>
      <c r="K475" s="658"/>
      <c r="L475" s="658"/>
      <c r="M475" s="658"/>
      <c r="N475" s="658"/>
      <c r="O475" s="658"/>
      <c r="P475" s="658"/>
      <c r="Q475" s="658"/>
      <c r="R475" s="658"/>
      <c r="S475" s="658"/>
      <c r="T475" s="658"/>
      <c r="U475" s="658"/>
      <c r="V475" s="658"/>
      <c r="W475" s="658"/>
      <c r="X475" s="658"/>
      <c r="Y475" s="658"/>
      <c r="Z475" s="658"/>
      <c r="AA475" s="658"/>
    </row>
    <row r="476" spans="10:27" s="1235" customFormat="1" ht="21.75" customHeight="1">
      <c r="J476" s="2760"/>
      <c r="K476" s="658"/>
      <c r="L476" s="658"/>
      <c r="M476" s="658"/>
      <c r="N476" s="658"/>
      <c r="O476" s="658"/>
      <c r="P476" s="658"/>
      <c r="Q476" s="658"/>
      <c r="R476" s="658"/>
      <c r="S476" s="658"/>
      <c r="T476" s="658"/>
      <c r="U476" s="658"/>
      <c r="V476" s="658"/>
      <c r="W476" s="658"/>
      <c r="X476" s="658"/>
      <c r="Y476" s="658"/>
      <c r="Z476" s="658"/>
      <c r="AA476" s="658"/>
    </row>
    <row r="477" spans="10:27" s="1235" customFormat="1" ht="21.75" customHeight="1">
      <c r="J477" s="2760"/>
      <c r="K477" s="658"/>
      <c r="L477" s="658"/>
      <c r="M477" s="658"/>
      <c r="N477" s="658"/>
      <c r="O477" s="658"/>
      <c r="P477" s="658"/>
      <c r="Q477" s="658"/>
      <c r="R477" s="658"/>
      <c r="S477" s="658"/>
      <c r="T477" s="658"/>
      <c r="U477" s="658"/>
      <c r="V477" s="658"/>
      <c r="W477" s="658"/>
      <c r="X477" s="658"/>
      <c r="Y477" s="658"/>
      <c r="Z477" s="658"/>
      <c r="AA477" s="658"/>
    </row>
    <row r="478" spans="10:27" s="1235" customFormat="1" ht="21.75" customHeight="1">
      <c r="J478" s="2760"/>
      <c r="K478" s="658"/>
      <c r="L478" s="658"/>
      <c r="M478" s="658"/>
      <c r="N478" s="658"/>
      <c r="O478" s="658"/>
      <c r="P478" s="658"/>
      <c r="Q478" s="658"/>
      <c r="R478" s="658"/>
      <c r="S478" s="658"/>
      <c r="T478" s="658"/>
      <c r="U478" s="658"/>
      <c r="V478" s="658"/>
      <c r="W478" s="658"/>
      <c r="X478" s="658"/>
      <c r="Y478" s="658"/>
      <c r="Z478" s="658"/>
      <c r="AA478" s="658"/>
    </row>
    <row r="479" spans="10:27" s="1235" customFormat="1" ht="21.75" customHeight="1">
      <c r="J479" s="2760"/>
      <c r="K479" s="658"/>
      <c r="L479" s="658"/>
      <c r="M479" s="658"/>
      <c r="N479" s="658"/>
      <c r="O479" s="658"/>
      <c r="P479" s="658"/>
      <c r="Q479" s="658"/>
      <c r="R479" s="658"/>
      <c r="S479" s="658"/>
      <c r="T479" s="658"/>
      <c r="U479" s="658"/>
      <c r="V479" s="658"/>
      <c r="W479" s="658"/>
      <c r="X479" s="658"/>
      <c r="Y479" s="658"/>
      <c r="Z479" s="658"/>
      <c r="AA479" s="658"/>
    </row>
    <row r="480" spans="10:27" s="1235" customFormat="1" ht="21.75" customHeight="1">
      <c r="J480" s="2760"/>
      <c r="K480" s="658"/>
      <c r="L480" s="658"/>
      <c r="M480" s="658"/>
      <c r="N480" s="658"/>
      <c r="O480" s="658"/>
      <c r="P480" s="658"/>
      <c r="Q480" s="658"/>
      <c r="R480" s="658"/>
      <c r="S480" s="658"/>
      <c r="T480" s="658"/>
      <c r="U480" s="658"/>
      <c r="V480" s="658"/>
      <c r="W480" s="658"/>
      <c r="X480" s="658"/>
      <c r="Y480" s="658"/>
      <c r="Z480" s="658"/>
      <c r="AA480" s="658"/>
    </row>
    <row r="481" spans="10:27" s="1235" customFormat="1" ht="21.75" customHeight="1">
      <c r="J481" s="2760"/>
      <c r="K481" s="658"/>
      <c r="L481" s="658"/>
      <c r="M481" s="658"/>
      <c r="N481" s="658"/>
      <c r="O481" s="658"/>
      <c r="P481" s="658"/>
      <c r="Q481" s="658"/>
      <c r="R481" s="658"/>
      <c r="S481" s="658"/>
      <c r="T481" s="658"/>
      <c r="U481" s="658"/>
      <c r="V481" s="658"/>
      <c r="W481" s="658"/>
      <c r="X481" s="658"/>
      <c r="Y481" s="658"/>
      <c r="Z481" s="658"/>
      <c r="AA481" s="658"/>
    </row>
    <row r="482" spans="10:27" s="1235" customFormat="1" ht="21.75" customHeight="1">
      <c r="J482" s="2760"/>
      <c r="K482" s="658"/>
      <c r="L482" s="658"/>
      <c r="M482" s="658"/>
      <c r="N482" s="658"/>
      <c r="O482" s="658"/>
      <c r="P482" s="658"/>
      <c r="Q482" s="658"/>
      <c r="R482" s="658"/>
      <c r="S482" s="658"/>
      <c r="T482" s="658"/>
      <c r="U482" s="658"/>
      <c r="V482" s="658"/>
      <c r="W482" s="658"/>
      <c r="X482" s="658"/>
      <c r="Y482" s="658"/>
      <c r="Z482" s="658"/>
      <c r="AA482" s="658"/>
    </row>
    <row r="483" spans="10:27" s="1235" customFormat="1" ht="21.75" customHeight="1">
      <c r="J483" s="2760"/>
      <c r="K483" s="658"/>
      <c r="L483" s="658"/>
      <c r="M483" s="658"/>
      <c r="N483" s="658"/>
      <c r="O483" s="658"/>
      <c r="P483" s="658"/>
      <c r="Q483" s="658"/>
      <c r="R483" s="658"/>
      <c r="S483" s="658"/>
      <c r="T483" s="658"/>
      <c r="U483" s="658"/>
      <c r="V483" s="658"/>
      <c r="W483" s="658"/>
      <c r="X483" s="658"/>
      <c r="Y483" s="658"/>
      <c r="Z483" s="658"/>
      <c r="AA483" s="658"/>
    </row>
    <row r="484" spans="10:27" s="1235" customFormat="1" ht="21.75" customHeight="1">
      <c r="J484" s="2760"/>
      <c r="K484" s="658"/>
      <c r="L484" s="658"/>
      <c r="M484" s="658"/>
      <c r="N484" s="658"/>
      <c r="O484" s="658"/>
      <c r="P484" s="658"/>
      <c r="Q484" s="658"/>
      <c r="R484" s="658"/>
      <c r="S484" s="658"/>
      <c r="T484" s="658"/>
      <c r="U484" s="658"/>
      <c r="V484" s="658"/>
      <c r="W484" s="658"/>
      <c r="X484" s="658"/>
      <c r="Y484" s="658"/>
      <c r="Z484" s="658"/>
      <c r="AA484" s="658"/>
    </row>
    <row r="485" spans="10:27" s="1235" customFormat="1" ht="21.75" customHeight="1">
      <c r="J485" s="2760"/>
      <c r="K485" s="658"/>
      <c r="L485" s="658"/>
      <c r="M485" s="658"/>
      <c r="N485" s="658"/>
      <c r="O485" s="658"/>
      <c r="P485" s="658"/>
      <c r="Q485" s="658"/>
      <c r="R485" s="658"/>
      <c r="S485" s="658"/>
      <c r="T485" s="658"/>
      <c r="U485" s="658"/>
      <c r="V485" s="658"/>
      <c r="W485" s="658"/>
      <c r="X485" s="658"/>
      <c r="Y485" s="658"/>
      <c r="Z485" s="658"/>
      <c r="AA485" s="658"/>
    </row>
    <row r="486" spans="10:27" s="1235" customFormat="1" ht="21.75" customHeight="1">
      <c r="J486" s="2760"/>
      <c r="K486" s="658"/>
      <c r="L486" s="658"/>
      <c r="M486" s="658"/>
      <c r="N486" s="658"/>
      <c r="O486" s="658"/>
      <c r="P486" s="658"/>
      <c r="Q486" s="658"/>
      <c r="R486" s="658"/>
      <c r="S486" s="658"/>
      <c r="T486" s="658"/>
      <c r="U486" s="658"/>
      <c r="V486" s="658"/>
      <c r="W486" s="658"/>
      <c r="X486" s="658"/>
      <c r="Y486" s="658"/>
      <c r="Z486" s="658"/>
      <c r="AA486" s="658"/>
    </row>
    <row r="487" spans="10:27" s="1235" customFormat="1" ht="21.75" customHeight="1">
      <c r="J487" s="2760"/>
      <c r="K487" s="658"/>
      <c r="L487" s="658"/>
      <c r="M487" s="658"/>
      <c r="N487" s="658"/>
      <c r="O487" s="658"/>
      <c r="P487" s="658"/>
      <c r="Q487" s="658"/>
      <c r="R487" s="658"/>
      <c r="S487" s="658"/>
      <c r="T487" s="658"/>
      <c r="U487" s="658"/>
      <c r="V487" s="658"/>
      <c r="W487" s="658"/>
      <c r="X487" s="658"/>
      <c r="Y487" s="658"/>
      <c r="Z487" s="658"/>
      <c r="AA487" s="658"/>
    </row>
    <row r="488" spans="10:27" s="1235" customFormat="1" ht="21.75" customHeight="1">
      <c r="J488" s="2760"/>
      <c r="K488" s="658"/>
      <c r="L488" s="658"/>
      <c r="M488" s="658"/>
      <c r="N488" s="658"/>
      <c r="O488" s="658"/>
      <c r="P488" s="658"/>
      <c r="Q488" s="658"/>
      <c r="R488" s="658"/>
      <c r="S488" s="658"/>
      <c r="T488" s="658"/>
      <c r="U488" s="658"/>
      <c r="V488" s="658"/>
      <c r="W488" s="658"/>
      <c r="X488" s="658"/>
      <c r="Y488" s="658"/>
      <c r="Z488" s="658"/>
      <c r="AA488" s="658"/>
    </row>
    <row r="489" spans="10:27" s="1235" customFormat="1" ht="21.75" customHeight="1">
      <c r="J489" s="2760"/>
      <c r="K489" s="658"/>
      <c r="L489" s="658"/>
      <c r="M489" s="658"/>
      <c r="N489" s="658"/>
      <c r="O489" s="658"/>
      <c r="P489" s="658"/>
      <c r="Q489" s="658"/>
      <c r="R489" s="658"/>
      <c r="S489" s="658"/>
      <c r="T489" s="658"/>
      <c r="U489" s="658"/>
      <c r="V489" s="658"/>
      <c r="W489" s="658"/>
      <c r="X489" s="658"/>
      <c r="Y489" s="658"/>
      <c r="Z489" s="658"/>
      <c r="AA489" s="658"/>
    </row>
    <row r="490" spans="10:27" s="1235" customFormat="1" ht="21.75" customHeight="1">
      <c r="J490" s="2760"/>
      <c r="K490" s="658"/>
      <c r="L490" s="658"/>
      <c r="M490" s="658"/>
      <c r="N490" s="658"/>
      <c r="O490" s="658"/>
      <c r="P490" s="658"/>
      <c r="Q490" s="658"/>
      <c r="R490" s="658"/>
      <c r="S490" s="658"/>
      <c r="T490" s="658"/>
      <c r="U490" s="658"/>
      <c r="V490" s="658"/>
      <c r="W490" s="658"/>
      <c r="X490" s="658"/>
      <c r="Y490" s="658"/>
      <c r="Z490" s="658"/>
      <c r="AA490" s="658"/>
    </row>
    <row r="491" spans="10:27" s="1235" customFormat="1" ht="21.75" customHeight="1">
      <c r="J491" s="2760"/>
      <c r="K491" s="658"/>
      <c r="L491" s="658"/>
      <c r="M491" s="658"/>
      <c r="N491" s="658"/>
      <c r="O491" s="658"/>
      <c r="P491" s="658"/>
      <c r="Q491" s="658"/>
      <c r="R491" s="658"/>
      <c r="S491" s="658"/>
      <c r="T491" s="658"/>
      <c r="U491" s="658"/>
      <c r="V491" s="658"/>
      <c r="W491" s="658"/>
      <c r="X491" s="658"/>
      <c r="Y491" s="658"/>
      <c r="Z491" s="658"/>
      <c r="AA491" s="658"/>
    </row>
    <row r="492" spans="10:27" s="1235" customFormat="1" ht="21.75" customHeight="1">
      <c r="J492" s="2760"/>
      <c r="K492" s="658"/>
      <c r="L492" s="658"/>
      <c r="M492" s="658"/>
      <c r="N492" s="658"/>
      <c r="O492" s="658"/>
      <c r="P492" s="658"/>
      <c r="Q492" s="658"/>
      <c r="R492" s="658"/>
      <c r="S492" s="658"/>
      <c r="T492" s="658"/>
      <c r="U492" s="658"/>
      <c r="V492" s="658"/>
      <c r="W492" s="658"/>
      <c r="X492" s="658"/>
      <c r="Y492" s="658"/>
      <c r="Z492" s="658"/>
      <c r="AA492" s="658"/>
    </row>
    <row r="493" spans="10:27" s="1235" customFormat="1" ht="21.75" customHeight="1">
      <c r="J493" s="2760"/>
      <c r="K493" s="658"/>
      <c r="L493" s="658"/>
      <c r="M493" s="658"/>
      <c r="N493" s="658"/>
      <c r="O493" s="658"/>
      <c r="P493" s="658"/>
      <c r="Q493" s="658"/>
      <c r="R493" s="658"/>
      <c r="S493" s="658"/>
      <c r="T493" s="658"/>
      <c r="U493" s="658"/>
      <c r="V493" s="658"/>
      <c r="W493" s="658"/>
      <c r="X493" s="658"/>
      <c r="Y493" s="658"/>
      <c r="Z493" s="658"/>
      <c r="AA493" s="658"/>
    </row>
    <row r="494" spans="10:27" s="1235" customFormat="1" ht="21.75" customHeight="1">
      <c r="J494" s="2760"/>
      <c r="K494" s="658"/>
      <c r="L494" s="658"/>
      <c r="M494" s="658"/>
      <c r="N494" s="658"/>
      <c r="O494" s="658"/>
      <c r="P494" s="658"/>
      <c r="Q494" s="658"/>
      <c r="R494" s="658"/>
      <c r="S494" s="658"/>
      <c r="T494" s="658"/>
      <c r="U494" s="658"/>
      <c r="V494" s="658"/>
      <c r="W494" s="658"/>
      <c r="X494" s="658"/>
      <c r="Y494" s="658"/>
      <c r="Z494" s="658"/>
      <c r="AA494" s="658"/>
    </row>
    <row r="495" spans="10:27" s="1235" customFormat="1" ht="21.75" customHeight="1">
      <c r="J495" s="2760"/>
      <c r="K495" s="658"/>
      <c r="L495" s="658"/>
      <c r="M495" s="658"/>
      <c r="N495" s="658"/>
      <c r="O495" s="658"/>
      <c r="P495" s="658"/>
      <c r="Q495" s="658"/>
      <c r="R495" s="658"/>
      <c r="S495" s="658"/>
      <c r="T495" s="658"/>
      <c r="U495" s="658"/>
      <c r="V495" s="658"/>
      <c r="W495" s="658"/>
      <c r="X495" s="658"/>
      <c r="Y495" s="658"/>
      <c r="Z495" s="658"/>
      <c r="AA495" s="658"/>
    </row>
    <row r="496" spans="10:27" s="1235" customFormat="1" ht="21.75" customHeight="1">
      <c r="J496" s="2760"/>
      <c r="K496" s="658"/>
      <c r="L496" s="658"/>
      <c r="M496" s="658"/>
      <c r="N496" s="658"/>
      <c r="O496" s="658"/>
      <c r="P496" s="658"/>
      <c r="Q496" s="658"/>
      <c r="R496" s="658"/>
      <c r="S496" s="658"/>
      <c r="T496" s="658"/>
      <c r="U496" s="658"/>
      <c r="V496" s="658"/>
      <c r="W496" s="658"/>
      <c r="X496" s="658"/>
      <c r="Y496" s="658"/>
      <c r="Z496" s="658"/>
      <c r="AA496" s="658"/>
    </row>
    <row r="497" spans="10:27" s="1235" customFormat="1" ht="21.75" customHeight="1">
      <c r="J497" s="2760"/>
      <c r="K497" s="658"/>
      <c r="L497" s="658"/>
      <c r="M497" s="658"/>
      <c r="N497" s="658"/>
      <c r="O497" s="658"/>
      <c r="P497" s="658"/>
      <c r="Q497" s="658"/>
      <c r="R497" s="658"/>
      <c r="S497" s="658"/>
      <c r="T497" s="658"/>
      <c r="U497" s="658"/>
      <c r="V497" s="658"/>
      <c r="W497" s="658"/>
      <c r="X497" s="658"/>
      <c r="Y497" s="658"/>
      <c r="Z497" s="658"/>
      <c r="AA497" s="658"/>
    </row>
    <row r="498" spans="10:27" s="1235" customFormat="1" ht="21.75" customHeight="1">
      <c r="J498" s="2760"/>
      <c r="K498" s="658"/>
      <c r="L498" s="658"/>
      <c r="M498" s="658"/>
      <c r="N498" s="658"/>
      <c r="O498" s="658"/>
      <c r="P498" s="658"/>
      <c r="Q498" s="658"/>
      <c r="R498" s="658"/>
      <c r="S498" s="658"/>
      <c r="T498" s="658"/>
      <c r="U498" s="658"/>
      <c r="V498" s="658"/>
      <c r="W498" s="658"/>
      <c r="X498" s="658"/>
      <c r="Y498" s="658"/>
      <c r="Z498" s="658"/>
      <c r="AA498" s="658"/>
    </row>
    <row r="499" spans="10:27" s="1235" customFormat="1" ht="21.75" customHeight="1">
      <c r="J499" s="2760"/>
      <c r="K499" s="658"/>
      <c r="L499" s="658"/>
      <c r="M499" s="658"/>
      <c r="N499" s="658"/>
      <c r="O499" s="658"/>
      <c r="P499" s="658"/>
      <c r="Q499" s="658"/>
      <c r="R499" s="658"/>
      <c r="S499" s="658"/>
      <c r="T499" s="658"/>
      <c r="U499" s="658"/>
      <c r="V499" s="658"/>
      <c r="W499" s="658"/>
      <c r="X499" s="658"/>
      <c r="Y499" s="658"/>
      <c r="Z499" s="658"/>
      <c r="AA499" s="658"/>
    </row>
    <row r="500" spans="10:27" s="1235" customFormat="1" ht="21.75" customHeight="1">
      <c r="J500" s="2760"/>
      <c r="K500" s="658"/>
      <c r="L500" s="658"/>
      <c r="M500" s="658"/>
      <c r="N500" s="658"/>
      <c r="O500" s="658"/>
      <c r="P500" s="658"/>
      <c r="Q500" s="658"/>
      <c r="R500" s="658"/>
      <c r="S500" s="658"/>
      <c r="T500" s="658"/>
      <c r="U500" s="658"/>
      <c r="V500" s="658"/>
      <c r="W500" s="658"/>
      <c r="X500" s="658"/>
      <c r="Y500" s="658"/>
      <c r="Z500" s="658"/>
      <c r="AA500" s="658"/>
    </row>
    <row r="501" spans="10:27" s="1235" customFormat="1" ht="21.75" customHeight="1">
      <c r="J501" s="2760"/>
      <c r="K501" s="658"/>
      <c r="L501" s="658"/>
      <c r="M501" s="658"/>
      <c r="N501" s="658"/>
      <c r="O501" s="658"/>
      <c r="P501" s="658"/>
      <c r="Q501" s="658"/>
      <c r="R501" s="658"/>
      <c r="S501" s="658"/>
      <c r="T501" s="658"/>
      <c r="U501" s="658"/>
      <c r="V501" s="658"/>
      <c r="W501" s="658"/>
      <c r="X501" s="658"/>
      <c r="Y501" s="658"/>
      <c r="Z501" s="658"/>
      <c r="AA501" s="658"/>
    </row>
    <row r="502" spans="10:27" s="1235" customFormat="1" ht="21.75" customHeight="1">
      <c r="J502" s="2760"/>
      <c r="K502" s="658"/>
      <c r="L502" s="658"/>
      <c r="M502" s="658"/>
      <c r="N502" s="658"/>
      <c r="O502" s="658"/>
      <c r="P502" s="658"/>
      <c r="Q502" s="658"/>
      <c r="R502" s="658"/>
      <c r="S502" s="658"/>
      <c r="T502" s="658"/>
      <c r="U502" s="658"/>
      <c r="V502" s="658"/>
      <c r="W502" s="658"/>
      <c r="X502" s="658"/>
      <c r="Y502" s="658"/>
      <c r="Z502" s="658"/>
      <c r="AA502" s="658"/>
    </row>
    <row r="503" spans="10:27" s="1235" customFormat="1" ht="21.75" customHeight="1">
      <c r="J503" s="2760"/>
      <c r="K503" s="658"/>
      <c r="L503" s="658"/>
      <c r="M503" s="658"/>
      <c r="N503" s="658"/>
      <c r="O503" s="658"/>
      <c r="P503" s="658"/>
      <c r="Q503" s="658"/>
      <c r="R503" s="658"/>
      <c r="S503" s="658"/>
      <c r="T503" s="658"/>
      <c r="U503" s="658"/>
      <c r="V503" s="658"/>
      <c r="W503" s="658"/>
      <c r="X503" s="658"/>
      <c r="Y503" s="658"/>
      <c r="Z503" s="658"/>
      <c r="AA503" s="658"/>
    </row>
    <row r="504" spans="10:27" s="1235" customFormat="1" ht="21.75" customHeight="1">
      <c r="J504" s="2760"/>
      <c r="K504" s="658"/>
      <c r="L504" s="658"/>
      <c r="M504" s="658"/>
      <c r="N504" s="658"/>
      <c r="O504" s="658"/>
      <c r="P504" s="658"/>
      <c r="Q504" s="658"/>
      <c r="R504" s="658"/>
      <c r="S504" s="658"/>
      <c r="T504" s="658"/>
      <c r="U504" s="658"/>
      <c r="V504" s="658"/>
      <c r="W504" s="658"/>
      <c r="X504" s="658"/>
      <c r="Y504" s="658"/>
      <c r="Z504" s="658"/>
      <c r="AA504" s="658"/>
    </row>
    <row r="505" spans="10:27" s="1235" customFormat="1" ht="21.75" customHeight="1">
      <c r="J505" s="2760"/>
      <c r="K505" s="658"/>
      <c r="L505" s="658"/>
      <c r="M505" s="658"/>
      <c r="N505" s="658"/>
      <c r="O505" s="658"/>
      <c r="P505" s="658"/>
      <c r="Q505" s="658"/>
      <c r="R505" s="658"/>
      <c r="S505" s="658"/>
      <c r="T505" s="658"/>
      <c r="U505" s="658"/>
      <c r="V505" s="658"/>
      <c r="W505" s="658"/>
      <c r="X505" s="658"/>
      <c r="Y505" s="658"/>
      <c r="Z505" s="658"/>
      <c r="AA505" s="658"/>
    </row>
    <row r="506" spans="10:27" s="1235" customFormat="1" ht="21.75" customHeight="1">
      <c r="J506" s="2760"/>
      <c r="K506" s="658"/>
      <c r="L506" s="658"/>
      <c r="M506" s="658"/>
      <c r="N506" s="658"/>
      <c r="O506" s="658"/>
      <c r="P506" s="658"/>
      <c r="Q506" s="658"/>
      <c r="R506" s="658"/>
      <c r="S506" s="658"/>
      <c r="T506" s="658"/>
      <c r="U506" s="658"/>
      <c r="V506" s="658"/>
      <c r="W506" s="658"/>
      <c r="X506" s="658"/>
      <c r="Y506" s="658"/>
      <c r="Z506" s="658"/>
      <c r="AA506" s="658"/>
    </row>
    <row r="507" spans="10:27" s="1235" customFormat="1" ht="21.75" customHeight="1">
      <c r="J507" s="2760"/>
      <c r="K507" s="658"/>
      <c r="L507" s="658"/>
      <c r="M507" s="658"/>
      <c r="N507" s="658"/>
      <c r="O507" s="658"/>
      <c r="P507" s="658"/>
      <c r="Q507" s="658"/>
      <c r="R507" s="658"/>
      <c r="S507" s="658"/>
      <c r="T507" s="658"/>
      <c r="U507" s="658"/>
      <c r="V507" s="658"/>
      <c r="W507" s="658"/>
      <c r="X507" s="658"/>
      <c r="Y507" s="658"/>
      <c r="Z507" s="658"/>
      <c r="AA507" s="658"/>
    </row>
    <row r="508" spans="10:27" s="1235" customFormat="1" ht="21.75" customHeight="1">
      <c r="J508" s="2760"/>
      <c r="K508" s="658"/>
      <c r="L508" s="658"/>
      <c r="M508" s="658"/>
      <c r="N508" s="658"/>
      <c r="O508" s="658"/>
      <c r="P508" s="658"/>
      <c r="Q508" s="658"/>
      <c r="R508" s="658"/>
      <c r="S508" s="658"/>
      <c r="T508" s="658"/>
      <c r="U508" s="658"/>
      <c r="V508" s="658"/>
      <c r="W508" s="658"/>
      <c r="X508" s="658"/>
      <c r="Y508" s="658"/>
      <c r="Z508" s="658"/>
      <c r="AA508" s="658"/>
    </row>
    <row r="509" spans="10:27" s="1235" customFormat="1" ht="21.75" customHeight="1">
      <c r="J509" s="2760"/>
      <c r="K509" s="658"/>
      <c r="L509" s="658"/>
      <c r="M509" s="658"/>
      <c r="N509" s="658"/>
      <c r="O509" s="658"/>
      <c r="P509" s="658"/>
      <c r="Q509" s="658"/>
      <c r="R509" s="658"/>
      <c r="S509" s="658"/>
      <c r="T509" s="658"/>
      <c r="U509" s="658"/>
      <c r="V509" s="658"/>
      <c r="W509" s="658"/>
      <c r="X509" s="658"/>
      <c r="Y509" s="658"/>
      <c r="Z509" s="658"/>
      <c r="AA509" s="658"/>
    </row>
    <row r="510" spans="10:27" s="1235" customFormat="1" ht="21.75" customHeight="1">
      <c r="J510" s="2760"/>
      <c r="K510" s="658"/>
      <c r="L510" s="658"/>
      <c r="M510" s="658"/>
      <c r="N510" s="658"/>
      <c r="O510" s="658"/>
      <c r="P510" s="658"/>
      <c r="Q510" s="658"/>
      <c r="R510" s="658"/>
      <c r="S510" s="658"/>
      <c r="T510" s="658"/>
      <c r="U510" s="658"/>
      <c r="V510" s="658"/>
      <c r="W510" s="658"/>
      <c r="X510" s="658"/>
      <c r="Y510" s="658"/>
      <c r="Z510" s="658"/>
      <c r="AA510" s="658"/>
    </row>
    <row r="511" spans="10:27" s="1235" customFormat="1" ht="21.75" customHeight="1">
      <c r="J511" s="2760"/>
      <c r="K511" s="658"/>
      <c r="L511" s="658"/>
      <c r="M511" s="658"/>
      <c r="N511" s="658"/>
      <c r="O511" s="658"/>
      <c r="P511" s="658"/>
      <c r="Q511" s="658"/>
      <c r="R511" s="658"/>
      <c r="S511" s="658"/>
      <c r="T511" s="658"/>
      <c r="U511" s="658"/>
      <c r="V511" s="658"/>
      <c r="W511" s="658"/>
      <c r="X511" s="658"/>
      <c r="Y511" s="658"/>
      <c r="Z511" s="658"/>
      <c r="AA511" s="658"/>
    </row>
    <row r="512" spans="10:27" s="1235" customFormat="1" ht="21.75" customHeight="1">
      <c r="J512" s="2760"/>
      <c r="K512" s="658"/>
      <c r="L512" s="658"/>
      <c r="M512" s="658"/>
      <c r="N512" s="658"/>
      <c r="O512" s="658"/>
      <c r="P512" s="658"/>
      <c r="Q512" s="658"/>
      <c r="R512" s="658"/>
      <c r="S512" s="658"/>
      <c r="T512" s="658"/>
      <c r="U512" s="658"/>
      <c r="V512" s="658"/>
      <c r="W512" s="658"/>
      <c r="X512" s="658"/>
      <c r="Y512" s="658"/>
      <c r="Z512" s="658"/>
      <c r="AA512" s="658"/>
    </row>
    <row r="513" spans="6:27" s="1235" customFormat="1" ht="21.75" customHeight="1">
      <c r="J513" s="2760"/>
      <c r="K513" s="658"/>
      <c r="L513" s="658"/>
      <c r="M513" s="658"/>
      <c r="N513" s="658"/>
      <c r="O513" s="658"/>
      <c r="P513" s="658"/>
      <c r="Q513" s="658"/>
      <c r="R513" s="658"/>
      <c r="S513" s="658"/>
      <c r="T513" s="658"/>
      <c r="U513" s="658"/>
      <c r="V513" s="658"/>
      <c r="W513" s="658"/>
      <c r="X513" s="658"/>
      <c r="Y513" s="658"/>
      <c r="Z513" s="658"/>
      <c r="AA513" s="658"/>
    </row>
    <row r="514" spans="6:27" s="1235" customFormat="1" ht="21.75" customHeight="1">
      <c r="J514" s="2760"/>
      <c r="K514" s="658"/>
      <c r="L514" s="658"/>
      <c r="M514" s="658"/>
      <c r="N514" s="658"/>
      <c r="O514" s="658"/>
      <c r="P514" s="658"/>
      <c r="Q514" s="658"/>
      <c r="R514" s="658"/>
      <c r="S514" s="658"/>
      <c r="T514" s="658"/>
      <c r="U514" s="658"/>
      <c r="V514" s="658"/>
      <c r="W514" s="658"/>
      <c r="X514" s="658"/>
      <c r="Y514" s="658"/>
      <c r="Z514" s="658"/>
      <c r="AA514" s="658"/>
    </row>
    <row r="515" spans="6:27" s="1235" customFormat="1" ht="21.75" customHeight="1">
      <c r="J515" s="2760"/>
      <c r="K515" s="658"/>
      <c r="L515" s="658"/>
      <c r="M515" s="658"/>
      <c r="N515" s="658"/>
      <c r="O515" s="658"/>
      <c r="P515" s="658"/>
      <c r="Q515" s="658"/>
      <c r="R515" s="658"/>
      <c r="S515" s="658"/>
      <c r="T515" s="658"/>
      <c r="U515" s="658"/>
      <c r="V515" s="658"/>
      <c r="W515" s="658"/>
      <c r="X515" s="658"/>
      <c r="Y515" s="658"/>
      <c r="Z515" s="658"/>
      <c r="AA515" s="658"/>
    </row>
    <row r="516" spans="6:27" s="1235" customFormat="1" ht="21.75" customHeight="1">
      <c r="J516" s="2760"/>
      <c r="K516" s="658"/>
      <c r="L516" s="658"/>
      <c r="M516" s="658"/>
      <c r="N516" s="658"/>
      <c r="O516" s="658"/>
      <c r="P516" s="658"/>
      <c r="Q516" s="658"/>
      <c r="R516" s="658"/>
      <c r="S516" s="658"/>
      <c r="T516" s="658"/>
      <c r="U516" s="658"/>
      <c r="V516" s="658"/>
      <c r="W516" s="658"/>
      <c r="X516" s="658"/>
      <c r="Y516" s="658"/>
      <c r="Z516" s="658"/>
      <c r="AA516" s="658"/>
    </row>
    <row r="517" spans="6:27" s="1235" customFormat="1" ht="21.75" customHeight="1">
      <c r="J517" s="2760"/>
      <c r="K517" s="658"/>
      <c r="L517" s="658"/>
      <c r="M517" s="658"/>
      <c r="N517" s="658"/>
      <c r="O517" s="658"/>
      <c r="P517" s="658"/>
      <c r="Q517" s="658"/>
      <c r="R517" s="658"/>
      <c r="S517" s="658"/>
      <c r="T517" s="658"/>
      <c r="U517" s="658"/>
      <c r="V517" s="658"/>
      <c r="W517" s="658"/>
      <c r="X517" s="658"/>
      <c r="Y517" s="658"/>
      <c r="Z517" s="658"/>
      <c r="AA517" s="658"/>
    </row>
    <row r="518" spans="6:27" s="1235" customFormat="1" ht="21.75" customHeight="1">
      <c r="J518" s="2760"/>
      <c r="K518" s="658"/>
      <c r="L518" s="658"/>
      <c r="M518" s="658"/>
      <c r="N518" s="658"/>
      <c r="O518" s="658"/>
      <c r="P518" s="658"/>
      <c r="Q518" s="658"/>
      <c r="R518" s="658"/>
      <c r="S518" s="658"/>
      <c r="T518" s="658"/>
      <c r="U518" s="658"/>
      <c r="V518" s="658"/>
      <c r="W518" s="658"/>
      <c r="X518" s="658"/>
      <c r="Y518" s="658"/>
      <c r="Z518" s="658"/>
      <c r="AA518" s="658"/>
    </row>
    <row r="519" spans="6:27" s="1235" customFormat="1" ht="21.75" customHeight="1">
      <c r="J519" s="2760"/>
      <c r="K519" s="658"/>
      <c r="L519" s="658"/>
      <c r="M519" s="658"/>
      <c r="N519" s="658"/>
      <c r="O519" s="658"/>
      <c r="P519" s="658"/>
      <c r="Q519" s="658"/>
      <c r="R519" s="658"/>
      <c r="S519" s="658"/>
      <c r="T519" s="658"/>
      <c r="U519" s="658"/>
      <c r="V519" s="658"/>
      <c r="W519" s="658"/>
      <c r="X519" s="658"/>
      <c r="Y519" s="658"/>
      <c r="Z519" s="658"/>
      <c r="AA519" s="658"/>
    </row>
    <row r="520" spans="6:27" s="1235" customFormat="1" ht="21.75" customHeight="1">
      <c r="F520" s="1389"/>
      <c r="G520" s="1389"/>
      <c r="H520" s="1389"/>
      <c r="I520" s="1389"/>
      <c r="J520" s="2760"/>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59"/>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313</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7816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1110660</v>
      </c>
      <c r="D5" s="111" t="s">
        <v>1680</v>
      </c>
      <c r="E5" s="1094" t="s">
        <v>1681</v>
      </c>
      <c r="F5" s="1094"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v>1000000</v>
      </c>
      <c r="D6" s="1095"/>
      <c r="E6" s="1096"/>
      <c r="F6" s="109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80160</v>
      </c>
      <c r="D8" s="1098"/>
      <c r="E8" s="115"/>
      <c r="F8" s="1097"/>
      <c r="G8" s="1445"/>
    </row>
    <row r="9" spans="1:123" s="91" customFormat="1" ht="13.5" customHeight="1">
      <c r="A9" s="950" t="s">
        <v>763</v>
      </c>
      <c r="B9" s="97" t="s">
        <v>1689</v>
      </c>
      <c r="C9" s="1099">
        <f>ROUND(D9*E9,0)</f>
        <v>0</v>
      </c>
      <c r="D9" s="1100">
        <f>IF('数据-取费表'!B10="住宅",IF(B1="仅计算典型户型",'数据-取费表'!E5,'数据-取费表'!B5),0)</f>
        <v>0</v>
      </c>
      <c r="E9" s="1099">
        <f>'数据-取费表'!E11</f>
        <v>160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0" t="s">
        <v>764</v>
      </c>
      <c r="B10" s="97" t="s">
        <v>1690</v>
      </c>
      <c r="C10" s="1099">
        <f>ROUND(D10*E10,0)</f>
        <v>80160</v>
      </c>
      <c r="D10" s="1100">
        <f>IF('数据-取费表'!B10&lt;&gt;"住宅",IF(B1="仅计算典型户型",'数据-取费表'!E5,'数据-取费表'!B5),0)</f>
        <v>400.8</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80160</v>
      </c>
      <c r="D19" s="1103">
        <f>IF(B1="仅计算典型户型",'数据-取费表'!E5,'数据-取费表'!B5)</f>
        <v>400.8</v>
      </c>
      <c r="E19" s="111">
        <f>'数据-取费表'!E15</f>
        <v>200</v>
      </c>
      <c r="F19" s="112"/>
      <c r="G19" s="1445"/>
    </row>
    <row r="20" spans="1:123" s="91" customFormat="1" ht="13.5" customHeight="1">
      <c r="A20" s="120" t="s">
        <v>1702</v>
      </c>
      <c r="B20" s="89" t="s">
        <v>1703</v>
      </c>
      <c r="C20" s="99">
        <f>ROUND((C5+C19)*F20,0)</f>
        <v>23816</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103130</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 ca="1">ROUND(IF('数据-取费表'!B24&lt;=1,C5*F22*'数据-取费表'!B25,C5*(POWER((1+F22),'数据-取费表'!B25)-1)),0)</f>
        <v>95255</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 ca="1">ROUND(IF('数据-取费表'!B24&lt;=1,C19*F22*('数据-取费表'!B21/2+'数据-取费表'!B23),C19*(POWER((1+F22),('数据-取费表'!B21/2+'数据-取费表'!B23))-1)),0)</f>
        <v>6875</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 ca="1">ROUND(IF('数据-取费表'!B24&lt;=1,C20*F22*'数据-取费表'!B25/2,C20*(POWER((1+F22),'数据-取费表'!B25/2)-1)),0)</f>
        <v>1000</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1" t="s">
        <v>1720</v>
      </c>
      <c r="B27" s="110" t="s">
        <v>1721</v>
      </c>
      <c r="C27" s="111">
        <f>C28</f>
        <v>242927</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242927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1"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1692909</v>
      </c>
      <c r="D31" s="1103"/>
      <c r="E31" s="111"/>
      <c r="F31" s="1104"/>
      <c r="G31" s="100" t="s">
        <v>1729</v>
      </c>
    </row>
    <row r="32" spans="1:123" s="88" customFormat="1" ht="15.75">
      <c r="A32" s="117" t="s">
        <v>1730</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1378752</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1202400</v>
      </c>
      <c r="D34" s="1095"/>
      <c r="E34" s="115"/>
      <c r="F34" s="1106" t="str">
        <f>IF('数据-取费表'!B26=0,"",'数据-取费表'!E20)</f>
        <v/>
      </c>
      <c r="G34" s="95"/>
    </row>
    <row r="35" spans="1:123" ht="13.5" customHeight="1">
      <c r="A35" s="92" t="s">
        <v>1685</v>
      </c>
      <c r="B35" s="93" t="s">
        <v>1734</v>
      </c>
      <c r="C35" s="115">
        <f>ROUND(C34*F35,0)</f>
        <v>36072</v>
      </c>
      <c r="D35" s="115"/>
      <c r="E35" s="115"/>
      <c r="F35" s="1107">
        <f>'数据-取费表'!E21</f>
        <v>0.03</v>
      </c>
      <c r="G35" s="95" t="s">
        <v>1735</v>
      </c>
    </row>
    <row r="36" spans="1:123" ht="24">
      <c r="A36" s="92" t="s">
        <v>1687</v>
      </c>
      <c r="B36" s="93" t="s">
        <v>1736</v>
      </c>
      <c r="C36" s="115">
        <f>ROUND(IF('数据-取费表'!B10="住宅",C34*F36,0),0)</f>
        <v>0</v>
      </c>
      <c r="D36" s="115"/>
      <c r="E36" s="115"/>
      <c r="F36" s="1107">
        <f>'数据-取费表'!E22</f>
        <v>0.05</v>
      </c>
      <c r="G36" s="123" t="s">
        <v>1737</v>
      </c>
    </row>
    <row r="37" spans="1:123" s="122" customFormat="1" ht="13.5" customHeight="1">
      <c r="A37" s="92" t="s">
        <v>1718</v>
      </c>
      <c r="B37" s="93" t="s">
        <v>1738</v>
      </c>
      <c r="C37" s="115">
        <f>ROUND(E37*D37,0)</f>
        <v>80160</v>
      </c>
      <c r="D37" s="1095">
        <f>IF(B1="仅计算典型户型",'数据-取费表'!E5,'数据-取费表'!B5)</f>
        <v>400.8</v>
      </c>
      <c r="E37" s="115">
        <f>'数据-取费表'!E23</f>
        <v>200</v>
      </c>
      <c r="F37" s="1107"/>
      <c r="G37" s="124" t="s">
        <v>1739</v>
      </c>
    </row>
    <row r="38" spans="1:123" ht="13.5" customHeight="1">
      <c r="A38" s="92" t="s">
        <v>1740</v>
      </c>
      <c r="B38" s="93" t="s">
        <v>1741</v>
      </c>
      <c r="C38" s="115">
        <f>ROUND(C34*F38,0)</f>
        <v>60120</v>
      </c>
      <c r="D38" s="115"/>
      <c r="E38" s="115"/>
      <c r="F38" s="1107">
        <f>'数据-取费表'!E24</f>
        <v>0.05</v>
      </c>
      <c r="G38" s="95" t="s">
        <v>1735</v>
      </c>
    </row>
    <row r="39" spans="1:123" s="91" customFormat="1" ht="13.5" customHeight="1">
      <c r="A39" s="120" t="s">
        <v>1700</v>
      </c>
      <c r="B39" s="89" t="s">
        <v>1703</v>
      </c>
      <c r="C39" s="99">
        <f>ROUND(C33*F20,0)</f>
        <v>27575</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59066</v>
      </c>
      <c r="D41" s="101">
        <f ca="1">C44</f>
        <v>8.0000000000000004E-4</v>
      </c>
      <c r="E41" s="102" t="s">
        <v>1743</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57908</v>
      </c>
      <c r="D42" s="104"/>
      <c r="E42" s="104"/>
      <c r="F42" s="105"/>
      <c r="G42" s="3555" t="s">
        <v>1745</v>
      </c>
    </row>
    <row r="43" spans="1:123" ht="13.5" customHeight="1">
      <c r="A43" s="92" t="s">
        <v>1685</v>
      </c>
      <c r="B43" s="93" t="s">
        <v>1714</v>
      </c>
      <c r="C43" s="104">
        <f ca="1">ROUND(IF('数据-取费表'!B24&lt;=1,C39*F22*'数据-取费表'!B23/2,C39*(POWER((1+F22),'数据-取费表'!B23/2)-1)),0)</f>
        <v>1158</v>
      </c>
      <c r="D43" s="104"/>
      <c r="E43" s="104"/>
      <c r="F43" s="105"/>
      <c r="G43" s="3556"/>
    </row>
    <row r="44" spans="1:123" ht="13.5" customHeight="1">
      <c r="A44" s="92" t="s">
        <v>1687</v>
      </c>
      <c r="B44" s="93" t="s">
        <v>1716</v>
      </c>
      <c r="C44" s="104">
        <f ca="1">ROUND(IF('数据-取费表'!B24&lt;=1,C40*F22*'数据-取费表'!B23/2,C40*(POWER((1+F22),'数据-取费表'!B23/2)-1)),4)</f>
        <v>8.0000000000000004E-4</v>
      </c>
      <c r="D44" s="104"/>
      <c r="E44" s="104"/>
      <c r="F44" s="105"/>
      <c r="G44" s="3557"/>
    </row>
    <row r="45" spans="1:123" s="91" customFormat="1" ht="13.5" customHeight="1">
      <c r="A45" s="120" t="s">
        <v>1709</v>
      </c>
      <c r="B45" s="110" t="s">
        <v>1721</v>
      </c>
      <c r="C45" s="111">
        <f>C46</f>
        <v>281265</v>
      </c>
      <c r="D45" s="101">
        <f>C47</f>
        <v>4.0000000000000001E-3</v>
      </c>
      <c r="E45" s="102" t="s">
        <v>1743</v>
      </c>
      <c r="F45" s="2806">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281265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1" t="s">
        <v>1720</v>
      </c>
      <c r="B48" s="89" t="s">
        <v>1749</v>
      </c>
      <c r="C48" s="1230">
        <f>ROUND(F30/(1+'数据-取费表'!F30),4)</f>
        <v>5.33E-2</v>
      </c>
      <c r="D48" s="102" t="s">
        <v>1743</v>
      </c>
      <c r="E48" s="99"/>
      <c r="F48" s="2805">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1" t="s">
        <v>1751</v>
      </c>
      <c r="B49" s="89" t="s">
        <v>1752</v>
      </c>
      <c r="C49" s="99">
        <f ca="1">ROUND((C33+C39+C41+C45)/(1-C40-D41-D45-C48),0)</f>
        <v>1894628</v>
      </c>
      <c r="D49" s="99"/>
      <c r="E49" s="99"/>
      <c r="F49" s="126"/>
      <c r="G49" s="100" t="s">
        <v>1753</v>
      </c>
    </row>
    <row r="50" spans="1:123" s="122" customFormat="1" ht="24">
      <c r="A50" s="951" t="s">
        <v>1754</v>
      </c>
      <c r="B50" s="89" t="s">
        <v>1755</v>
      </c>
      <c r="C50" s="99"/>
      <c r="D50" s="99"/>
      <c r="E50" s="99"/>
      <c r="F50" s="126">
        <f>IF('数据-取费表'!B26=0,'数据-取费表'!E20,1)</f>
        <v>0.76</v>
      </c>
      <c r="G50" s="113" t="s">
        <v>1756</v>
      </c>
    </row>
    <row r="51" spans="1:123" ht="16.5" customHeight="1">
      <c r="A51" s="951" t="s">
        <v>1757</v>
      </c>
      <c r="B51" s="89" t="s">
        <v>1758</v>
      </c>
      <c r="C51" s="99">
        <f ca="1">ROUND(C49*F50,0)</f>
        <v>1439917</v>
      </c>
      <c r="D51" s="99"/>
      <c r="E51" s="99"/>
      <c r="F51" s="126"/>
      <c r="G51" s="100" t="s">
        <v>1759</v>
      </c>
    </row>
    <row r="52" spans="1:123" s="88" customFormat="1" ht="16.5" thickBot="1">
      <c r="A52" s="127" t="s">
        <v>1760</v>
      </c>
      <c r="B52" s="128"/>
      <c r="C52" s="129">
        <f ca="1">C31+C51</f>
        <v>3132826</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0.46</v>
      </c>
    </row>
    <row r="57" spans="1:123">
      <c r="B57" s="135" t="s">
        <v>1763</v>
      </c>
      <c r="C57" s="137">
        <f ca="1">1-C56</f>
        <v>0.54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59" t="s">
        <v>1047</v>
      </c>
      <c r="D1" s="1052"/>
      <c r="E1" s="881"/>
      <c r="F1" s="881"/>
      <c r="G1" s="881"/>
      <c r="H1" s="881"/>
      <c r="I1" s="881"/>
      <c r="J1" s="881"/>
      <c r="K1" s="881"/>
    </row>
    <row r="2" spans="1:33" s="139" customFormat="1" ht="18" customHeight="1">
      <c r="A2" s="81" t="s">
        <v>1048</v>
      </c>
      <c r="B2" s="84">
        <f ca="1">IF(C2="元",C32,ROUND(C32/10000,0))</f>
        <v>292</v>
      </c>
      <c r="C2" s="1328" t="str">
        <f>'数据-取费表'!B3</f>
        <v>万元</v>
      </c>
      <c r="D2" s="881"/>
      <c r="E2" s="881"/>
      <c r="F2" s="881"/>
      <c r="G2" s="881"/>
      <c r="H2" s="881"/>
      <c r="I2" s="881"/>
      <c r="J2" s="881"/>
      <c r="K2" s="881"/>
    </row>
    <row r="3" spans="1:33" s="139" customFormat="1" ht="18" customHeight="1" thickBot="1">
      <c r="A3" s="83" t="s">
        <v>1049</v>
      </c>
      <c r="B3" s="84">
        <f ca="1">ROUND(C32/IF(C1="仅计算典型户型",'数据-取费表'!E5,'数据-取费表'!B5),0)</f>
        <v>23861</v>
      </c>
      <c r="C3" s="1328" t="s">
        <v>1050</v>
      </c>
      <c r="D3" s="881"/>
      <c r="E3" s="881"/>
      <c r="F3" s="881"/>
      <c r="G3" s="881"/>
      <c r="H3" s="881"/>
      <c r="I3" s="881"/>
      <c r="J3" s="881"/>
      <c r="K3" s="881"/>
    </row>
    <row r="4" spans="1:33" s="143" customFormat="1" ht="16.5" customHeight="1">
      <c r="A4" s="140" t="s">
        <v>1051</v>
      </c>
      <c r="B4" s="141"/>
      <c r="C4" s="1051">
        <f>SUM(C8:K8)</f>
        <v>4285750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1052</v>
      </c>
      <c r="B5" s="145" t="s">
        <v>1053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52" t="s">
        <v>1054</v>
      </c>
      <c r="B6" s="147" t="s">
        <v>1055</v>
      </c>
      <c r="C6" s="148">
        <v>35000</v>
      </c>
      <c r="D6" s="1048"/>
      <c r="E6" s="1048"/>
      <c r="F6" s="1048"/>
      <c r="G6" s="1048"/>
      <c r="H6" s="1048"/>
      <c r="I6" s="1048"/>
      <c r="J6" s="1048"/>
      <c r="K6" s="1049"/>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52" t="s">
        <v>1056</v>
      </c>
      <c r="B7" s="147" t="s">
        <v>1057</v>
      </c>
      <c r="C7" s="150">
        <f>IF(C1="仅计算典型户型",'数据-取费表'!E5,'数据-取费表'!B5)</f>
        <v>122.45</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29" t="s">
        <v>1058</v>
      </c>
      <c r="B8" s="147" t="s">
        <v>1059</v>
      </c>
      <c r="C8" s="609">
        <f>C6*C7</f>
        <v>4285750</v>
      </c>
      <c r="D8" s="1050"/>
      <c r="E8" s="1050"/>
      <c r="F8" s="1048"/>
      <c r="G8" s="1048"/>
      <c r="H8" s="1048"/>
      <c r="I8" s="1048"/>
      <c r="J8" s="1048"/>
      <c r="K8" s="1049"/>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1060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1052</v>
      </c>
      <c r="B10" s="156" t="s">
        <v>1053</v>
      </c>
      <c r="C10" s="157" t="s">
        <v>1061</v>
      </c>
      <c r="D10" s="158" t="s">
        <v>1062</v>
      </c>
      <c r="E10" s="158" t="s">
        <v>1063</v>
      </c>
      <c r="F10" s="158" t="s">
        <v>1064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53" t="s">
        <v>968</v>
      </c>
      <c r="B11" s="162" t="s">
        <v>1065</v>
      </c>
      <c r="C11" s="163">
        <f>IF(C1="仅计算典型户型",'数据-取费表'!F18,'数据-取费表'!E18)</f>
        <v>367350</v>
      </c>
      <c r="D11" s="164"/>
      <c r="E11" s="34"/>
      <c r="F11" s="165">
        <f>1-'数据-取费表'!E20</f>
        <v>0.24</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53" t="s">
        <v>969</v>
      </c>
      <c r="B12" s="162" t="s">
        <v>1066</v>
      </c>
      <c r="C12" s="13">
        <f>ROUND(C11*F12,0)</f>
        <v>11021</v>
      </c>
      <c r="D12" s="164"/>
      <c r="E12" s="34"/>
      <c r="F12" s="167">
        <f>'数据-取费表'!E21</f>
        <v>0.03</v>
      </c>
      <c r="G12" s="156" t="s">
        <v>1067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53" t="s">
        <v>970</v>
      </c>
      <c r="B13" s="162" t="s">
        <v>1068</v>
      </c>
      <c r="C13" s="13">
        <f>ROUND(IF('数据-取费表'!B10="住宅",C11*F13,0),0)</f>
        <v>0</v>
      </c>
      <c r="D13" s="164"/>
      <c r="E13" s="34"/>
      <c r="F13" s="167">
        <f>'数据-取费表'!E22</f>
        <v>0.05</v>
      </c>
      <c r="G13" s="156" t="s">
        <v>1069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53" t="s">
        <v>971</v>
      </c>
      <c r="B14" s="162" t="s">
        <v>1070</v>
      </c>
      <c r="C14" s="13">
        <f>ROUND(D14*E14*F11,0)</f>
        <v>5878</v>
      </c>
      <c r="D14" s="164">
        <f>IF(C1="仅计算典型户型",'数据-取费表'!E5,'数据-取费表'!B5)</f>
        <v>122.45</v>
      </c>
      <c r="E14" s="13">
        <f>'数据-取费表'!E23</f>
        <v>200</v>
      </c>
      <c r="F14" s="167"/>
      <c r="G14" s="156" t="s">
        <v>1071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53" t="s">
        <v>972</v>
      </c>
      <c r="B15" s="162" t="s">
        <v>1072</v>
      </c>
      <c r="C15" s="175">
        <f>ROUND(C11*F15,0)</f>
        <v>18368</v>
      </c>
      <c r="D15" s="169"/>
      <c r="E15" s="175"/>
      <c r="F15" s="176">
        <f>'数据-取费表'!E24</f>
        <v>0.05</v>
      </c>
      <c r="G15" s="147" t="s">
        <v>1073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53" t="s">
        <v>1074</v>
      </c>
      <c r="B16" s="162" t="s">
        <v>1075</v>
      </c>
      <c r="C16" s="163">
        <f>SUM(C11:C15)</f>
        <v>402617</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53" t="s">
        <v>1076</v>
      </c>
      <c r="B17" s="162" t="s">
        <v>1077</v>
      </c>
      <c r="C17" s="13">
        <f>ROUND(D17*E17,0)</f>
        <v>0</v>
      </c>
      <c r="D17" s="164">
        <f>IF(C1="仅计算典型户型",'数据-取费表'!E5,'数据-取费表'!B5)</f>
        <v>122.45</v>
      </c>
      <c r="E17" s="13">
        <f>'数据-取费表'!E16</f>
        <v>0</v>
      </c>
      <c r="F17" s="169"/>
      <c r="G17" s="147" t="s">
        <v>1078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53" t="s">
        <v>1079</v>
      </c>
      <c r="B18" s="162" t="s">
        <v>1080</v>
      </c>
      <c r="C18" s="13">
        <f>C19+C20-'数据-取费表'!E13</f>
        <v>-55670</v>
      </c>
      <c r="D18" s="164"/>
      <c r="E18" s="13"/>
      <c r="F18" s="167"/>
      <c r="G18" s="147" t="s">
        <v>1081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53"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53" t="s">
        <v>766</v>
      </c>
      <c r="B20" s="162" t="s">
        <v>1083</v>
      </c>
      <c r="C20" s="13">
        <f>ROUND(D20*E20,0)</f>
        <v>24490</v>
      </c>
      <c r="D20" s="164">
        <f>IF('数据-取费表'!B10&lt;&gt;"住宅",IF(C1="仅计算典型户型",'数据-取费表'!E5,'数据-取费表'!B5),0)</f>
        <v>122.45</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52" t="s">
        <v>1054</v>
      </c>
      <c r="B21" s="177" t="s">
        <v>1084</v>
      </c>
      <c r="C21" s="178">
        <f>C16+C17+C18</f>
        <v>346947</v>
      </c>
      <c r="D21" s="179"/>
      <c r="E21" s="180"/>
      <c r="F21" s="180"/>
      <c r="G21" s="147" t="s">
        <v>1085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52" t="s">
        <v>1056</v>
      </c>
      <c r="B22" s="177" t="s">
        <v>1086</v>
      </c>
      <c r="C22" s="178">
        <f>ROUND(C21*F22,0)</f>
        <v>6939</v>
      </c>
      <c r="D22" s="180"/>
      <c r="E22" s="180"/>
      <c r="F22" s="181">
        <f>'数据-取费表'!E25</f>
        <v>0.02</v>
      </c>
      <c r="G22" s="156" t="s">
        <v>1087</v>
      </c>
      <c r="H22" s="159"/>
      <c r="I22" s="159"/>
      <c r="J22" s="159"/>
      <c r="K22" s="160"/>
      <c r="L22" s="182"/>
      <c r="M22" s="182"/>
      <c r="N22" s="182"/>
    </row>
    <row r="23" spans="1:33" s="166" customFormat="1" ht="13.5" customHeight="1">
      <c r="A23" s="952" t="s">
        <v>1058</v>
      </c>
      <c r="B23" s="177" t="s">
        <v>1088</v>
      </c>
      <c r="C23" s="178">
        <f>ROUND(C4*F23*F11,0)</f>
        <v>20572</v>
      </c>
      <c r="D23" s="180"/>
      <c r="E23" s="180"/>
      <c r="F23" s="181">
        <f>'数据-取费表'!E26</f>
        <v>0.02</v>
      </c>
      <c r="G23" s="156" t="s">
        <v>1089</v>
      </c>
      <c r="H23" s="159"/>
      <c r="I23" s="159"/>
      <c r="J23" s="159"/>
      <c r="K23" s="160"/>
    </row>
    <row r="24" spans="1:33" s="166" customFormat="1" ht="13.5" customHeight="1">
      <c r="A24" s="952"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2"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3"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3"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2" t="s">
        <v>1100</v>
      </c>
      <c r="B28" s="198" t="s">
        <v>1101</v>
      </c>
      <c r="C28" s="199">
        <f>C30</f>
        <v>74892</v>
      </c>
      <c r="D28" s="183">
        <f>C29</f>
        <v>0.20580000000000001</v>
      </c>
      <c r="E28" s="189" t="s">
        <v>12</v>
      </c>
      <c r="F28" s="200">
        <f>'数据-取费表'!E28</f>
        <v>0.2</v>
      </c>
      <c r="G28" s="185"/>
      <c r="H28" s="186"/>
      <c r="I28" s="186"/>
      <c r="J28" s="186"/>
      <c r="K28" s="187"/>
    </row>
    <row r="29" spans="1:33" s="204" customFormat="1" ht="13.5" customHeight="1">
      <c r="A29" s="953" t="s">
        <v>1102</v>
      </c>
      <c r="B29" s="202" t="s">
        <v>1103</v>
      </c>
      <c r="C29" s="193">
        <f>ROUND((1+C24)*F28,4)</f>
        <v>0.20580000000000001</v>
      </c>
      <c r="D29" s="193"/>
      <c r="E29" s="194"/>
      <c r="F29" s="203"/>
      <c r="G29" s="147" t="s">
        <v>1104</v>
      </c>
      <c r="H29" s="170"/>
      <c r="I29" s="170"/>
      <c r="J29" s="170"/>
      <c r="K29" s="171"/>
    </row>
    <row r="30" spans="1:33" s="204" customFormat="1" ht="13.5" customHeight="1">
      <c r="A30" s="953" t="s">
        <v>1105</v>
      </c>
      <c r="B30" s="202" t="s">
        <v>1106</v>
      </c>
      <c r="C30" s="205">
        <f>ROUND((C21+C22+C23)*F28,0)</f>
        <v>74892</v>
      </c>
      <c r="D30" s="193"/>
      <c r="E30" s="206"/>
      <c r="F30" s="203"/>
      <c r="G30" s="147"/>
      <c r="H30" s="170"/>
      <c r="I30" s="170"/>
      <c r="J30" s="170"/>
      <c r="K30" s="171"/>
    </row>
    <row r="31" spans="1:33" s="182" customFormat="1" ht="13.5" customHeight="1" thickBot="1">
      <c r="A31" s="1330" t="s">
        <v>1107</v>
      </c>
      <c r="B31" s="177" t="s">
        <v>1108</v>
      </c>
      <c r="C31" s="207">
        <f>ROUND(C4*F31/(1+'数据-取费表'!F30),0)</f>
        <v>228573</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2921791</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0" zoomScale="60" zoomScaleNormal="70" workbookViewId="0">
      <selection activeCell="D104" sqref="D104"/>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2001</v>
      </c>
      <c r="B1" s="1565" t="s">
        <v>2114</v>
      </c>
      <c r="C1" s="1566" t="s">
        <v>3043</v>
      </c>
      <c r="D1" s="2387"/>
      <c r="E1" s="1568" t="s">
        <v>2503</v>
      </c>
      <c r="F1" s="1569" t="s">
        <v>2003</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f>IF(D2="——",IF(C2="元",ROUND(C49*D3,0),ROUND(C49*D3/10000,0)),IF(C2="元",ROUND(C49*D3,0),ROUND(C49*D3/10000,0))-E2)</f>
        <v>626</v>
      </c>
      <c r="C2" s="1578" t="str">
        <f>'数据-取费表'!B3</f>
        <v>万元</v>
      </c>
      <c r="D2" s="1579" t="s">
        <v>1001</v>
      </c>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f>ROUND(IF(D2="——",C49,IF(C2="万元",B2*10000/D3,B2/D3)),0)</f>
        <v>51134</v>
      </c>
      <c r="C3" s="1587" t="s">
        <v>2004</v>
      </c>
      <c r="D3" s="1587">
        <f>IF(C1="仅计算典型户型",'数据-取费表'!E5,'数据-取费表'!B5)</f>
        <v>122.45</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2005</v>
      </c>
      <c r="B4" s="1591"/>
      <c r="C4" s="3570" t="s">
        <v>2006</v>
      </c>
      <c r="D4" s="3571"/>
      <c r="E4" s="3572" t="s">
        <v>2007</v>
      </c>
      <c r="F4" s="3573"/>
      <c r="G4" s="3570" t="s">
        <v>2008</v>
      </c>
      <c r="H4" s="3571"/>
      <c r="I4" s="3570" t="s">
        <v>2009</v>
      </c>
      <c r="J4" s="3571"/>
      <c r="K4" s="1893" t="s">
        <v>2010</v>
      </c>
      <c r="L4" s="2914"/>
      <c r="M4" s="2915"/>
      <c r="N4" s="2915"/>
      <c r="O4" s="2915"/>
      <c r="P4" s="3574" t="s">
        <v>2011</v>
      </c>
      <c r="Q4" s="3575"/>
      <c r="R4" s="3580" t="s">
        <v>2007</v>
      </c>
      <c r="S4" s="3581"/>
      <c r="T4" s="3580" t="s">
        <v>2008</v>
      </c>
      <c r="U4" s="3581"/>
      <c r="V4" s="3586" t="s">
        <v>2009</v>
      </c>
      <c r="W4" s="3586"/>
      <c r="X4" s="2002"/>
      <c r="Y4" s="3580" t="s">
        <v>2011</v>
      </c>
      <c r="Z4" s="3581"/>
      <c r="AA4" s="3567" t="s">
        <v>2007</v>
      </c>
      <c r="AB4" s="3586" t="s">
        <v>2008</v>
      </c>
      <c r="AC4" s="3567" t="s">
        <v>2009</v>
      </c>
    </row>
    <row r="5" spans="1:29" ht="15">
      <c r="A5" s="1595"/>
      <c r="B5" s="1596"/>
      <c r="C5" s="3589" t="s">
        <v>2012</v>
      </c>
      <c r="D5" s="3564"/>
      <c r="E5" s="3587" t="s">
        <v>3046</v>
      </c>
      <c r="F5" s="3588"/>
      <c r="G5" s="3563" t="s">
        <v>3047</v>
      </c>
      <c r="H5" s="3564"/>
      <c r="I5" s="3563" t="s">
        <v>3047</v>
      </c>
      <c r="J5" s="3564"/>
      <c r="K5" s="1893"/>
      <c r="L5" s="2914"/>
      <c r="M5" s="2915"/>
      <c r="N5" s="2915"/>
      <c r="O5" s="2915"/>
      <c r="P5" s="3576"/>
      <c r="Q5" s="3577"/>
      <c r="R5" s="3582"/>
      <c r="S5" s="3583"/>
      <c r="T5" s="3582"/>
      <c r="U5" s="3583"/>
      <c r="V5" s="3586"/>
      <c r="W5" s="3586"/>
      <c r="X5" s="2002"/>
      <c r="Y5" s="3582"/>
      <c r="Z5" s="3583"/>
      <c r="AA5" s="3568"/>
      <c r="AB5" s="3586"/>
      <c r="AC5" s="3568"/>
    </row>
    <row r="6" spans="1:29" ht="15.75" thickBot="1">
      <c r="A6" s="1598"/>
      <c r="B6" s="1599"/>
      <c r="C6" s="3560" t="s">
        <v>2016</v>
      </c>
      <c r="D6" s="3561"/>
      <c r="E6" s="3558" t="s">
        <v>2016</v>
      </c>
      <c r="F6" s="3559"/>
      <c r="G6" s="3560" t="s">
        <v>2016</v>
      </c>
      <c r="H6" s="3561"/>
      <c r="I6" s="3560" t="s">
        <v>2016</v>
      </c>
      <c r="J6" s="3561"/>
      <c r="K6" s="1893" t="s">
        <v>2017</v>
      </c>
      <c r="L6" s="2914"/>
      <c r="M6" s="2915"/>
      <c r="N6" s="2915"/>
      <c r="O6" s="2915"/>
      <c r="P6" s="3578"/>
      <c r="Q6" s="3579"/>
      <c r="R6" s="3582"/>
      <c r="S6" s="3583"/>
      <c r="T6" s="3584"/>
      <c r="U6" s="3585"/>
      <c r="V6" s="3586"/>
      <c r="W6" s="3586"/>
      <c r="X6" s="2002"/>
      <c r="Y6" s="3584"/>
      <c r="Z6" s="3585"/>
      <c r="AA6" s="3569"/>
      <c r="AB6" s="3586"/>
      <c r="AC6" s="3569"/>
    </row>
    <row r="7" spans="1:29" s="1612" customFormat="1" ht="15.75" thickBot="1">
      <c r="A7" s="1600" t="s">
        <v>2018</v>
      </c>
      <c r="B7" s="1601"/>
      <c r="C7" s="1602">
        <f>'数据-取费表'!B2</f>
        <v>44795</v>
      </c>
      <c r="D7" s="1603">
        <v>100</v>
      </c>
      <c r="E7" s="1604">
        <f>C7</f>
        <v>44795</v>
      </c>
      <c r="F7" s="1605">
        <f>SUMIF(58:58,YEAR(E7)&amp;"-"&amp;MONTH(E7),59:59)</f>
        <v>100</v>
      </c>
      <c r="G7" s="1604">
        <f>C7</f>
        <v>44795</v>
      </c>
      <c r="H7" s="1603">
        <f>SUMIF(58:58,YEAR(G7)&amp;"-"&amp;MONTH(G7),59:59)</f>
        <v>100</v>
      </c>
      <c r="I7" s="1604">
        <f>C7</f>
        <v>44795</v>
      </c>
      <c r="J7" s="1603">
        <f>SUMIF(58:58,YEAR(I7)&amp;"-"&amp;MONTH(I7),59:59)</f>
        <v>100</v>
      </c>
      <c r="K7" s="1895"/>
      <c r="L7" s="2914"/>
      <c r="M7" s="2887"/>
      <c r="N7" s="2887"/>
      <c r="O7" s="2887"/>
      <c r="P7" s="3565" t="s">
        <v>2019</v>
      </c>
      <c r="Q7" s="3590"/>
      <c r="R7" s="1608" t="s">
        <v>25</v>
      </c>
      <c r="S7" s="1609">
        <f t="shared" ref="S7:S15" si="0">F7</f>
        <v>100</v>
      </c>
      <c r="T7" s="1608" t="s">
        <v>25</v>
      </c>
      <c r="U7" s="1609">
        <f t="shared" ref="U7:U15" si="1">H7</f>
        <v>100</v>
      </c>
      <c r="V7" s="1608" t="s">
        <v>25</v>
      </c>
      <c r="W7" s="1609">
        <f t="shared" ref="W7:W15" si="2">J7</f>
        <v>100</v>
      </c>
      <c r="X7" s="1610"/>
      <c r="Y7" s="3565" t="s">
        <v>2019</v>
      </c>
      <c r="Z7" s="3566"/>
      <c r="AA7" s="1611">
        <f>D7/F7</f>
        <v>1</v>
      </c>
      <c r="AB7" s="1611">
        <f>D7/H7</f>
        <v>1</v>
      </c>
      <c r="AC7" s="1611">
        <f>D7/J7</f>
        <v>1</v>
      </c>
    </row>
    <row r="8" spans="1:29" s="1612" customFormat="1" ht="15.75" thickBot="1">
      <c r="A8" s="1600" t="s">
        <v>2020</v>
      </c>
      <c r="B8" s="1601"/>
      <c r="C8" s="1613" t="s">
        <v>2021</v>
      </c>
      <c r="D8" s="1603">
        <v>100</v>
      </c>
      <c r="E8" s="3325" t="s">
        <v>3041</v>
      </c>
      <c r="F8" s="1605">
        <f>SUMIF(61:61,E8,62:62)-SUMIF(61:61,C8,62:62)+100</f>
        <v>100</v>
      </c>
      <c r="G8" s="3325" t="s">
        <v>3042</v>
      </c>
      <c r="H8" s="1603">
        <f>SUMIF(61:61,G8,62:62)-SUMIF(61:61,C8,62:62)+100</f>
        <v>100</v>
      </c>
      <c r="I8" s="3325" t="s">
        <v>3041</v>
      </c>
      <c r="J8" s="1603">
        <f>SUMIF(61:61,I8,62:62)-SUMIF(61:61,C8,62:62)+100</f>
        <v>100</v>
      </c>
      <c r="K8" s="1895"/>
      <c r="L8" s="2914"/>
      <c r="M8" s="2887"/>
      <c r="N8" s="2887"/>
      <c r="O8" s="2887"/>
      <c r="P8" s="3565" t="s">
        <v>2022</v>
      </c>
      <c r="Q8" s="3566"/>
      <c r="R8" s="1608" t="s">
        <v>25</v>
      </c>
      <c r="S8" s="1609">
        <f t="shared" si="0"/>
        <v>100</v>
      </c>
      <c r="T8" s="1608" t="s">
        <v>25</v>
      </c>
      <c r="U8" s="1609">
        <f t="shared" si="1"/>
        <v>100</v>
      </c>
      <c r="V8" s="1608" t="s">
        <v>25</v>
      </c>
      <c r="W8" s="1609">
        <f t="shared" si="2"/>
        <v>100</v>
      </c>
      <c r="X8" s="1610"/>
      <c r="Y8" s="3565" t="s">
        <v>2022</v>
      </c>
      <c r="Z8" s="3566"/>
      <c r="AA8" s="1611">
        <f t="shared" ref="AA8:AA46" si="3">D8/F8</f>
        <v>1</v>
      </c>
      <c r="AB8" s="1611">
        <f t="shared" ref="AB8:AB46" si="4">D8/H8</f>
        <v>1</v>
      </c>
      <c r="AC8" s="1611">
        <f t="shared" ref="AC8:AC46" si="5">D8/J8</f>
        <v>1</v>
      </c>
    </row>
    <row r="9" spans="1:29" s="1612" customFormat="1">
      <c r="A9" s="1994" t="s">
        <v>2023</v>
      </c>
      <c r="B9" s="1615" t="s">
        <v>2024</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562" t="s">
        <v>2025</v>
      </c>
      <c r="Q9" s="1993" t="str">
        <f t="shared" ref="Q9:Q15" si="6">B9</f>
        <v>用途</v>
      </c>
      <c r="R9" s="1608" t="s">
        <v>25</v>
      </c>
      <c r="S9" s="1609">
        <f t="shared" si="0"/>
        <v>100</v>
      </c>
      <c r="T9" s="1608" t="s">
        <v>25</v>
      </c>
      <c r="U9" s="1609">
        <f t="shared" si="1"/>
        <v>100</v>
      </c>
      <c r="V9" s="1608" t="s">
        <v>25</v>
      </c>
      <c r="W9" s="1609">
        <f t="shared" si="2"/>
        <v>100</v>
      </c>
      <c r="X9" s="1610"/>
      <c r="Y9" s="3488" t="s">
        <v>2026</v>
      </c>
      <c r="Z9" s="1621" t="str">
        <f t="shared" ref="Z9:Z15" si="7">Q9</f>
        <v>用途</v>
      </c>
      <c r="AA9" s="1611">
        <f t="shared" si="3"/>
        <v>1</v>
      </c>
      <c r="AB9" s="1611">
        <f t="shared" si="4"/>
        <v>1</v>
      </c>
      <c r="AC9" s="1611">
        <f t="shared" si="5"/>
        <v>1</v>
      </c>
    </row>
    <row r="10" spans="1:29" s="1629" customFormat="1" ht="27">
      <c r="A10" s="1622"/>
      <c r="B10" s="1623" t="s">
        <v>2027</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562"/>
      <c r="Q10" s="1993" t="str">
        <f t="shared" si="6"/>
        <v>土地使用年限（年）</v>
      </c>
      <c r="R10" s="1608" t="s">
        <v>25</v>
      </c>
      <c r="S10" s="1609">
        <f t="shared" si="0"/>
        <v>100</v>
      </c>
      <c r="T10" s="1608" t="s">
        <v>25</v>
      </c>
      <c r="U10" s="1609">
        <f t="shared" si="1"/>
        <v>100</v>
      </c>
      <c r="V10" s="1608" t="s">
        <v>25</v>
      </c>
      <c r="W10" s="1609">
        <f t="shared" si="2"/>
        <v>100</v>
      </c>
      <c r="X10" s="1610"/>
      <c r="Y10" s="3488"/>
      <c r="Z10" s="1621" t="str">
        <f t="shared" si="7"/>
        <v>土地使用年限（年）</v>
      </c>
      <c r="AA10" s="1611">
        <f t="shared" si="3"/>
        <v>1</v>
      </c>
      <c r="AB10" s="1611">
        <f t="shared" si="4"/>
        <v>1</v>
      </c>
      <c r="AC10" s="1611">
        <f t="shared" si="5"/>
        <v>1</v>
      </c>
    </row>
    <row r="11" spans="1:29" ht="15">
      <c r="A11" s="1630"/>
      <c r="B11" s="1623" t="s">
        <v>2028</v>
      </c>
      <c r="C11" s="1631"/>
      <c r="D11" s="1625">
        <v>100</v>
      </c>
      <c r="E11" s="1632"/>
      <c r="F11" s="1627">
        <f>LOOKUP(E11,68:68,69:69)-LOOKUP(C11,68:68,69:69)+100</f>
        <v>100</v>
      </c>
      <c r="G11" s="1631"/>
      <c r="H11" s="1625">
        <f>LOOKUP(G11,68:68,69:69)-LOOKUP(C11,68:68,69:69)+100</f>
        <v>100</v>
      </c>
      <c r="I11" s="1631"/>
      <c r="J11" s="1625">
        <f>LOOKUP(I11,68:68,69:69)-LOOKUP(C11,68:68,69:69)+100</f>
        <v>100</v>
      </c>
      <c r="K11" s="1920"/>
      <c r="L11" s="2918"/>
      <c r="M11" s="2915"/>
      <c r="N11" s="2915"/>
      <c r="O11" s="2915"/>
      <c r="P11" s="3562"/>
      <c r="Q11" s="1993" t="str">
        <f t="shared" si="6"/>
        <v>容积率</v>
      </c>
      <c r="R11" s="1608" t="s">
        <v>25</v>
      </c>
      <c r="S11" s="1609">
        <f t="shared" si="0"/>
        <v>100</v>
      </c>
      <c r="T11" s="1608" t="s">
        <v>25</v>
      </c>
      <c r="U11" s="1609">
        <f t="shared" si="1"/>
        <v>100</v>
      </c>
      <c r="V11" s="1608" t="s">
        <v>25</v>
      </c>
      <c r="W11" s="1609">
        <f t="shared" si="2"/>
        <v>100</v>
      </c>
      <c r="X11" s="1610"/>
      <c r="Y11" s="3488"/>
      <c r="Z11" s="1621" t="str">
        <f t="shared" si="7"/>
        <v>容积率</v>
      </c>
      <c r="AA11" s="1611">
        <f t="shared" si="3"/>
        <v>1</v>
      </c>
      <c r="AB11" s="1611">
        <f t="shared" si="4"/>
        <v>1</v>
      </c>
      <c r="AC11" s="1611">
        <f t="shared" si="5"/>
        <v>1</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562"/>
      <c r="Q12" s="1993">
        <f t="shared" si="6"/>
        <v>111</v>
      </c>
      <c r="R12" s="1608" t="s">
        <v>25</v>
      </c>
      <c r="S12" s="1609">
        <f t="shared" si="0"/>
        <v>100</v>
      </c>
      <c r="T12" s="1608" t="s">
        <v>25</v>
      </c>
      <c r="U12" s="1609">
        <f t="shared" si="1"/>
        <v>100</v>
      </c>
      <c r="V12" s="1608" t="s">
        <v>25</v>
      </c>
      <c r="W12" s="1609">
        <f t="shared" si="2"/>
        <v>100</v>
      </c>
      <c r="X12" s="1610"/>
      <c r="Y12" s="3488"/>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562"/>
      <c r="Q13" s="1993">
        <f t="shared" si="6"/>
        <v>111</v>
      </c>
      <c r="R13" s="1608" t="s">
        <v>25</v>
      </c>
      <c r="S13" s="1609">
        <f t="shared" si="0"/>
        <v>100</v>
      </c>
      <c r="T13" s="1608" t="s">
        <v>25</v>
      </c>
      <c r="U13" s="1609">
        <f t="shared" si="1"/>
        <v>100</v>
      </c>
      <c r="V13" s="1608" t="s">
        <v>25</v>
      </c>
      <c r="W13" s="1609">
        <f t="shared" si="2"/>
        <v>100</v>
      </c>
      <c r="X13" s="1610"/>
      <c r="Y13" s="3488"/>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562"/>
      <c r="Q14" s="1993">
        <f t="shared" si="6"/>
        <v>111</v>
      </c>
      <c r="R14" s="1608" t="s">
        <v>25</v>
      </c>
      <c r="S14" s="1609">
        <f t="shared" si="0"/>
        <v>100</v>
      </c>
      <c r="T14" s="1608" t="s">
        <v>25</v>
      </c>
      <c r="U14" s="1609">
        <f t="shared" si="1"/>
        <v>100</v>
      </c>
      <c r="V14" s="1608" t="s">
        <v>25</v>
      </c>
      <c r="W14" s="1609">
        <f t="shared" si="2"/>
        <v>100</v>
      </c>
      <c r="X14" s="1610"/>
      <c r="Y14" s="3488"/>
      <c r="Z14" s="1621">
        <f t="shared" si="7"/>
        <v>111</v>
      </c>
      <c r="AA14" s="1611">
        <f t="shared" si="3"/>
        <v>1</v>
      </c>
      <c r="AB14" s="1611">
        <f t="shared" si="4"/>
        <v>1</v>
      </c>
      <c r="AC14" s="1611">
        <f t="shared" si="5"/>
        <v>1</v>
      </c>
    </row>
    <row r="15" spans="1:29" ht="71.25">
      <c r="A15" s="1645" t="s">
        <v>2029</v>
      </c>
      <c r="B15" s="1646" t="s">
        <v>2115</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591" t="s">
        <v>2030</v>
      </c>
      <c r="Q15" s="1999" t="str">
        <f t="shared" si="6"/>
        <v>商业繁华度</v>
      </c>
      <c r="R15" s="1653" t="s">
        <v>25</v>
      </c>
      <c r="S15" s="1654">
        <f t="shared" si="0"/>
        <v>100</v>
      </c>
      <c r="T15" s="1653" t="s">
        <v>25</v>
      </c>
      <c r="U15" s="1654">
        <f t="shared" si="1"/>
        <v>100</v>
      </c>
      <c r="V15" s="1653" t="s">
        <v>25</v>
      </c>
      <c r="W15" s="1654">
        <f t="shared" si="2"/>
        <v>100</v>
      </c>
      <c r="X15" s="2002"/>
      <c r="Y15" s="3593" t="s">
        <v>2030</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592"/>
      <c r="Q16" s="1999"/>
      <c r="R16" s="1653"/>
      <c r="S16" s="1654"/>
      <c r="T16" s="1653"/>
      <c r="U16" s="1654"/>
      <c r="V16" s="1653"/>
      <c r="W16" s="1654"/>
      <c r="X16" s="2002"/>
      <c r="Y16" s="3594"/>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592"/>
      <c r="Q17" s="1999" t="str">
        <f>B17</f>
        <v>交通便捷度</v>
      </c>
      <c r="R17" s="1653" t="s">
        <v>25</v>
      </c>
      <c r="S17" s="1654">
        <f>F17</f>
        <v>100</v>
      </c>
      <c r="T17" s="1653" t="s">
        <v>25</v>
      </c>
      <c r="U17" s="1654">
        <f>H17</f>
        <v>100</v>
      </c>
      <c r="V17" s="1653" t="s">
        <v>25</v>
      </c>
      <c r="W17" s="1654">
        <f>J17</f>
        <v>100</v>
      </c>
      <c r="X17" s="2002"/>
      <c r="Y17" s="3594"/>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592"/>
      <c r="Q18" s="1999"/>
      <c r="R18" s="1653"/>
      <c r="S18" s="1654"/>
      <c r="T18" s="1653"/>
      <c r="U18" s="1654"/>
      <c r="V18" s="1653"/>
      <c r="W18" s="1654"/>
      <c r="X18" s="2002"/>
      <c r="Y18" s="3594"/>
      <c r="Z18" s="2006"/>
      <c r="AA18" s="1997">
        <v>1</v>
      </c>
      <c r="AB18" s="1997">
        <v>1</v>
      </c>
      <c r="AC18" s="1997">
        <v>1</v>
      </c>
    </row>
    <row r="19" spans="1:29" ht="42.75">
      <c r="A19" s="1630"/>
      <c r="B19" s="1665" t="s">
        <v>2116</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592"/>
      <c r="Q19" s="1999" t="str">
        <f>B19</f>
        <v>公共配套设施</v>
      </c>
      <c r="R19" s="1653" t="s">
        <v>25</v>
      </c>
      <c r="S19" s="1654">
        <f>F19</f>
        <v>100</v>
      </c>
      <c r="T19" s="1653" t="s">
        <v>25</v>
      </c>
      <c r="U19" s="1654">
        <f>H19</f>
        <v>100</v>
      </c>
      <c r="V19" s="1653" t="s">
        <v>25</v>
      </c>
      <c r="W19" s="1654">
        <f>J19</f>
        <v>100</v>
      </c>
      <c r="X19" s="2002"/>
      <c r="Y19" s="3594"/>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592"/>
      <c r="Q20" s="1999"/>
      <c r="R20" s="1653"/>
      <c r="S20" s="1654"/>
      <c r="T20" s="1653"/>
      <c r="U20" s="1654"/>
      <c r="V20" s="1653"/>
      <c r="W20" s="1654"/>
      <c r="X20" s="2002"/>
      <c r="Y20" s="3594"/>
      <c r="Z20" s="2006"/>
      <c r="AA20" s="1997">
        <v>1</v>
      </c>
      <c r="AB20" s="1997">
        <v>1</v>
      </c>
      <c r="AC20" s="1997">
        <v>1</v>
      </c>
    </row>
    <row r="21" spans="1:29" ht="28.5">
      <c r="A21" s="1630"/>
      <c r="B21" s="1678" t="s">
        <v>2117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592"/>
      <c r="Q21" s="1999" t="str">
        <f>B21</f>
        <v>基础设施水平</v>
      </c>
      <c r="R21" s="1653" t="s">
        <v>25</v>
      </c>
      <c r="S21" s="1654">
        <f>F21</f>
        <v>100</v>
      </c>
      <c r="T21" s="1653" t="s">
        <v>25</v>
      </c>
      <c r="U21" s="1654">
        <f>H21</f>
        <v>100</v>
      </c>
      <c r="V21" s="1653" t="s">
        <v>25</v>
      </c>
      <c r="W21" s="1654">
        <f>J21</f>
        <v>100</v>
      </c>
      <c r="X21" s="2002"/>
      <c r="Y21" s="3594"/>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592"/>
      <c r="Q22" s="1999"/>
      <c r="R22" s="1653"/>
      <c r="S22" s="1654"/>
      <c r="T22" s="1653"/>
      <c r="U22" s="1654"/>
      <c r="V22" s="1653"/>
      <c r="W22" s="1654"/>
      <c r="X22" s="2002"/>
      <c r="Y22" s="3594"/>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592"/>
      <c r="Q23" s="1999" t="str">
        <f>B23</f>
        <v>自然及人文环境</v>
      </c>
      <c r="R23" s="1653" t="s">
        <v>25</v>
      </c>
      <c r="S23" s="1654">
        <f>F23</f>
        <v>100</v>
      </c>
      <c r="T23" s="1653" t="s">
        <v>25</v>
      </c>
      <c r="U23" s="1654">
        <f>H23</f>
        <v>100</v>
      </c>
      <c r="V23" s="1653" t="s">
        <v>25</v>
      </c>
      <c r="W23" s="1654">
        <f>J23</f>
        <v>100</v>
      </c>
      <c r="X23" s="2002"/>
      <c r="Y23" s="3594"/>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592"/>
      <c r="Q24" s="1999"/>
      <c r="R24" s="1653"/>
      <c r="S24" s="1654"/>
      <c r="T24" s="1653"/>
      <c r="U24" s="1654"/>
      <c r="V24" s="1653"/>
      <c r="W24" s="1654"/>
      <c r="X24" s="2002"/>
      <c r="Y24" s="3594"/>
      <c r="Z24" s="2006"/>
      <c r="AA24" s="1997">
        <v>1</v>
      </c>
      <c r="AB24" s="1997">
        <v>1</v>
      </c>
      <c r="AC24" s="1997">
        <v>1</v>
      </c>
    </row>
    <row r="25" spans="1:29" ht="15">
      <c r="A25" s="1630"/>
      <c r="B25" s="1623" t="s">
        <v>2118</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592"/>
      <c r="Q25" s="1999" t="str">
        <f t="shared" ref="Q25:Q46" si="11">B25</f>
        <v>临街状况</v>
      </c>
      <c r="R25" s="1653" t="s">
        <v>25</v>
      </c>
      <c r="S25" s="1654">
        <f>F25</f>
        <v>100</v>
      </c>
      <c r="T25" s="1653" t="s">
        <v>25</v>
      </c>
      <c r="U25" s="1654">
        <f>H25</f>
        <v>100</v>
      </c>
      <c r="V25" s="1653" t="s">
        <v>25</v>
      </c>
      <c r="W25" s="1654">
        <f>J25</f>
        <v>100</v>
      </c>
      <c r="X25" s="2002"/>
      <c r="Y25" s="3594"/>
      <c r="Z25" s="2006" t="str">
        <f>Q25</f>
        <v>临街状况</v>
      </c>
      <c r="AA25" s="1997">
        <f t="shared" si="3"/>
        <v>1</v>
      </c>
      <c r="AB25" s="1997">
        <f t="shared" si="4"/>
        <v>1</v>
      </c>
      <c r="AC25" s="1997">
        <f t="shared" si="5"/>
        <v>1</v>
      </c>
    </row>
    <row r="26" spans="1:29" ht="15">
      <c r="A26" s="1630"/>
      <c r="B26" s="1688" t="s">
        <v>2119</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592"/>
      <c r="Q26" s="1999" t="str">
        <f t="shared" si="11"/>
        <v>平面位置/可视性</v>
      </c>
      <c r="R26" s="1653" t="s">
        <v>25</v>
      </c>
      <c r="S26" s="1654">
        <f>F26</f>
        <v>100</v>
      </c>
      <c r="T26" s="1653" t="s">
        <v>25</v>
      </c>
      <c r="U26" s="1654">
        <f>H26</f>
        <v>100</v>
      </c>
      <c r="V26" s="1653" t="s">
        <v>25</v>
      </c>
      <c r="W26" s="1654">
        <f>J26</f>
        <v>100</v>
      </c>
      <c r="X26" s="2002"/>
      <c r="Y26" s="3594"/>
      <c r="Z26" s="2006" t="str">
        <f>Q26</f>
        <v>平面位置/可视性</v>
      </c>
      <c r="AA26" s="1997">
        <f t="shared" si="3"/>
        <v>1</v>
      </c>
      <c r="AB26" s="1997">
        <f t="shared" si="4"/>
        <v>1</v>
      </c>
      <c r="AC26" s="1997">
        <f t="shared" si="5"/>
        <v>1</v>
      </c>
    </row>
    <row r="27" spans="1:29" s="1612" customFormat="1" ht="15">
      <c r="A27" s="1633"/>
      <c r="B27" s="1665" t="s">
        <v>2120</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592"/>
      <c r="Q27" s="1993" t="str">
        <f t="shared" si="11"/>
        <v>人流量</v>
      </c>
      <c r="R27" s="1608" t="s">
        <v>25</v>
      </c>
      <c r="S27" s="1609">
        <f>F27</f>
        <v>100</v>
      </c>
      <c r="T27" s="1608" t="s">
        <v>25</v>
      </c>
      <c r="U27" s="1609">
        <f>H27</f>
        <v>100</v>
      </c>
      <c r="V27" s="1608" t="s">
        <v>25</v>
      </c>
      <c r="W27" s="1609">
        <f>J27</f>
        <v>100</v>
      </c>
      <c r="X27" s="1610"/>
      <c r="Y27" s="3594"/>
      <c r="Z27" s="1621" t="str">
        <f>Q27</f>
        <v>人流量</v>
      </c>
      <c r="AA27" s="1997">
        <f>D27/F27</f>
        <v>1</v>
      </c>
      <c r="AB27" s="1997">
        <f>D27/H27</f>
        <v>1</v>
      </c>
      <c r="AC27" s="1997">
        <f>D27/J27</f>
        <v>1</v>
      </c>
    </row>
    <row r="28" spans="1:29" ht="15">
      <c r="A28" s="1630"/>
      <c r="B28" s="1623" t="s">
        <v>2121</v>
      </c>
      <c r="C28" s="1919">
        <v>1</v>
      </c>
      <c r="D28" s="1639">
        <v>100</v>
      </c>
      <c r="E28" s="1919">
        <v>1</v>
      </c>
      <c r="F28" s="1682">
        <f>SUMIF(92:92,E28,93:93)-SUMIF(92:92,C28,93:93)+100</f>
        <v>100</v>
      </c>
      <c r="G28" s="1919">
        <v>1</v>
      </c>
      <c r="H28" s="1639">
        <f>SUMIF(92:92,G28,93:93)-SUMIF(92:92,C28,93:93)+100</f>
        <v>100</v>
      </c>
      <c r="I28" s="1919">
        <v>1</v>
      </c>
      <c r="J28" s="1639">
        <f>SUMIF(92:92,I28,93:93)-SUMIF(92:92,C28,93:93)+100</f>
        <v>100</v>
      </c>
      <c r="K28" s="1917"/>
      <c r="L28" s="2919"/>
      <c r="M28" s="2915"/>
      <c r="N28" s="2915"/>
      <c r="O28" s="2915"/>
      <c r="P28" s="3592"/>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594"/>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592"/>
      <c r="Q29" s="1999">
        <f t="shared" si="11"/>
        <v>111</v>
      </c>
      <c r="R29" s="1653" t="s">
        <v>25</v>
      </c>
      <c r="S29" s="1654">
        <f t="shared" si="12"/>
        <v>100</v>
      </c>
      <c r="T29" s="1653" t="s">
        <v>25</v>
      </c>
      <c r="U29" s="1654">
        <f t="shared" si="13"/>
        <v>100</v>
      </c>
      <c r="V29" s="1653" t="s">
        <v>25</v>
      </c>
      <c r="W29" s="1654">
        <f t="shared" si="14"/>
        <v>100</v>
      </c>
      <c r="X29" s="2002"/>
      <c r="Y29" s="3594"/>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592"/>
      <c r="Q30" s="1999">
        <f t="shared" si="11"/>
        <v>111</v>
      </c>
      <c r="R30" s="1653" t="s">
        <v>25</v>
      </c>
      <c r="S30" s="1654">
        <f t="shared" si="12"/>
        <v>100</v>
      </c>
      <c r="T30" s="1653" t="s">
        <v>25</v>
      </c>
      <c r="U30" s="1654">
        <f t="shared" si="13"/>
        <v>100</v>
      </c>
      <c r="V30" s="1653" t="s">
        <v>25</v>
      </c>
      <c r="W30" s="1654">
        <f t="shared" si="14"/>
        <v>100</v>
      </c>
      <c r="X30" s="2002"/>
      <c r="Y30" s="3594"/>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592"/>
      <c r="Q31" s="1999">
        <f t="shared" si="11"/>
        <v>111</v>
      </c>
      <c r="R31" s="1653" t="s">
        <v>25</v>
      </c>
      <c r="S31" s="1654">
        <f t="shared" si="12"/>
        <v>100</v>
      </c>
      <c r="T31" s="1653" t="s">
        <v>25</v>
      </c>
      <c r="U31" s="1654">
        <f t="shared" si="13"/>
        <v>100</v>
      </c>
      <c r="V31" s="1653" t="s">
        <v>25</v>
      </c>
      <c r="W31" s="1654">
        <f t="shared" si="14"/>
        <v>100</v>
      </c>
      <c r="X31" s="2002"/>
      <c r="Y31" s="3594"/>
      <c r="Z31" s="2006">
        <f t="shared" si="15"/>
        <v>111</v>
      </c>
      <c r="AA31" s="1997">
        <f t="shared" si="3"/>
        <v>1</v>
      </c>
      <c r="AB31" s="1997">
        <f t="shared" si="4"/>
        <v>1</v>
      </c>
      <c r="AC31" s="1997">
        <f t="shared" si="5"/>
        <v>1</v>
      </c>
    </row>
    <row r="32" spans="1:29" ht="15">
      <c r="A32" s="1645" t="s">
        <v>2034</v>
      </c>
      <c r="B32" s="1615" t="s">
        <v>2122</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595" t="s">
        <v>2036</v>
      </c>
      <c r="Q32" s="1999" t="str">
        <f t="shared" si="11"/>
        <v>商业类型</v>
      </c>
      <c r="R32" s="1653" t="s">
        <v>25</v>
      </c>
      <c r="S32" s="1654">
        <f t="shared" si="12"/>
        <v>100</v>
      </c>
      <c r="T32" s="1653" t="s">
        <v>25</v>
      </c>
      <c r="U32" s="1654">
        <f t="shared" si="13"/>
        <v>100</v>
      </c>
      <c r="V32" s="1653" t="s">
        <v>25</v>
      </c>
      <c r="W32" s="1654">
        <f t="shared" si="14"/>
        <v>100</v>
      </c>
      <c r="X32" s="2002"/>
      <c r="Y32" s="3598" t="s">
        <v>2036</v>
      </c>
      <c r="Z32" s="2006" t="str">
        <f t="shared" si="15"/>
        <v>商业类型</v>
      </c>
      <c r="AA32" s="1997">
        <f t="shared" si="3"/>
        <v>1</v>
      </c>
      <c r="AB32" s="1997">
        <f t="shared" si="4"/>
        <v>1</v>
      </c>
      <c r="AC32" s="1997">
        <f t="shared" si="5"/>
        <v>1</v>
      </c>
    </row>
    <row r="33" spans="1:29" s="1699" customFormat="1" ht="15">
      <c r="A33" s="1692"/>
      <c r="B33" s="1623" t="s">
        <v>2037</v>
      </c>
      <c r="C33" s="1693">
        <f>D3</f>
        <v>122.45</v>
      </c>
      <c r="D33" s="1625">
        <v>100</v>
      </c>
      <c r="E33" s="1632">
        <f>Sheet1!D146</f>
        <v>295</v>
      </c>
      <c r="F33" s="1627">
        <f>LOOKUP(E33,103:103,104:104)-LOOKUP(C33,103:103,104:104)+100</f>
        <v>99</v>
      </c>
      <c r="G33" s="1631">
        <f>Sheet1!D147</f>
        <v>302</v>
      </c>
      <c r="H33" s="1625">
        <f>LOOKUP(G33,103:103,104:104)-LOOKUP(C33,103:103,104:104)+100</f>
        <v>98</v>
      </c>
      <c r="I33" s="1631">
        <f>Sheet1!D148</f>
        <v>318.60000000000002</v>
      </c>
      <c r="J33" s="1625">
        <f>LOOKUP(I33,103:103,104:104)-LOOKUP(C33,103:103,104:104)+100</f>
        <v>98</v>
      </c>
      <c r="K33" s="1917"/>
      <c r="L33" s="2918"/>
      <c r="M33" s="1987"/>
      <c r="N33" s="1987"/>
      <c r="O33" s="1987"/>
      <c r="P33" s="3596"/>
      <c r="Q33" s="1694" t="str">
        <f t="shared" si="11"/>
        <v>项目建筑规模</v>
      </c>
      <c r="R33" s="1695" t="s">
        <v>25</v>
      </c>
      <c r="S33" s="1696">
        <f t="shared" si="12"/>
        <v>99</v>
      </c>
      <c r="T33" s="1695" t="s">
        <v>25</v>
      </c>
      <c r="U33" s="1696">
        <f t="shared" si="13"/>
        <v>98</v>
      </c>
      <c r="V33" s="1695" t="s">
        <v>25</v>
      </c>
      <c r="W33" s="1696">
        <f t="shared" si="14"/>
        <v>98</v>
      </c>
      <c r="X33" s="1697"/>
      <c r="Y33" s="3598"/>
      <c r="Z33" s="1698" t="str">
        <f t="shared" si="15"/>
        <v>项目建筑规模</v>
      </c>
      <c r="AA33" s="1997">
        <f t="shared" si="3"/>
        <v>1.0101010101010102</v>
      </c>
      <c r="AB33" s="1997">
        <f t="shared" si="4"/>
        <v>1.0204081632653061</v>
      </c>
      <c r="AC33" s="1997">
        <f t="shared" si="5"/>
        <v>1.0204081632653061</v>
      </c>
    </row>
    <row r="34" spans="1:29" ht="15">
      <c r="A34" s="1700"/>
      <c r="B34" s="1623" t="s">
        <v>2038</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596"/>
      <c r="Q34" s="1999" t="str">
        <f t="shared" si="11"/>
        <v>建筑结构</v>
      </c>
      <c r="R34" s="1653" t="s">
        <v>25</v>
      </c>
      <c r="S34" s="1654">
        <f t="shared" si="12"/>
        <v>100</v>
      </c>
      <c r="T34" s="1653" t="s">
        <v>25</v>
      </c>
      <c r="U34" s="1654">
        <f t="shared" si="13"/>
        <v>100</v>
      </c>
      <c r="V34" s="1653" t="s">
        <v>25</v>
      </c>
      <c r="W34" s="1654">
        <f t="shared" si="14"/>
        <v>100</v>
      </c>
      <c r="X34" s="2002"/>
      <c r="Y34" s="3598"/>
      <c r="Z34" s="2006" t="str">
        <f t="shared" si="15"/>
        <v>建筑结构</v>
      </c>
      <c r="AA34" s="1997">
        <f t="shared" si="3"/>
        <v>1</v>
      </c>
      <c r="AB34" s="1997">
        <f t="shared" si="4"/>
        <v>1</v>
      </c>
      <c r="AC34" s="1997">
        <f t="shared" si="5"/>
        <v>1</v>
      </c>
    </row>
    <row r="35" spans="1:29" ht="15">
      <c r="A35" s="1700"/>
      <c r="B35" s="1623" t="s">
        <v>2123</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596"/>
      <c r="Q35" s="1999" t="str">
        <f t="shared" si="11"/>
        <v>公共部分装修</v>
      </c>
      <c r="R35" s="1653" t="s">
        <v>25</v>
      </c>
      <c r="S35" s="1654">
        <f t="shared" si="12"/>
        <v>100</v>
      </c>
      <c r="T35" s="1653" t="s">
        <v>25</v>
      </c>
      <c r="U35" s="1654">
        <f t="shared" si="13"/>
        <v>100</v>
      </c>
      <c r="V35" s="1653" t="s">
        <v>25</v>
      </c>
      <c r="W35" s="1654">
        <f t="shared" si="14"/>
        <v>100</v>
      </c>
      <c r="X35" s="2002"/>
      <c r="Y35" s="3598"/>
      <c r="Z35" s="2006" t="str">
        <f t="shared" si="15"/>
        <v>公共部分装修</v>
      </c>
      <c r="AA35" s="1997">
        <f t="shared" si="3"/>
        <v>1</v>
      </c>
      <c r="AB35" s="1997">
        <f t="shared" si="4"/>
        <v>1</v>
      </c>
      <c r="AC35" s="1997">
        <f t="shared" si="5"/>
        <v>1</v>
      </c>
    </row>
    <row r="36" spans="1:29" ht="15">
      <c r="A36" s="1700"/>
      <c r="B36" s="1623" t="s">
        <v>2124</v>
      </c>
      <c r="C36" s="1704">
        <v>0.75</v>
      </c>
      <c r="D36" s="1639">
        <v>100</v>
      </c>
      <c r="E36" s="1704">
        <v>0.75</v>
      </c>
      <c r="F36" s="1682">
        <f>LOOKUP(E36,110:110,111:111)-LOOKUP(C36,110:110,111:111)+100</f>
        <v>100</v>
      </c>
      <c r="G36" s="1704">
        <v>0.75</v>
      </c>
      <c r="H36" s="1682">
        <f>LOOKUP(G36,110:110,111:111)-LOOKUP(C36,110:110,111:111)+100</f>
        <v>100</v>
      </c>
      <c r="I36" s="1704">
        <v>0.75</v>
      </c>
      <c r="J36" s="1639">
        <f>LOOKUP(I36,110:110,111:111)-LOOKUP(C36,110:110,111:111)+100</f>
        <v>100</v>
      </c>
      <c r="K36" s="1920"/>
      <c r="L36" s="2919"/>
      <c r="M36" s="2915"/>
      <c r="N36" s="2915"/>
      <c r="O36" s="2915"/>
      <c r="P36" s="3596"/>
      <c r="Q36" s="1999" t="str">
        <f t="shared" si="11"/>
        <v>成新度</v>
      </c>
      <c r="R36" s="1653" t="s">
        <v>25</v>
      </c>
      <c r="S36" s="1654">
        <f t="shared" si="12"/>
        <v>100</v>
      </c>
      <c r="T36" s="1653" t="s">
        <v>25</v>
      </c>
      <c r="U36" s="1654">
        <f t="shared" si="13"/>
        <v>100</v>
      </c>
      <c r="V36" s="1653" t="s">
        <v>25</v>
      </c>
      <c r="W36" s="1654">
        <f t="shared" si="14"/>
        <v>100</v>
      </c>
      <c r="X36" s="2002"/>
      <c r="Y36" s="3598"/>
      <c r="Z36" s="2006" t="str">
        <f t="shared" si="15"/>
        <v>成新度</v>
      </c>
      <c r="AA36" s="1997">
        <f t="shared" si="3"/>
        <v>1</v>
      </c>
      <c r="AB36" s="1997">
        <f t="shared" si="4"/>
        <v>1</v>
      </c>
      <c r="AC36" s="1997">
        <f t="shared" si="5"/>
        <v>1</v>
      </c>
    </row>
    <row r="37" spans="1:29" s="1612" customFormat="1" ht="15">
      <c r="A37" s="1703"/>
      <c r="B37" s="1623" t="s">
        <v>2125</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596"/>
      <c r="Q37" s="1993" t="str">
        <f t="shared" si="11"/>
        <v>市政基础设施</v>
      </c>
      <c r="R37" s="1608" t="s">
        <v>25</v>
      </c>
      <c r="S37" s="1609">
        <f t="shared" si="12"/>
        <v>100</v>
      </c>
      <c r="T37" s="1608" t="s">
        <v>25</v>
      </c>
      <c r="U37" s="1609">
        <f t="shared" si="13"/>
        <v>100</v>
      </c>
      <c r="V37" s="1608" t="s">
        <v>25</v>
      </c>
      <c r="W37" s="1609">
        <f t="shared" si="14"/>
        <v>100</v>
      </c>
      <c r="X37" s="1610"/>
      <c r="Y37" s="3598"/>
      <c r="Z37" s="1621" t="str">
        <f t="shared" si="15"/>
        <v>市政基础设施</v>
      </c>
      <c r="AA37" s="1611">
        <f t="shared" si="3"/>
        <v>1</v>
      </c>
      <c r="AB37" s="1611">
        <f t="shared" si="4"/>
        <v>1</v>
      </c>
      <c r="AC37" s="1611">
        <f t="shared" si="5"/>
        <v>1</v>
      </c>
    </row>
    <row r="38" spans="1:29" ht="15">
      <c r="A38" s="1700"/>
      <c r="B38" s="1623" t="s">
        <v>2126</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596" t="s">
        <v>2036</v>
      </c>
      <c r="Q38" s="1999" t="str">
        <f t="shared" si="11"/>
        <v>业态</v>
      </c>
      <c r="R38" s="1653" t="s">
        <v>25</v>
      </c>
      <c r="S38" s="1654">
        <f t="shared" si="12"/>
        <v>100</v>
      </c>
      <c r="T38" s="1653" t="s">
        <v>25</v>
      </c>
      <c r="U38" s="1654">
        <f t="shared" si="13"/>
        <v>100</v>
      </c>
      <c r="V38" s="1653" t="s">
        <v>25</v>
      </c>
      <c r="W38" s="1654">
        <f t="shared" si="14"/>
        <v>100</v>
      </c>
      <c r="X38" s="2002"/>
      <c r="Y38" s="3598" t="s">
        <v>2036</v>
      </c>
      <c r="Z38" s="2006" t="str">
        <f t="shared" si="15"/>
        <v>业态</v>
      </c>
      <c r="AA38" s="1997">
        <f t="shared" si="3"/>
        <v>1</v>
      </c>
      <c r="AB38" s="1997">
        <f t="shared" si="4"/>
        <v>1</v>
      </c>
      <c r="AC38" s="1997">
        <f t="shared" si="5"/>
        <v>1</v>
      </c>
    </row>
    <row r="39" spans="1:29" ht="15">
      <c r="A39" s="1700"/>
      <c r="B39" s="1623" t="s">
        <v>2127</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596"/>
      <c r="Q39" s="1999" t="str">
        <f t="shared" si="11"/>
        <v>层高</v>
      </c>
      <c r="R39" s="1653" t="s">
        <v>25</v>
      </c>
      <c r="S39" s="1654">
        <f t="shared" si="12"/>
        <v>100</v>
      </c>
      <c r="T39" s="1653" t="s">
        <v>25</v>
      </c>
      <c r="U39" s="1654">
        <f t="shared" si="13"/>
        <v>100</v>
      </c>
      <c r="V39" s="1653" t="s">
        <v>25</v>
      </c>
      <c r="W39" s="1654">
        <f t="shared" si="14"/>
        <v>100</v>
      </c>
      <c r="X39" s="2002"/>
      <c r="Y39" s="3598"/>
      <c r="Z39" s="2006" t="str">
        <f t="shared" si="15"/>
        <v>层高</v>
      </c>
      <c r="AA39" s="1997">
        <f t="shared" si="3"/>
        <v>1</v>
      </c>
      <c r="AB39" s="1997">
        <f t="shared" si="4"/>
        <v>1</v>
      </c>
      <c r="AC39" s="1997">
        <f t="shared" si="5"/>
        <v>1</v>
      </c>
    </row>
    <row r="40" spans="1:29" ht="15">
      <c r="A40" s="1700"/>
      <c r="B40" s="1623" t="s">
        <v>2128</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596"/>
      <c r="Q40" s="1999" t="str">
        <f t="shared" si="11"/>
        <v>单套建筑面积</v>
      </c>
      <c r="R40" s="1653" t="s">
        <v>25</v>
      </c>
      <c r="S40" s="1654">
        <f t="shared" si="12"/>
        <v>100</v>
      </c>
      <c r="T40" s="1653" t="s">
        <v>25</v>
      </c>
      <c r="U40" s="1654">
        <f t="shared" si="13"/>
        <v>100</v>
      </c>
      <c r="V40" s="1653" t="s">
        <v>25</v>
      </c>
      <c r="W40" s="1654">
        <f t="shared" si="14"/>
        <v>100</v>
      </c>
      <c r="X40" s="2002"/>
      <c r="Y40" s="3598"/>
      <c r="Z40" s="2006" t="str">
        <f t="shared" si="15"/>
        <v>单套建筑面积</v>
      </c>
      <c r="AA40" s="1997">
        <f t="shared" si="3"/>
        <v>1</v>
      </c>
      <c r="AB40" s="1997">
        <f t="shared" si="4"/>
        <v>1</v>
      </c>
      <c r="AC40" s="1997">
        <f t="shared" si="5"/>
        <v>1</v>
      </c>
    </row>
    <row r="41" spans="1:29" s="1699" customFormat="1" ht="15">
      <c r="A41" s="1692"/>
      <c r="B41" s="1998" t="s">
        <v>2129</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596"/>
      <c r="Q41" s="1694" t="str">
        <f t="shared" si="11"/>
        <v>进深比</v>
      </c>
      <c r="R41" s="1695" t="s">
        <v>25</v>
      </c>
      <c r="S41" s="1696">
        <f t="shared" si="12"/>
        <v>100</v>
      </c>
      <c r="T41" s="1695" t="s">
        <v>25</v>
      </c>
      <c r="U41" s="1696">
        <f t="shared" si="13"/>
        <v>100</v>
      </c>
      <c r="V41" s="1695" t="s">
        <v>25</v>
      </c>
      <c r="W41" s="1696">
        <f t="shared" si="14"/>
        <v>100</v>
      </c>
      <c r="X41" s="1697"/>
      <c r="Y41" s="3598"/>
      <c r="Z41" s="1698" t="str">
        <f t="shared" si="15"/>
        <v>进深比</v>
      </c>
      <c r="AA41" s="1997">
        <f t="shared" si="3"/>
        <v>1</v>
      </c>
      <c r="AB41" s="1997">
        <f t="shared" si="4"/>
        <v>1</v>
      </c>
      <c r="AC41" s="1997">
        <f t="shared" si="5"/>
        <v>1</v>
      </c>
    </row>
    <row r="42" spans="1:29" ht="15">
      <c r="A42" s="1700"/>
      <c r="B42" s="1623" t="s">
        <v>2130</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596"/>
      <c r="Q42" s="1999" t="str">
        <f t="shared" si="11"/>
        <v>内部装修</v>
      </c>
      <c r="R42" s="1653" t="s">
        <v>25</v>
      </c>
      <c r="S42" s="1654">
        <f t="shared" si="12"/>
        <v>100</v>
      </c>
      <c r="T42" s="1653" t="s">
        <v>25</v>
      </c>
      <c r="U42" s="1654">
        <f t="shared" si="13"/>
        <v>100</v>
      </c>
      <c r="V42" s="1653" t="s">
        <v>25</v>
      </c>
      <c r="W42" s="1654">
        <f t="shared" si="14"/>
        <v>100</v>
      </c>
      <c r="X42" s="2002"/>
      <c r="Y42" s="3598"/>
      <c r="Z42" s="2006" t="str">
        <f t="shared" si="15"/>
        <v>内部装修</v>
      </c>
      <c r="AA42" s="1997">
        <f t="shared" si="3"/>
        <v>1</v>
      </c>
      <c r="AB42" s="1997">
        <f t="shared" si="4"/>
        <v>1</v>
      </c>
      <c r="AC42" s="1997">
        <f t="shared" si="5"/>
        <v>1</v>
      </c>
    </row>
    <row r="43" spans="1:29" ht="15">
      <c r="A43" s="1700"/>
      <c r="B43" s="1623" t="s">
        <v>2047</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596"/>
      <c r="Q43" s="1999" t="str">
        <f t="shared" si="11"/>
        <v>内部装修维护情况</v>
      </c>
      <c r="R43" s="1653" t="s">
        <v>25</v>
      </c>
      <c r="S43" s="1654">
        <f t="shared" si="12"/>
        <v>100</v>
      </c>
      <c r="T43" s="1653" t="s">
        <v>25</v>
      </c>
      <c r="U43" s="1654">
        <f t="shared" si="13"/>
        <v>100</v>
      </c>
      <c r="V43" s="1653" t="s">
        <v>25</v>
      </c>
      <c r="W43" s="1654">
        <f t="shared" si="14"/>
        <v>100</v>
      </c>
      <c r="X43" s="2002"/>
      <c r="Y43" s="3598"/>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596"/>
      <c r="Q44" s="1993">
        <f t="shared" si="11"/>
        <v>111</v>
      </c>
      <c r="R44" s="1608" t="s">
        <v>25</v>
      </c>
      <c r="S44" s="1609">
        <f t="shared" si="12"/>
        <v>100</v>
      </c>
      <c r="T44" s="1608" t="s">
        <v>25</v>
      </c>
      <c r="U44" s="1609">
        <f t="shared" si="13"/>
        <v>100</v>
      </c>
      <c r="V44" s="1608" t="s">
        <v>25</v>
      </c>
      <c r="W44" s="1609">
        <f t="shared" si="14"/>
        <v>100</v>
      </c>
      <c r="X44" s="1610"/>
      <c r="Y44" s="3598"/>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596"/>
      <c r="Q45" s="1999">
        <f t="shared" si="11"/>
        <v>111</v>
      </c>
      <c r="R45" s="1653" t="s">
        <v>25</v>
      </c>
      <c r="S45" s="1654">
        <f t="shared" si="12"/>
        <v>100</v>
      </c>
      <c r="T45" s="1653" t="s">
        <v>25</v>
      </c>
      <c r="U45" s="1654">
        <f t="shared" si="13"/>
        <v>100</v>
      </c>
      <c r="V45" s="1653" t="s">
        <v>25</v>
      </c>
      <c r="W45" s="1654">
        <f t="shared" si="14"/>
        <v>100</v>
      </c>
      <c r="X45" s="2002"/>
      <c r="Y45" s="3598"/>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597"/>
      <c r="Q46" s="1999">
        <f t="shared" si="11"/>
        <v>111</v>
      </c>
      <c r="R46" s="1653" t="s">
        <v>25</v>
      </c>
      <c r="S46" s="1654">
        <f t="shared" si="12"/>
        <v>100</v>
      </c>
      <c r="T46" s="1653" t="s">
        <v>25</v>
      </c>
      <c r="U46" s="1654">
        <f t="shared" si="13"/>
        <v>100</v>
      </c>
      <c r="V46" s="1653" t="s">
        <v>25</v>
      </c>
      <c r="W46" s="1654">
        <f t="shared" si="14"/>
        <v>100</v>
      </c>
      <c r="X46" s="2002"/>
      <c r="Y46" s="3599"/>
      <c r="Z46" s="2006">
        <f t="shared" si="15"/>
        <v>111</v>
      </c>
      <c r="AA46" s="1997">
        <f t="shared" si="3"/>
        <v>1</v>
      </c>
      <c r="AB46" s="1997">
        <f t="shared" si="4"/>
        <v>1</v>
      </c>
      <c r="AC46" s="1997">
        <f t="shared" si="5"/>
        <v>1</v>
      </c>
    </row>
    <row r="47" spans="1:29" ht="15">
      <c r="A47" s="1709" t="s">
        <v>2048</v>
      </c>
      <c r="B47" s="1710"/>
      <c r="C47" s="1711" t="s">
        <v>1</v>
      </c>
      <c r="D47" s="1712"/>
      <c r="E47" s="1713">
        <f>Sheet1!E146</f>
        <v>50848</v>
      </c>
      <c r="F47" s="1714"/>
      <c r="G47" s="1715">
        <v>50000</v>
      </c>
      <c r="H47" s="1716"/>
      <c r="I47" s="1713">
        <v>50000</v>
      </c>
      <c r="J47" s="1716"/>
      <c r="K47" s="1941"/>
      <c r="L47" s="2920"/>
      <c r="N47" s="2915"/>
      <c r="P47" s="3600" t="str">
        <f>A47</f>
        <v>成交单价（元/平方米）</v>
      </c>
      <c r="Q47" s="3600"/>
      <c r="R47" s="3601">
        <f>E47</f>
        <v>50848</v>
      </c>
      <c r="S47" s="3601"/>
      <c r="T47" s="3601">
        <f>G47</f>
        <v>50000</v>
      </c>
      <c r="U47" s="3601"/>
      <c r="V47" s="3601">
        <f>I47</f>
        <v>50000</v>
      </c>
      <c r="W47" s="3601"/>
      <c r="X47" s="1719"/>
      <c r="Y47" s="2001"/>
      <c r="Z47" s="1719"/>
      <c r="AA47" s="1719"/>
      <c r="AB47" s="1719"/>
      <c r="AC47" s="1719"/>
    </row>
    <row r="48" spans="1:29" ht="15.75" thickBot="1">
      <c r="A48" s="1721" t="s">
        <v>2131</v>
      </c>
      <c r="B48" s="1722"/>
      <c r="C48" s="1723">
        <f>R49</f>
        <v>51134</v>
      </c>
      <c r="D48" s="1724" t="s">
        <v>2502</v>
      </c>
      <c r="E48" s="1725">
        <f>R48</f>
        <v>51362</v>
      </c>
      <c r="F48" s="1726"/>
      <c r="G48" s="1723">
        <f>T48</f>
        <v>51020</v>
      </c>
      <c r="H48" s="1726"/>
      <c r="I48" s="1725">
        <f>V48</f>
        <v>51020</v>
      </c>
      <c r="J48" s="1726"/>
      <c r="K48" s="2428">
        <f>F48+H48+J48</f>
        <v>0</v>
      </c>
      <c r="L48" s="2920"/>
      <c r="N48" s="2915"/>
      <c r="P48" s="3600" t="str">
        <f>A48</f>
        <v>比较价值（元/平方米）</v>
      </c>
      <c r="Q48" s="3600"/>
      <c r="R48" s="3601">
        <f>IF(E1="售价",ROUND(PRODUCT(R47,AA7:AA46),0),ROUND(PRODUCT(R47,AA7:AA46),1))</f>
        <v>51362</v>
      </c>
      <c r="S48" s="3601"/>
      <c r="T48" s="3601">
        <f>IF(E1="售价",ROUND(PRODUCT(T47,AB7:AB46),0),ROUND(PRODUCT(T47,AB7:AB46),1))</f>
        <v>51020</v>
      </c>
      <c r="U48" s="3601"/>
      <c r="V48" s="3601">
        <f>IF(E1="售价",ROUND(PRODUCT(V47,AC7:AC46),0),ROUND(PRODUCT(V47,AC7:AC46),1))</f>
        <v>51020</v>
      </c>
      <c r="W48" s="3601"/>
      <c r="X48" s="1719"/>
      <c r="Y48" s="1719"/>
      <c r="Z48" s="1719"/>
      <c r="AA48" s="1719"/>
      <c r="AB48" s="1719"/>
      <c r="AC48" s="1719"/>
    </row>
    <row r="49" spans="1:29" ht="15.75" thickBot="1">
      <c r="A49" s="1727" t="s">
        <v>2132</v>
      </c>
      <c r="B49" s="1728"/>
      <c r="C49" s="1730">
        <f>R49</f>
        <v>51134</v>
      </c>
      <c r="D49" s="1730"/>
      <c r="E49" s="1730"/>
      <c r="F49" s="1730"/>
      <c r="G49" s="1730"/>
      <c r="H49" s="1730"/>
      <c r="I49" s="1730"/>
      <c r="J49" s="1730"/>
      <c r="K49" s="1946"/>
      <c r="L49" s="2920"/>
      <c r="N49" s="2915"/>
      <c r="P49" s="3602" t="str">
        <f>A49</f>
        <v>估价对象XX用房的比较价值（楼面单价，元/平方米）</v>
      </c>
      <c r="Q49" s="3603"/>
      <c r="R49" s="3604">
        <f>IF(E1="售价",ROUND(IF(D48="简单平均",AVERAGE(R48:V48),R48*F48+T48*H48+V48*J48),0),ROUND(IF(D48="简单平均",AVERAGE(R48:V48),R48*F48+T48*H48+V48*J48),1))</f>
        <v>51134</v>
      </c>
      <c r="S49" s="3604"/>
      <c r="T49" s="3604"/>
      <c r="U49" s="3604"/>
      <c r="V49" s="3604"/>
      <c r="W49" s="3604"/>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2133</v>
      </c>
      <c r="D52" s="1735"/>
      <c r="E52" s="1736">
        <f>IF(E47&lt;E48,E48/E47-1,E47/E48-1)</f>
        <v>1.0108558842039095E-2</v>
      </c>
      <c r="F52" s="1737" t="str">
        <f>IF(OR(E52&gt;=0.3,E52&lt;=-0.3),"超过30%","")</f>
        <v/>
      </c>
      <c r="G52" s="1736">
        <f>IF(G47&lt;G48,G48/G47-1,G47/G48-1)</f>
        <v>2.0399999999999974E-2</v>
      </c>
      <c r="H52" s="1737" t="str">
        <f>IF(OR(G52&gt;=0.3,G52&lt;=-0.3),"超过30%","")</f>
        <v/>
      </c>
      <c r="I52" s="1736">
        <f>IF(I47&lt;I48,I48/I47-1,I47/I48-1)</f>
        <v>2.0399999999999974E-2</v>
      </c>
      <c r="J52" s="1737" t="str">
        <f>IF(OR(I52&gt;=0.3,I52&lt;=-0.3),"超过30%","")</f>
        <v/>
      </c>
      <c r="P52" s="2397"/>
      <c r="Q52" s="1718"/>
      <c r="R52" s="1718"/>
      <c r="S52" s="1718"/>
      <c r="T52" s="1718"/>
      <c r="U52" s="1718"/>
      <c r="V52" s="1718"/>
      <c r="W52" s="1718"/>
      <c r="X52" s="1718"/>
      <c r="Y52" s="1718"/>
      <c r="Z52" s="1718"/>
      <c r="AA52" s="1718"/>
      <c r="AB52" s="1718"/>
      <c r="AC52" s="1718"/>
    </row>
    <row r="53" spans="1:29" ht="13.5" customHeight="1">
      <c r="C53" s="383" t="s">
        <v>2134</v>
      </c>
      <c r="D53" s="1738"/>
      <c r="E53" s="1736">
        <f>IF(E48&lt;G48,G48/E48-1,E48/G48-1)</f>
        <v>6.703253626028971E-3</v>
      </c>
      <c r="F53" s="1737" t="str">
        <f>IF(OR(E53&gt;=0.2,E53&lt;=-0.2),"超过20%","")</f>
        <v/>
      </c>
      <c r="G53" s="1736">
        <f>IF(G48&lt;I48,I48/G48-1,G48/I48-1)</f>
        <v>0</v>
      </c>
      <c r="H53" s="1737" t="str">
        <f>IF(OR(G53&gt;=0.2,G53&lt;=-0.2),"超过20%","")</f>
        <v/>
      </c>
      <c r="I53" s="1736">
        <f>IF(I48&lt;E48,E48/I48-1,I48/E48-1)</f>
        <v>6.703253626028971E-3</v>
      </c>
      <c r="J53" s="1737" t="str">
        <f>IF(OR(I53&gt;=0.2,I53&lt;=-0.2),"超过20%","")</f>
        <v/>
      </c>
      <c r="P53" s="2397"/>
      <c r="Q53" s="1718"/>
      <c r="R53" s="1718"/>
      <c r="S53" s="1718"/>
      <c r="T53" s="1718"/>
      <c r="U53" s="1718"/>
      <c r="V53" s="1718"/>
      <c r="W53" s="1718"/>
      <c r="X53" s="1718"/>
      <c r="Y53" s="1718"/>
      <c r="Z53" s="1718"/>
      <c r="AA53" s="1718"/>
      <c r="AB53" s="1718"/>
      <c r="AC53" s="1718"/>
    </row>
    <row r="54" spans="1:29" s="1741" customFormat="1" ht="13.5" customHeight="1">
      <c r="C54" s="383" t="s">
        <v>2135</v>
      </c>
      <c r="D54" s="1738"/>
      <c r="E54" s="1736">
        <f>IF(E47&lt;G47,G47/E47-1,E47/G47-1)</f>
        <v>1.6960000000000086E-2</v>
      </c>
      <c r="F54" s="1737" t="str">
        <f>IF(OR(E54&gt;=0.3,E54&lt;=-0.3),"超过30%","")</f>
        <v/>
      </c>
      <c r="G54" s="1736">
        <f>IF(G47&lt;I47,I47/G47-1,G47/I47-1)</f>
        <v>0</v>
      </c>
      <c r="H54" s="1737" t="str">
        <f>IF(OR(G54&gt;=0.3,G54&lt;=-0.3),"超过30%","")</f>
        <v/>
      </c>
      <c r="I54" s="1736">
        <f>IF(I47&lt;E47,E47/I47-1,I47/E47-1)</f>
        <v>1.6960000000000086E-2</v>
      </c>
      <c r="J54" s="1737" t="str">
        <f>IF(OR(I54&gt;=0.3,I54&lt;=-0.3),"超过30%","")</f>
        <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2136</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2018</v>
      </c>
      <c r="B58" s="1751"/>
      <c r="C58" s="1752" t="str">
        <f>YEAR(C7)&amp;"-"&amp;MONTH(C7)</f>
        <v>2022-8</v>
      </c>
      <c r="D58" s="1753">
        <f>EDATE(C58,-1)</f>
        <v>44743</v>
      </c>
      <c r="E58" s="1753">
        <f t="shared" ref="E58:O58" si="16">EDATE(D58,-1)</f>
        <v>44713</v>
      </c>
      <c r="F58" s="1753">
        <f t="shared" si="16"/>
        <v>44682</v>
      </c>
      <c r="G58" s="1753">
        <f t="shared" si="16"/>
        <v>44652</v>
      </c>
      <c r="H58" s="1753">
        <f t="shared" si="16"/>
        <v>44621</v>
      </c>
      <c r="I58" s="1753">
        <f t="shared" si="16"/>
        <v>44593</v>
      </c>
      <c r="J58" s="1753">
        <f t="shared" si="16"/>
        <v>44562</v>
      </c>
      <c r="K58" s="1753">
        <f t="shared" si="16"/>
        <v>44531</v>
      </c>
      <c r="L58" s="1753">
        <f t="shared" si="16"/>
        <v>44501</v>
      </c>
      <c r="M58" s="1753">
        <f t="shared" si="16"/>
        <v>44470</v>
      </c>
      <c r="N58" s="1753">
        <f t="shared" si="16"/>
        <v>44440</v>
      </c>
      <c r="O58" s="1753">
        <f t="shared" si="16"/>
        <v>44409</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2056</v>
      </c>
      <c r="B60" s="1763"/>
      <c r="C60" s="1764"/>
      <c r="D60" s="1765"/>
      <c r="E60" s="1765"/>
      <c r="F60" s="1765"/>
      <c r="G60" s="1765"/>
      <c r="H60" s="1765"/>
      <c r="I60" s="1765"/>
      <c r="J60" s="1765"/>
      <c r="K60" s="1765"/>
      <c r="L60" s="1765"/>
      <c r="M60" s="1766"/>
      <c r="N60" s="1765"/>
      <c r="O60" s="1766"/>
      <c r="P60" s="1761"/>
      <c r="Q60" s="1749"/>
    </row>
    <row r="61" spans="1:29" s="1612" customFormat="1" ht="15">
      <c r="A61" s="1767" t="s">
        <v>2020</v>
      </c>
      <c r="B61" s="1757"/>
      <c r="C61" s="1768" t="s">
        <v>2021</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2059</v>
      </c>
      <c r="B63" s="1775" t="s">
        <v>2024</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2027</v>
      </c>
      <c r="C65" s="1787" t="s">
        <v>2060</v>
      </c>
      <c r="D65" s="1787" t="s">
        <v>2061</v>
      </c>
      <c r="E65" s="1787" t="s">
        <v>2062</v>
      </c>
      <c r="F65" s="1787" t="s">
        <v>2063</v>
      </c>
      <c r="G65" s="1787" t="s">
        <v>2064</v>
      </c>
      <c r="H65" s="1787" t="s">
        <v>2065</v>
      </c>
      <c r="I65" s="1787" t="s">
        <v>2066</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2028</v>
      </c>
      <c r="C67" s="1793" t="str">
        <f>C68&amp;"（含）"&amp;"-"&amp;D68</f>
        <v>0（含）-1</v>
      </c>
      <c r="D67" s="1793" t="str">
        <f t="shared" ref="D67:L67" si="17">D68&amp;"（含）"&amp;"-"&amp;E68</f>
        <v>1（含）-2</v>
      </c>
      <c r="E67" s="1793" t="str">
        <f t="shared" si="17"/>
        <v>2（含）-3</v>
      </c>
      <c r="F67" s="1793" t="str">
        <f t="shared" si="17"/>
        <v>3（含）-4</v>
      </c>
      <c r="G67" s="1793" t="str">
        <f t="shared" si="17"/>
        <v>4（含）-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v>0</v>
      </c>
      <c r="D68" s="1795">
        <v>1</v>
      </c>
      <c r="E68" s="1795">
        <v>2</v>
      </c>
      <c r="F68" s="1795">
        <v>3</v>
      </c>
      <c r="G68" s="1795">
        <v>4</v>
      </c>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2029</v>
      </c>
      <c r="B76" s="1775" t="s">
        <v>2067</v>
      </c>
      <c r="C76" s="1813" t="s">
        <v>2068</v>
      </c>
      <c r="D76" s="1813" t="s">
        <v>2069</v>
      </c>
      <c r="E76" s="1813" t="s">
        <v>2070</v>
      </c>
      <c r="F76" s="1813" t="s">
        <v>2071</v>
      </c>
      <c r="G76" s="1813" t="s">
        <v>2072</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2073</v>
      </c>
      <c r="C78" s="579" t="s">
        <v>2068</v>
      </c>
      <c r="D78" s="579" t="s">
        <v>2069</v>
      </c>
      <c r="E78" s="579" t="s">
        <v>2070</v>
      </c>
      <c r="F78" s="579" t="s">
        <v>2071</v>
      </c>
      <c r="G78" s="579" t="s">
        <v>2072</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2074</v>
      </c>
      <c r="C80" s="579" t="s">
        <v>2068</v>
      </c>
      <c r="D80" s="579" t="s">
        <v>2069</v>
      </c>
      <c r="E80" s="579" t="s">
        <v>2070</v>
      </c>
      <c r="F80" s="579" t="s">
        <v>2071</v>
      </c>
      <c r="G80" s="579" t="s">
        <v>2072</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2117</v>
      </c>
      <c r="C82" s="1787" t="s">
        <v>2075</v>
      </c>
      <c r="D82" s="1787" t="s">
        <v>2076</v>
      </c>
      <c r="E82" s="1787" t="s">
        <v>2077</v>
      </c>
      <c r="F82" s="1787" t="s">
        <v>2078</v>
      </c>
      <c r="G82" s="1787" t="s">
        <v>2079</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2080</v>
      </c>
      <c r="C84" s="579" t="s">
        <v>2068</v>
      </c>
      <c r="D84" s="579" t="s">
        <v>2069</v>
      </c>
      <c r="E84" s="579" t="s">
        <v>2070</v>
      </c>
      <c r="F84" s="579" t="s">
        <v>2071</v>
      </c>
      <c r="G84" s="579" t="s">
        <v>2072</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2137</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2034</v>
      </c>
      <c r="B100" s="1775" t="s">
        <v>2138</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2084</v>
      </c>
      <c r="C102" s="579" t="str">
        <f>C103&amp;"(含)"&amp;"-"&amp;D103</f>
        <v>0(含)-100</v>
      </c>
      <c r="D102" s="579" t="str">
        <f t="shared" ref="D102:L102" si="22">D103&amp;"(含)"&amp;"-"&amp;E103</f>
        <v>100(含)-200</v>
      </c>
      <c r="E102" s="579" t="str">
        <f t="shared" si="22"/>
        <v>200(含)-300</v>
      </c>
      <c r="F102" s="579" t="str">
        <f t="shared" si="22"/>
        <v>300(含)-400</v>
      </c>
      <c r="G102" s="579" t="str">
        <f t="shared" si="22"/>
        <v>400(含)-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v>0</v>
      </c>
      <c r="D103" s="1829">
        <v>100</v>
      </c>
      <c r="E103" s="1829">
        <v>200</v>
      </c>
      <c r="F103" s="1829">
        <v>300</v>
      </c>
      <c r="G103" s="1829">
        <v>400</v>
      </c>
      <c r="H103" s="1829"/>
      <c r="I103" s="1829"/>
      <c r="J103" s="485"/>
      <c r="K103" s="485"/>
      <c r="L103" s="485"/>
      <c r="M103" s="1830"/>
      <c r="N103" s="2935"/>
      <c r="O103" s="2935"/>
      <c r="P103" s="1800"/>
      <c r="Q103" s="1801"/>
    </row>
    <row r="104" spans="1:17" s="1699" customFormat="1" ht="15.75" thickBot="1">
      <c r="A104" s="1797"/>
      <c r="B104" s="1789"/>
      <c r="C104" s="1802">
        <v>100</v>
      </c>
      <c r="D104" s="1783">
        <v>99</v>
      </c>
      <c r="E104" s="1783">
        <v>98</v>
      </c>
      <c r="F104" s="1783">
        <v>97</v>
      </c>
      <c r="G104" s="1783">
        <v>96</v>
      </c>
      <c r="H104" s="1783"/>
      <c r="I104" s="1783"/>
      <c r="J104" s="1783"/>
      <c r="K104" s="1783"/>
      <c r="L104" s="1783"/>
      <c r="M104" s="1784"/>
      <c r="N104" s="2934"/>
      <c r="O104" s="2934"/>
      <c r="P104" s="1800"/>
      <c r="Q104" s="1801"/>
    </row>
    <row r="105" spans="1:17" ht="15" thickTop="1">
      <c r="A105" s="1831"/>
      <c r="B105" s="1786" t="s">
        <v>2085</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2087</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2090</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2139</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2140</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2141</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2142</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2092</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2093</v>
      </c>
      <c r="C124" s="579" t="s">
        <v>2068</v>
      </c>
      <c r="D124" s="579" t="s">
        <v>2069</v>
      </c>
      <c r="E124" s="579" t="s">
        <v>2070</v>
      </c>
      <c r="F124" s="579" t="s">
        <v>2071</v>
      </c>
      <c r="G124" s="579" t="s">
        <v>2072</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0"/>
      <c r="B1" s="701"/>
    </row>
    <row r="2" spans="1:7">
      <c r="A2" s="860"/>
      <c r="B2" s="701"/>
    </row>
    <row r="3" spans="1:7">
      <c r="A3" s="860"/>
      <c r="B3" s="701"/>
    </row>
    <row r="4" spans="1:7">
      <c r="A4" s="860"/>
      <c r="B4" s="701"/>
    </row>
    <row r="5" spans="1:7">
      <c r="A5" s="860"/>
      <c r="B5" s="701"/>
    </row>
    <row r="6" spans="1:7">
      <c r="A6" s="860"/>
      <c r="B6" s="701"/>
    </row>
    <row r="7" spans="1:7">
      <c r="A7" s="860"/>
      <c r="B7" s="701"/>
    </row>
    <row r="8" spans="1:7">
      <c r="A8" s="863" t="s">
        <v>758</v>
      </c>
      <c r="B8" s="862" t="s">
        <v>757</v>
      </c>
      <c r="C8" s="770"/>
    </row>
    <row r="9" spans="1:7">
      <c r="A9" s="860"/>
      <c r="B9" s="1266" t="str">
        <f>项目基本情况!B1</f>
        <v>北京市预评估</v>
      </c>
      <c r="C9" s="771"/>
      <c r="D9" s="772"/>
      <c r="E9" s="772"/>
      <c r="F9" s="772"/>
      <c r="G9" s="772"/>
    </row>
    <row r="10" spans="1:7">
      <c r="A10" s="860"/>
      <c r="B10" s="791"/>
      <c r="C10" s="771"/>
      <c r="D10" s="772"/>
      <c r="E10" s="772"/>
      <c r="F10" s="772"/>
      <c r="G10" s="772"/>
    </row>
    <row r="11" spans="1:7">
      <c r="A11" s="863" t="s">
        <v>758</v>
      </c>
      <c r="B11" s="862" t="s">
        <v>759</v>
      </c>
      <c r="C11" s="770"/>
    </row>
    <row r="12" spans="1:7">
      <c r="A12" s="860"/>
      <c r="B12" s="1267" t="str">
        <f>项目基本情况!B4</f>
        <v>xx</v>
      </c>
      <c r="C12" s="770"/>
    </row>
    <row r="13" spans="1:7">
      <c r="A13" s="860"/>
      <c r="B13" s="790"/>
      <c r="C13" s="770"/>
    </row>
    <row r="14" spans="1:7">
      <c r="A14" s="863" t="s">
        <v>758</v>
      </c>
      <c r="B14" s="862" t="s">
        <v>760</v>
      </c>
      <c r="C14" s="770"/>
    </row>
    <row r="15" spans="1:7">
      <c r="A15" s="860"/>
      <c r="B15" s="1267" t="s">
        <v>589</v>
      </c>
      <c r="C15" s="770"/>
    </row>
    <row r="16" spans="1:7">
      <c r="A16" s="860"/>
      <c r="B16" s="790"/>
      <c r="C16" s="770"/>
    </row>
    <row r="17" spans="1:5">
      <c r="A17" s="863" t="s">
        <v>758</v>
      </c>
      <c r="B17" s="862" t="s">
        <v>761</v>
      </c>
      <c r="C17" s="770"/>
    </row>
    <row r="18" spans="1:5" s="774" customFormat="1">
      <c r="A18" s="861"/>
      <c r="B18" s="1267" t="str">
        <f>CONCATENATE(项目基本情况!B3,"（注册号:",项目基本情况!C3,"）、",项目基本情况!D3,"（注册号:",项目基本情况!E3,")")</f>
        <v>（注册号:0）、（注册号:0)</v>
      </c>
      <c r="C18" s="773"/>
      <c r="E18" s="773"/>
    </row>
    <row r="19" spans="1:5">
      <c r="A19" s="860"/>
      <c r="B19" s="790"/>
      <c r="C19" s="770"/>
    </row>
    <row r="20" spans="1:5">
      <c r="A20" s="863" t="s">
        <v>758</v>
      </c>
      <c r="B20" s="862" t="s">
        <v>762</v>
      </c>
      <c r="C20" s="770"/>
    </row>
    <row r="21" spans="1:5">
      <c r="A21" s="860"/>
      <c r="B21" s="1267" t="str">
        <f>"康正预评字"&amp;项目基本情况!G1&amp;"号"</f>
        <v>康正预评字号</v>
      </c>
    </row>
    <row r="22" spans="1:5">
      <c r="A22" s="860"/>
      <c r="B22" s="701"/>
    </row>
    <row r="23" spans="1:5">
      <c r="B23" s="78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K35" sqref="K3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1764</v>
      </c>
      <c r="B1" s="222"/>
      <c r="C1" s="610"/>
      <c r="D1" s="1552" t="s">
        <v>3043</v>
      </c>
      <c r="E1" s="1553" t="s">
        <v>1001</v>
      </c>
      <c r="F1" s="1554"/>
      <c r="G1" s="1555" t="e">
        <f>MATCH(C1,'数据-取费表'!A19:A19,0)+5</f>
        <v>#N/A</v>
      </c>
      <c r="H1" s="2904"/>
      <c r="I1" s="882"/>
      <c r="J1" s="882"/>
      <c r="K1" s="883"/>
      <c r="L1" s="882"/>
      <c r="M1" s="882"/>
      <c r="N1" s="657"/>
      <c r="O1" s="657"/>
      <c r="P1" s="657"/>
      <c r="Q1" s="996"/>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1674</v>
      </c>
      <c r="B2" s="641">
        <f ca="1">IF(C2="元",IF('数据-取费表'!B29="租赁期内按合同租金",C40+L47+J29,C40+L47),ROUND(IF('数据-取费表'!B29="租赁期内按合同租金",(C40+L47+J29)/10000,(C40+L47)/10000),0))</f>
        <v>431</v>
      </c>
      <c r="C2" s="1446" t="str">
        <f>'数据-取费表'!B3</f>
        <v>万元</v>
      </c>
      <c r="D2" s="884"/>
      <c r="E2" s="885"/>
      <c r="F2" s="885"/>
      <c r="G2" s="910"/>
      <c r="H2" s="886"/>
      <c r="I2" s="886"/>
      <c r="J2" s="886"/>
      <c r="K2" s="887"/>
      <c r="L2" s="886"/>
      <c r="M2" s="886"/>
    </row>
    <row r="3" spans="1:37" ht="18" customHeight="1" thickBot="1">
      <c r="A3" s="226" t="s">
        <v>1675</v>
      </c>
      <c r="B3" s="642">
        <f ca="1">ROUND(IF('数据-取费表'!B29="租赁期内按合同租金",(C40+L47+J29)/F43,(C40+L47)/F43),0)</f>
        <v>35239</v>
      </c>
      <c r="C3" s="1446" t="s">
        <v>1765</v>
      </c>
      <c r="D3" s="884"/>
      <c r="E3" s="885"/>
      <c r="F3" s="885"/>
      <c r="G3" s="910"/>
      <c r="H3" s="227" t="s">
        <v>1766</v>
      </c>
      <c r="I3" s="886"/>
      <c r="J3" s="886"/>
      <c r="K3" s="887"/>
      <c r="L3" s="886"/>
      <c r="M3" s="886"/>
    </row>
    <row r="4" spans="1:37" ht="18" customHeight="1">
      <c r="A4" s="228" t="s">
        <v>1767</v>
      </c>
      <c r="B4" s="229" t="s">
        <v>1768</v>
      </c>
      <c r="C4" s="229" t="s">
        <v>1769</v>
      </c>
      <c r="D4" s="229" t="s">
        <v>1770</v>
      </c>
      <c r="E4" s="230" t="s">
        <v>1771</v>
      </c>
      <c r="F4" s="231"/>
      <c r="G4" s="908"/>
      <c r="H4" s="228" t="s">
        <v>1767</v>
      </c>
      <c r="I4" s="229" t="s">
        <v>1768</v>
      </c>
      <c r="J4" s="229" t="s">
        <v>1769</v>
      </c>
      <c r="K4" s="229" t="s">
        <v>1770</v>
      </c>
      <c r="L4" s="230" t="s">
        <v>1771</v>
      </c>
      <c r="M4" s="231"/>
    </row>
    <row r="5" spans="1:37" ht="18" customHeight="1">
      <c r="A5" s="232">
        <v>1</v>
      </c>
      <c r="B5" s="233" t="s">
        <v>1772</v>
      </c>
      <c r="C5" s="234">
        <f ca="1">C6+C10+C12</f>
        <v>362476</v>
      </c>
      <c r="D5" s="1560" t="s">
        <v>2484</v>
      </c>
      <c r="E5" s="884"/>
      <c r="F5" s="1013"/>
      <c r="G5" s="908"/>
      <c r="H5" s="232">
        <v>1</v>
      </c>
      <c r="I5" s="233" t="s">
        <v>1772</v>
      </c>
      <c r="J5" s="234">
        <f ca="1">J6+J10+J12</f>
        <v>0</v>
      </c>
      <c r="K5" s="1447" t="s">
        <v>1773</v>
      </c>
      <c r="L5" s="884"/>
      <c r="M5" s="1013"/>
    </row>
    <row r="6" spans="1:37" ht="18" customHeight="1">
      <c r="A6" s="1014" t="s">
        <v>1774</v>
      </c>
      <c r="B6" s="1369" t="s">
        <v>1775</v>
      </c>
      <c r="C6" s="234">
        <f>ROUND(F6*F8*F7*(1-F9),0)</f>
        <v>362023</v>
      </c>
      <c r="D6" s="36" t="s">
        <v>2460</v>
      </c>
      <c r="E6" s="235" t="s">
        <v>1776</v>
      </c>
      <c r="F6" s="236">
        <f>'数据-取费表'!B30</f>
        <v>9</v>
      </c>
      <c r="G6" s="908"/>
      <c r="H6" s="1014" t="s">
        <v>1774</v>
      </c>
      <c r="I6" s="1369" t="s">
        <v>1775</v>
      </c>
      <c r="J6" s="234">
        <f>ROUND(M6*M8*M7*(1-M9),0)</f>
        <v>0</v>
      </c>
      <c r="K6" s="36" t="s">
        <v>2460</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122.45</v>
      </c>
      <c r="G7" s="908"/>
      <c r="H7" s="237"/>
      <c r="I7" s="238"/>
      <c r="J7" s="239"/>
      <c r="K7" s="240"/>
      <c r="L7" s="235" t="s">
        <v>1777</v>
      </c>
      <c r="M7" s="236">
        <f>IF('数据-取费表'!B42="",IF(D1="仅计算典型户型",'数据-取费表'!E5,'数据-取费表'!B5),'数据-取费表'!B42)</f>
        <v>122.45</v>
      </c>
    </row>
    <row r="8" spans="1:37" ht="18" customHeight="1">
      <c r="A8" s="1047"/>
      <c r="B8" s="238"/>
      <c r="C8" s="239"/>
      <c r="D8" s="240"/>
      <c r="E8" s="235" t="s">
        <v>1778</v>
      </c>
      <c r="F8" s="236">
        <f>'数据-取费表'!B43</f>
        <v>365</v>
      </c>
      <c r="G8" s="908"/>
      <c r="H8" s="237"/>
      <c r="I8" s="238"/>
      <c r="J8" s="239"/>
      <c r="K8" s="240"/>
      <c r="L8" s="235" t="s">
        <v>1779</v>
      </c>
      <c r="M8" s="236">
        <f>'数据-取费表'!B43</f>
        <v>365</v>
      </c>
    </row>
    <row r="9" spans="1:37" ht="18" customHeight="1">
      <c r="A9" s="1047"/>
      <c r="B9" s="238"/>
      <c r="C9" s="239"/>
      <c r="D9" s="244"/>
      <c r="E9" s="235" t="s">
        <v>1780</v>
      </c>
      <c r="F9" s="245">
        <f>'数据-取费表'!B33</f>
        <v>0.1</v>
      </c>
      <c r="G9" s="908"/>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453</v>
      </c>
      <c r="D10" s="1449" t="s">
        <v>2465</v>
      </c>
      <c r="E10" s="246" t="s">
        <v>1783</v>
      </c>
      <c r="F10" s="1450" t="s">
        <v>1784</v>
      </c>
      <c r="G10" s="908"/>
      <c r="H10" s="1014" t="s">
        <v>1781</v>
      </c>
      <c r="I10" s="1448" t="s">
        <v>1782</v>
      </c>
      <c r="J10" s="1015">
        <f ca="1">ROUND(IF(M10="押一",J6/12*M11,IF(M10="押二",J6/12*2*M11,IF(M10="押三",J6/12*3*M11,J11*M11))),0)</f>
        <v>0</v>
      </c>
      <c r="K10" s="36" t="s">
        <v>2465</v>
      </c>
      <c r="L10" s="246" t="s">
        <v>1783</v>
      </c>
      <c r="M10" s="1450"/>
    </row>
    <row r="11" spans="1:37" s="257" customFormat="1" ht="18" customHeight="1">
      <c r="A11" s="263"/>
      <c r="B11" s="1451" t="s">
        <v>1785</v>
      </c>
      <c r="C11" s="1019"/>
      <c r="D11" s="240"/>
      <c r="E11" s="246" t="s">
        <v>1786</v>
      </c>
      <c r="F11" s="247">
        <f ca="1">'数据-取费表'!B31</f>
        <v>1.4999999999999999E-2</v>
      </c>
      <c r="G11" s="909"/>
      <c r="H11" s="241"/>
      <c r="I11" s="1451" t="s">
        <v>1787</v>
      </c>
      <c r="J11" s="1019"/>
      <c r="K11" s="240"/>
      <c r="L11" s="246" t="s">
        <v>1786</v>
      </c>
      <c r="M11" s="247">
        <f ca="1">'数据-取费表'!B31</f>
        <v>1.4999999999999999E-2</v>
      </c>
      <c r="N11" s="656"/>
      <c r="O11" s="656"/>
      <c r="P11" s="656"/>
      <c r="Q11" s="997"/>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24" t="s">
        <v>1788</v>
      </c>
      <c r="B12" s="1452" t="s">
        <v>1789</v>
      </c>
      <c r="C12" s="1025"/>
      <c r="D12" s="1453"/>
      <c r="E12" s="1031"/>
      <c r="F12" s="1026"/>
      <c r="G12" s="908"/>
      <c r="H12" s="1024" t="s">
        <v>1788</v>
      </c>
      <c r="I12" s="1452" t="s">
        <v>1789</v>
      </c>
      <c r="J12" s="1025"/>
      <c r="K12" s="1041"/>
      <c r="L12" s="1031"/>
      <c r="M12" s="1042"/>
    </row>
    <row r="13" spans="1:37" s="257" customFormat="1" ht="18" customHeight="1" thickTop="1">
      <c r="A13" s="1020">
        <v>2</v>
      </c>
      <c r="B13" s="1021" t="s">
        <v>1790</v>
      </c>
      <c r="C13" s="243">
        <f ca="1">ROUND(C29*F13,0)</f>
        <v>439917</v>
      </c>
      <c r="D13" s="1022" t="s">
        <v>1791</v>
      </c>
      <c r="E13" s="1022" t="s">
        <v>1792</v>
      </c>
      <c r="F13" s="1023">
        <f>'数据-取费表'!E20</f>
        <v>0.76</v>
      </c>
      <c r="G13" s="909"/>
      <c r="H13" s="1020">
        <v>2</v>
      </c>
      <c r="I13" s="1021" t="s">
        <v>1790</v>
      </c>
      <c r="J13" s="1016">
        <f ca="1">ROUND(J14*J15,0)</f>
        <v>0</v>
      </c>
      <c r="K13" s="1027" t="s">
        <v>1791</v>
      </c>
      <c r="L13" s="1039"/>
      <c r="M13" s="1040"/>
      <c r="N13" s="656"/>
      <c r="O13" s="656"/>
      <c r="P13" s="656"/>
      <c r="Q13" s="997"/>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1793</v>
      </c>
      <c r="B14" s="235" t="s">
        <v>1794</v>
      </c>
      <c r="C14" s="254">
        <f>IF(D1="仅计算典型户型",'数据-取费表'!F18,'数据-取费表'!E18)</f>
        <v>367350</v>
      </c>
      <c r="D14" s="1255" t="s">
        <v>1795</v>
      </c>
      <c r="E14" s="1256"/>
      <c r="F14" s="756"/>
      <c r="G14" s="909"/>
      <c r="H14" s="253" t="s">
        <v>1774</v>
      </c>
      <c r="I14" s="235" t="s">
        <v>1796</v>
      </c>
      <c r="J14" s="13">
        <f ca="1">C29</f>
        <v>578838</v>
      </c>
      <c r="K14" s="12"/>
      <c r="L14" s="251"/>
      <c r="M14" s="252"/>
      <c r="N14" s="656"/>
      <c r="O14" s="656"/>
      <c r="P14" s="656"/>
      <c r="Q14" s="997"/>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1797</v>
      </c>
      <c r="B15" s="235" t="s">
        <v>1798</v>
      </c>
      <c r="C15" s="13">
        <f>ROUND(C14*F15,0)</f>
        <v>11021</v>
      </c>
      <c r="D15" s="255" t="s">
        <v>1799</v>
      </c>
      <c r="E15" s="255" t="s">
        <v>1800</v>
      </c>
      <c r="F15" s="256">
        <f>'数据-取费表'!E21</f>
        <v>0.03</v>
      </c>
      <c r="G15" s="908"/>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09"/>
      <c r="H16" s="1020" t="s">
        <v>14</v>
      </c>
      <c r="I16" s="1021" t="s">
        <v>1805</v>
      </c>
      <c r="J16" s="243">
        <f ca="1">ROUND(J17+J22+J23+J24,0)</f>
        <v>5788</v>
      </c>
      <c r="K16" s="1027" t="s">
        <v>1806</v>
      </c>
      <c r="L16" s="1028"/>
      <c r="M16" s="1029"/>
      <c r="N16" s="656"/>
      <c r="O16" s="656"/>
      <c r="P16" s="656"/>
      <c r="Q16" s="997"/>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1807</v>
      </c>
      <c r="B17" s="235" t="s">
        <v>1808</v>
      </c>
      <c r="C17" s="13">
        <f>ROUND(F17*IF(D1="仅计算典型户型",'数据-取费表'!E5,'数据-取费表'!B5),0)</f>
        <v>24490</v>
      </c>
      <c r="D17" s="235" t="s">
        <v>1809</v>
      </c>
      <c r="E17" s="235" t="s">
        <v>1810</v>
      </c>
      <c r="F17" s="15">
        <f>'数据-取费表'!E23</f>
        <v>200</v>
      </c>
      <c r="G17" s="909"/>
      <c r="H17" s="253" t="s">
        <v>1811</v>
      </c>
      <c r="I17" s="235" t="s">
        <v>1812</v>
      </c>
      <c r="J17" s="2744">
        <f>ROUND(IF(AND(项目基本情况!B7="自然人",项目基本情况!B6="北京市"),J6*M17/(1+'数据-取费表'!F30),J18+J19+J20),0)</f>
        <v>0</v>
      </c>
      <c r="K17" s="1255" t="s">
        <v>1813</v>
      </c>
      <c r="L17" s="1258" t="s">
        <v>1814</v>
      </c>
      <c r="M17" s="2743">
        <f>IF(项目基本情况!B7="企业","——",IF('数据-取费表'!B10="住宅",IF(M6*M7*M8/12/(1+'数据-取费表'!F30)&gt;100000,4%,2.5%),IF(M6*M7*M8/12/(1+'数据-取费表'!F30)&gt;100000,12%,7%)))</f>
        <v>7.0000000000000007E-2</v>
      </c>
      <c r="N17" s="656"/>
      <c r="O17" s="656"/>
      <c r="P17" s="656"/>
      <c r="Q17" s="997"/>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1815</v>
      </c>
      <c r="B18" s="235" t="s">
        <v>1816</v>
      </c>
      <c r="C18" s="13">
        <f>ROUND(C14*F18,0)</f>
        <v>18368</v>
      </c>
      <c r="D18" s="235" t="s">
        <v>1799</v>
      </c>
      <c r="E18" s="235" t="s">
        <v>1800</v>
      </c>
      <c r="F18" s="258">
        <f>'数据-取费表'!E24</f>
        <v>0.05</v>
      </c>
      <c r="G18" s="908"/>
      <c r="H18" s="253" t="s">
        <v>1817</v>
      </c>
      <c r="I18" s="235" t="s">
        <v>1818</v>
      </c>
      <c r="J18" s="13" t="str">
        <f>IF(项目基本情况!B7="自然人","——",ROUND(J6*M18/(1+'数据-取费表'!F30),0))</f>
        <v>——</v>
      </c>
      <c r="K18" s="1258" t="s">
        <v>2486</v>
      </c>
      <c r="L18" s="235" t="s">
        <v>1800</v>
      </c>
      <c r="M18" s="258">
        <f>'数据-取费表'!E29</f>
        <v>5.6000000000000001E-2</v>
      </c>
    </row>
    <row r="19" spans="1:37" s="257" customFormat="1" ht="18" customHeight="1">
      <c r="A19" s="253" t="s">
        <v>1811</v>
      </c>
      <c r="B19" s="235" t="s">
        <v>1819</v>
      </c>
      <c r="C19" s="13">
        <f>SUM(C14:C18)</f>
        <v>421229</v>
      </c>
      <c r="D19" s="33" t="s">
        <v>1820</v>
      </c>
      <c r="E19" s="1260"/>
      <c r="F19" s="15"/>
      <c r="G19" s="909"/>
      <c r="H19" s="253" t="s">
        <v>1797</v>
      </c>
      <c r="I19" s="235" t="s">
        <v>1821</v>
      </c>
      <c r="J19" s="13" t="str">
        <f>IF(项目基本情况!B7="自然人","——",IF(K19="按租金收入计税",ROUND(J6*M19/(1+'数据-取费表'!F30),0),ROUND(C29*M19*0.7,0)))</f>
        <v>——</v>
      </c>
      <c r="K19" s="1363"/>
      <c r="L19" s="235" t="s">
        <v>1800</v>
      </c>
      <c r="M19" s="258">
        <f>IF(K19="按租金收入计税",'数据-取费表'!E39,'数据-取费表'!E38)</f>
        <v>1.2E-2</v>
      </c>
      <c r="N19" s="656"/>
      <c r="O19" s="656"/>
      <c r="P19" s="656"/>
      <c r="Q19" s="997"/>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1781</v>
      </c>
      <c r="B20" s="235" t="s">
        <v>1823</v>
      </c>
      <c r="C20" s="13">
        <f>ROUND(C19*F20,0)</f>
        <v>8425</v>
      </c>
      <c r="D20" s="259" t="s">
        <v>1824</v>
      </c>
      <c r="E20" s="235" t="s">
        <v>1825</v>
      </c>
      <c r="F20" s="258">
        <f>'数据-取费表'!E25</f>
        <v>0.02</v>
      </c>
      <c r="G20" s="909"/>
      <c r="H20" s="253" t="s">
        <v>1803</v>
      </c>
      <c r="I20" s="36" t="s">
        <v>1826</v>
      </c>
      <c r="J20" s="14" t="str">
        <f>IF(项目基本情况!B7="自然人","——",ROUND(M20*M21,0))</f>
        <v>——</v>
      </c>
      <c r="K20" s="261" t="s">
        <v>1827</v>
      </c>
      <c r="L20" s="235" t="s">
        <v>1828</v>
      </c>
      <c r="M20" s="262">
        <f>'数据-取费表'!E40</f>
        <v>3</v>
      </c>
      <c r="N20" s="656"/>
      <c r="O20" s="656"/>
      <c r="P20" s="656"/>
      <c r="Q20" s="997"/>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1829</v>
      </c>
      <c r="B21" s="235" t="s">
        <v>1830</v>
      </c>
      <c r="C21" s="597">
        <f>F21</f>
        <v>0.02</v>
      </c>
      <c r="D21" s="259" t="s">
        <v>1831</v>
      </c>
      <c r="E21" s="235" t="s">
        <v>1832</v>
      </c>
      <c r="F21" s="258">
        <f>'数据-取费表'!E26</f>
        <v>0.02</v>
      </c>
      <c r="G21" s="908"/>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8"/>
      <c r="H22" s="253" t="s">
        <v>1801</v>
      </c>
      <c r="I22" s="235" t="s">
        <v>1836</v>
      </c>
      <c r="J22" s="13">
        <f ca="1">ROUND(J14*M22,0)</f>
        <v>5788</v>
      </c>
      <c r="K22" s="1258"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18046</v>
      </c>
      <c r="D23" s="1359" t="str">
        <f>IF(F23&lt;=1,"(建造成本+管理费用)×利率×(建设周期÷2)","(建造成本+管理费用)×((1+利率)^(建设周期÷2)-1)")</f>
        <v>(建造成本+管理费用)×((1+利率)^(建设周期÷2)-1)</v>
      </c>
      <c r="E23" s="235" t="s">
        <v>1839</v>
      </c>
      <c r="F23" s="262">
        <f>'数据-取费表'!B22</f>
        <v>2</v>
      </c>
      <c r="G23" s="908"/>
      <c r="H23" s="253" t="s">
        <v>1829</v>
      </c>
      <c r="I23" s="235" t="s">
        <v>1840</v>
      </c>
      <c r="J23" s="13">
        <f ca="1">ROUND(J13*M23,0)</f>
        <v>0</v>
      </c>
      <c r="K23" s="1258"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59" t="str">
        <f>IF(F23&lt;=1,"销售费用×利率×(建设周期÷2)","销售费用×((1+利率)^(建设周期÷2)-1)")</f>
        <v>销售费用×((1+利率)^(建设周期÷2)-1)</v>
      </c>
      <c r="E24" s="235" t="s">
        <v>1845</v>
      </c>
      <c r="F24" s="267">
        <f ca="1">'数据-取费表'!E27</f>
        <v>4.2000000000000003E-2</v>
      </c>
      <c r="G24" s="909"/>
      <c r="H24" s="1030" t="s">
        <v>1834</v>
      </c>
      <c r="I24" s="1031" t="s">
        <v>1823</v>
      </c>
      <c r="J24" s="1032">
        <f ca="1">ROUND(J5*M24,0)</f>
        <v>0</v>
      </c>
      <c r="K24" s="1033" t="s">
        <v>1846</v>
      </c>
      <c r="L24" s="1031" t="s">
        <v>1842</v>
      </c>
      <c r="M24" s="1026">
        <f>'数据-取费表'!B47</f>
        <v>0.01</v>
      </c>
      <c r="N24" s="656"/>
      <c r="O24" s="656"/>
      <c r="P24" s="656"/>
      <c r="Q24" s="997"/>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1847</v>
      </c>
      <c r="B25" s="235" t="s">
        <v>1848</v>
      </c>
      <c r="C25" s="13"/>
      <c r="D25" s="33" t="s">
        <v>1849</v>
      </c>
      <c r="E25" s="1260"/>
      <c r="F25" s="15"/>
      <c r="G25" s="909"/>
      <c r="H25" s="1020" t="s">
        <v>22</v>
      </c>
      <c r="I25" s="1035" t="s">
        <v>1850</v>
      </c>
      <c r="J25" s="243">
        <f ca="1">J5-J16</f>
        <v>-5788</v>
      </c>
      <c r="K25" s="1036" t="s">
        <v>1851</v>
      </c>
      <c r="L25" s="1037"/>
      <c r="M25" s="1038"/>
      <c r="N25" s="656"/>
      <c r="O25" s="656"/>
      <c r="P25" s="656"/>
      <c r="Q25" s="997"/>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1793</v>
      </c>
      <c r="B26" s="235" t="s">
        <v>1852</v>
      </c>
      <c r="C26" s="13">
        <f>ROUND((C19+C20)*F26,0)</f>
        <v>85931</v>
      </c>
      <c r="D26" s="259" t="s">
        <v>1853</v>
      </c>
      <c r="E26" s="246" t="s">
        <v>1854</v>
      </c>
      <c r="F26" s="245">
        <f>'数据-取费表'!E28</f>
        <v>0.2</v>
      </c>
      <c r="G26" s="651"/>
      <c r="H26" s="232" t="s">
        <v>23</v>
      </c>
      <c r="I26" s="233" t="s">
        <v>1855</v>
      </c>
      <c r="J26" s="234">
        <f ca="1">IF(J5&lt;&gt;0,ROUND(J25*(1-((1+M28)/(1+M26))^M27)/(M26-M28),0),0)</f>
        <v>0</v>
      </c>
      <c r="K26" s="261" t="s">
        <v>1856</v>
      </c>
      <c r="L26" s="235" t="s">
        <v>1857</v>
      </c>
      <c r="M26" s="245">
        <f>'数据-取费表'!B16</f>
        <v>0.06</v>
      </c>
    </row>
    <row r="27" spans="1:37" ht="18" customHeight="1">
      <c r="A27" s="253" t="s">
        <v>1858</v>
      </c>
      <c r="B27" s="235" t="s">
        <v>1859</v>
      </c>
      <c r="C27" s="13">
        <f>ROUND(F21*F26,4)</f>
        <v>4.0000000000000001E-3</v>
      </c>
      <c r="D27" s="259" t="s">
        <v>1860</v>
      </c>
      <c r="E27" s="255"/>
      <c r="F27" s="256"/>
      <c r="G27" s="651"/>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1"/>
      <c r="H28" s="241"/>
      <c r="I28" s="242"/>
      <c r="J28" s="243"/>
      <c r="K28" s="264"/>
      <c r="L28" s="235" t="s">
        <v>1866</v>
      </c>
      <c r="M28" s="245">
        <f>'数据-取费表'!B38</f>
        <v>0</v>
      </c>
    </row>
    <row r="29" spans="1:37" ht="18" customHeight="1" thickBot="1">
      <c r="A29" s="1030" t="s">
        <v>1867</v>
      </c>
      <c r="B29" s="1031" t="s">
        <v>1868</v>
      </c>
      <c r="C29" s="1032">
        <f ca="1">ROUND((C19+C20+C23+C26)/(1-F21-C24-C27-C28),0)</f>
        <v>578838</v>
      </c>
      <c r="D29" s="1033"/>
      <c r="E29" s="1031"/>
      <c r="F29" s="1034"/>
      <c r="G29" s="651"/>
      <c r="H29" s="271" t="s">
        <v>24</v>
      </c>
      <c r="I29" s="272" t="s">
        <v>1869</v>
      </c>
      <c r="J29" s="273">
        <f ca="1">ROUND(J26/(1+F40)^F41,0)</f>
        <v>0</v>
      </c>
      <c r="K29" s="274" t="s">
        <v>1870</v>
      </c>
      <c r="L29" s="275"/>
      <c r="M29" s="276">
        <f>IF(D1="仅计算典型户型",'数据-取费表'!E5,'数据-取费表'!B5)</f>
        <v>122.45</v>
      </c>
    </row>
    <row r="30" spans="1:37" ht="18" customHeight="1" thickTop="1">
      <c r="A30" s="1020" t="s">
        <v>14</v>
      </c>
      <c r="B30" s="1021" t="s">
        <v>1871</v>
      </c>
      <c r="C30" s="243">
        <f ca="1">ROUND(C31+C36+C37+C38,0)</f>
        <v>33988</v>
      </c>
      <c r="D30" s="1027" t="s">
        <v>1872</v>
      </c>
      <c r="E30" s="1028"/>
      <c r="F30" s="1029"/>
      <c r="G30" s="651"/>
      <c r="H30" s="888"/>
      <c r="I30" s="889"/>
      <c r="J30" s="890"/>
      <c r="K30" s="891"/>
      <c r="L30" s="892"/>
      <c r="M30" s="893"/>
    </row>
    <row r="31" spans="1:37" ht="18" customHeight="1">
      <c r="A31" s="253" t="s">
        <v>1774</v>
      </c>
      <c r="B31" s="235" t="s">
        <v>1812</v>
      </c>
      <c r="C31" s="2744">
        <f>ROUND(IF(AND(项目基本情况!B7="自然人",项目基本情况!B6="北京市"),C6*F31/(1+'数据-取费表'!F30),C32+C33+C34),0)</f>
        <v>24135</v>
      </c>
      <c r="D31" s="1255" t="s">
        <v>1873</v>
      </c>
      <c r="E31" s="1258" t="s">
        <v>1874</v>
      </c>
      <c r="F31" s="2743">
        <f>IF(项目基本情况!B7="企业","——",IF('数据-取费表'!B10="住宅",IF(F6*F7*F8/12/(1+'数据-取费表'!F30)&gt;100000,4%,2.5%),IF(F6*F7*F8/12/(1+'数据-取费表'!F30)&gt;100000,12%,7%)))</f>
        <v>7.0000000000000007E-2</v>
      </c>
      <c r="G31" s="651"/>
      <c r="H31" s="888"/>
      <c r="I31" s="889"/>
      <c r="J31" s="890"/>
      <c r="K31" s="891"/>
      <c r="L31" s="892"/>
      <c r="M31" s="893"/>
    </row>
    <row r="32" spans="1:37" ht="18" customHeight="1">
      <c r="A32" s="253" t="s">
        <v>1793</v>
      </c>
      <c r="B32" s="235" t="s">
        <v>1875</v>
      </c>
      <c r="C32" s="13" t="str">
        <f>IF(项目基本情况!B7="自然人","——",ROUND(C6*F32/(1+'数据-取费表'!F30),0))</f>
        <v>——</v>
      </c>
      <c r="D32" s="1258" t="s">
        <v>2485</v>
      </c>
      <c r="E32" s="235" t="s">
        <v>1825</v>
      </c>
      <c r="F32" s="267">
        <f>'数据-取费表'!E29</f>
        <v>5.6000000000000001E-2</v>
      </c>
      <c r="G32" s="651"/>
      <c r="H32" s="894"/>
      <c r="I32" s="895"/>
      <c r="J32" s="896"/>
      <c r="K32" s="897"/>
      <c r="L32" s="898"/>
      <c r="M32" s="899"/>
    </row>
    <row r="33" spans="1:18" ht="18" customHeight="1">
      <c r="A33" s="253" t="s">
        <v>1797</v>
      </c>
      <c r="B33" s="235" t="s">
        <v>1821</v>
      </c>
      <c r="C33" s="13" t="str">
        <f>IF(项目基本情况!B7="自然人","——",IF(D33="按租金收入计税",ROUND(C6*F33/(1+'数据-取费表'!F30),0),IF(D33="按房产原值计税",ROUND(C29*F33*0.7,0),'数据-取费表'!B44)))</f>
        <v>——</v>
      </c>
      <c r="D33" s="1363" t="s">
        <v>2643</v>
      </c>
      <c r="E33" s="235" t="s">
        <v>1800</v>
      </c>
      <c r="F33" s="258">
        <f>IF(D33="按票据","——",IF(D33="按租金收入计税",'数据-取费表'!E39,'数据-取费表'!E38))</f>
        <v>0.12</v>
      </c>
      <c r="G33" s="651"/>
      <c r="H33" s="900"/>
      <c r="I33" s="278" t="s">
        <v>1877</v>
      </c>
      <c r="J33" s="279"/>
      <c r="K33" s="901"/>
      <c r="L33" s="900"/>
      <c r="M33" s="900"/>
    </row>
    <row r="34" spans="1:18" ht="18" customHeight="1">
      <c r="A34" s="1014" t="s">
        <v>1803</v>
      </c>
      <c r="B34" s="36" t="s">
        <v>1826</v>
      </c>
      <c r="C34" s="14" t="str">
        <f>IF(项目基本情况!B7="自然人","——",ROUND(F34*F35,0))</f>
        <v>——</v>
      </c>
      <c r="D34" s="261" t="s">
        <v>1827</v>
      </c>
      <c r="E34" s="235" t="s">
        <v>1828</v>
      </c>
      <c r="F34" s="262">
        <f>'数据-取费表'!E40</f>
        <v>3</v>
      </c>
      <c r="G34" s="651"/>
      <c r="H34" s="888"/>
      <c r="I34" s="280" t="s">
        <v>1878</v>
      </c>
      <c r="J34" s="281">
        <f ca="1">ROUND(C13*J35,0)</f>
        <v>32994</v>
      </c>
      <c r="K34" s="902"/>
      <c r="L34" s="903"/>
      <c r="M34" s="903"/>
    </row>
    <row r="35" spans="1:18" ht="24.6" customHeight="1">
      <c r="A35" s="1018"/>
      <c r="B35" s="244"/>
      <c r="C35" s="17"/>
      <c r="D35" s="264"/>
      <c r="E35" s="235" t="s">
        <v>1833</v>
      </c>
      <c r="F35" s="236">
        <f>IF(D1="仅计算典型户型",'数据-取费表'!E6,'数据-取费表'!B6)</f>
        <v>0</v>
      </c>
      <c r="G35" s="651" t="s">
        <v>2573</v>
      </c>
      <c r="H35" s="888"/>
      <c r="I35" s="282" t="s">
        <v>1879</v>
      </c>
      <c r="J35" s="283">
        <f>'数据-取费表'!B18</f>
        <v>7.4999999999999997E-2</v>
      </c>
      <c r="K35" s="901"/>
      <c r="L35" s="900"/>
      <c r="M35" s="900"/>
    </row>
    <row r="36" spans="1:18" ht="18" customHeight="1">
      <c r="A36" s="1017" t="s">
        <v>1781</v>
      </c>
      <c r="B36" s="235" t="s">
        <v>1880</v>
      </c>
      <c r="C36" s="13">
        <f ca="1">ROUND(C29*F36,0)</f>
        <v>5788</v>
      </c>
      <c r="D36" s="1258" t="s">
        <v>1881</v>
      </c>
      <c r="E36" s="235" t="s">
        <v>1825</v>
      </c>
      <c r="F36" s="265">
        <f>'数据-取费表'!B45</f>
        <v>0.01</v>
      </c>
      <c r="G36" s="651"/>
      <c r="H36" s="900"/>
      <c r="I36" s="284" t="s">
        <v>1882</v>
      </c>
      <c r="J36" s="285"/>
      <c r="K36" s="904"/>
      <c r="L36" s="900"/>
      <c r="M36" s="900"/>
    </row>
    <row r="37" spans="1:18" ht="18" customHeight="1">
      <c r="A37" s="253" t="s">
        <v>1829</v>
      </c>
      <c r="B37" s="235" t="s">
        <v>1840</v>
      </c>
      <c r="C37" s="13">
        <f ca="1">ROUND(C13*F37,0)</f>
        <v>440</v>
      </c>
      <c r="D37" s="1258" t="s">
        <v>1841</v>
      </c>
      <c r="E37" s="235" t="s">
        <v>1842</v>
      </c>
      <c r="F37" s="266">
        <f>'数据-取费表'!B46</f>
        <v>1E-3</v>
      </c>
      <c r="G37" s="651"/>
      <c r="H37" s="900"/>
      <c r="I37" s="132" t="s">
        <v>1883</v>
      </c>
      <c r="J37" s="286"/>
      <c r="K37" s="904"/>
      <c r="L37" s="900"/>
      <c r="M37" s="900"/>
    </row>
    <row r="38" spans="1:18" ht="18" customHeight="1" thickBot="1">
      <c r="A38" s="1030" t="s">
        <v>1834</v>
      </c>
      <c r="B38" s="1031" t="s">
        <v>1823</v>
      </c>
      <c r="C38" s="1032">
        <f ca="1">ROUND(C5*F38,0)</f>
        <v>3625</v>
      </c>
      <c r="D38" s="1033" t="s">
        <v>1846</v>
      </c>
      <c r="E38" s="1031" t="s">
        <v>1842</v>
      </c>
      <c r="F38" s="1026">
        <f>'数据-取费表'!B47</f>
        <v>0.01</v>
      </c>
      <c r="G38" s="651"/>
      <c r="H38" s="900"/>
      <c r="I38" s="280" t="s">
        <v>1884</v>
      </c>
      <c r="J38" s="136">
        <f ca="1">ROUND(J34/C39,3)</f>
        <v>0.1</v>
      </c>
      <c r="K38" s="905"/>
      <c r="L38" s="900"/>
      <c r="M38" s="900"/>
    </row>
    <row r="39" spans="1:18" ht="18" customHeight="1" thickTop="1">
      <c r="A39" s="1020" t="s">
        <v>22</v>
      </c>
      <c r="B39" s="1035" t="s">
        <v>1885</v>
      </c>
      <c r="C39" s="243">
        <f ca="1">C5-C30</f>
        <v>328488</v>
      </c>
      <c r="D39" s="1036" t="s">
        <v>1886</v>
      </c>
      <c r="E39" s="1037"/>
      <c r="F39" s="1038"/>
      <c r="G39" s="651"/>
      <c r="H39" s="900"/>
      <c r="I39" s="280" t="s">
        <v>1887</v>
      </c>
      <c r="J39" s="136">
        <f ca="1">1-J38</f>
        <v>0.9</v>
      </c>
      <c r="K39" s="905"/>
      <c r="L39" s="900"/>
      <c r="M39" s="900"/>
    </row>
    <row r="40" spans="1:18" s="651" customFormat="1" ht="18" customHeight="1">
      <c r="A40" s="232" t="s">
        <v>23</v>
      </c>
      <c r="B40" s="233" t="s">
        <v>1888</v>
      </c>
      <c r="C40" s="234">
        <f ca="1">ROUND(C39*(1-((1+F42)/(1+F40))^F41)/(F40-F42),0)</f>
        <v>4257047</v>
      </c>
      <c r="D40" s="261" t="s">
        <v>1856</v>
      </c>
      <c r="E40" s="235" t="s">
        <v>1857</v>
      </c>
      <c r="F40" s="245">
        <f>'数据-取费表'!B16</f>
        <v>0.06</v>
      </c>
      <c r="H40" s="906"/>
      <c r="I40" s="132" t="s">
        <v>1889</v>
      </c>
      <c r="J40" s="133"/>
      <c r="K40" s="905"/>
      <c r="L40" s="906"/>
      <c r="M40" s="906"/>
      <c r="Q40" s="655"/>
    </row>
    <row r="41" spans="1:18" s="651" customFormat="1" ht="18" customHeight="1">
      <c r="A41" s="237"/>
      <c r="B41" s="238"/>
      <c r="C41" s="239"/>
      <c r="D41" s="269" t="s">
        <v>1890</v>
      </c>
      <c r="E41" s="1231" t="s">
        <v>2468</v>
      </c>
      <c r="F41" s="270">
        <f>IF('数据-取费表'!B29="租赁期内按合同租金",'数据-取费表'!B35,IF(E41="收益年期(n)",'数据-取费表'!B34,'数据-取费表'!B13))</f>
        <v>18</v>
      </c>
      <c r="H41" s="907"/>
      <c r="I41" s="135" t="s">
        <v>1762</v>
      </c>
      <c r="J41" s="136">
        <f ca="1">ROUND(C13/C40,3)</f>
        <v>0.10299999999999999</v>
      </c>
      <c r="K41" s="904"/>
      <c r="L41" s="907"/>
      <c r="M41" s="907"/>
      <c r="Q41" s="655"/>
    </row>
    <row r="42" spans="1:18" s="651" customFormat="1" ht="18" customHeight="1">
      <c r="A42" s="241"/>
      <c r="B42" s="242"/>
      <c r="C42" s="243"/>
      <c r="D42" s="264"/>
      <c r="E42" s="235" t="s">
        <v>1866</v>
      </c>
      <c r="F42" s="245">
        <f>'数据-取费表'!B32</f>
        <v>2.5000000000000001E-2</v>
      </c>
      <c r="H42" s="907"/>
      <c r="I42" s="135" t="s">
        <v>1763</v>
      </c>
      <c r="J42" s="137">
        <f ca="1">1-J41</f>
        <v>0.89700000000000002</v>
      </c>
      <c r="K42" s="904"/>
      <c r="L42" s="907"/>
      <c r="M42" s="907"/>
      <c r="Q42" s="655"/>
    </row>
    <row r="43" spans="1:18" s="651" customFormat="1" ht="18" customHeight="1" thickBot="1">
      <c r="A43" s="271" t="s">
        <v>24</v>
      </c>
      <c r="B43" s="272" t="s">
        <v>1891</v>
      </c>
      <c r="C43" s="273">
        <f ca="1">ROUND(C40/F43,0)</f>
        <v>34766</v>
      </c>
      <c r="D43" s="274" t="s">
        <v>1892</v>
      </c>
      <c r="E43" s="275" t="s">
        <v>1893</v>
      </c>
      <c r="F43" s="276">
        <f>IF(D1="仅计算典型户型",'数据-取费表'!E5,'数据-取费表'!B5)</f>
        <v>122.45</v>
      </c>
      <c r="G43" s="653"/>
      <c r="H43" s="907"/>
      <c r="I43" s="907"/>
      <c r="J43" s="907"/>
      <c r="K43" s="904"/>
      <c r="L43" s="907"/>
      <c r="M43" s="907"/>
      <c r="O43" s="998" t="s">
        <v>1894</v>
      </c>
      <c r="P43" s="999"/>
      <c r="Q43" s="995"/>
      <c r="R43" s="999"/>
    </row>
    <row r="44" spans="1:18" s="651" customFormat="1" ht="18" customHeight="1" thickBot="1">
      <c r="A44" s="648"/>
      <c r="B44" s="648"/>
      <c r="C44" s="650"/>
      <c r="D44" s="648"/>
      <c r="E44" s="648"/>
      <c r="F44" s="648"/>
      <c r="G44" s="653"/>
      <c r="K44" s="652"/>
      <c r="O44" s="1000" t="s">
        <v>1895</v>
      </c>
      <c r="P44" s="1001" t="s">
        <v>1896</v>
      </c>
      <c r="Q44" s="1002" t="s">
        <v>1897</v>
      </c>
      <c r="R44" s="1003" t="s">
        <v>1898</v>
      </c>
    </row>
    <row r="45" spans="1:18" s="651" customFormat="1" ht="18" customHeight="1" thickBot="1">
      <c r="A45" s="648"/>
      <c r="B45" s="648"/>
      <c r="C45" s="650"/>
      <c r="D45" s="648"/>
      <c r="E45" s="648"/>
      <c r="F45" s="648"/>
      <c r="G45" s="654"/>
      <c r="K45" s="652"/>
      <c r="O45" s="1004" t="s">
        <v>767</v>
      </c>
      <c r="P45" s="1005" t="s">
        <v>1899</v>
      </c>
      <c r="Q45" s="1006">
        <f ca="1">C40+J29</f>
        <v>4257047</v>
      </c>
      <c r="R45" s="1007" t="s">
        <v>1900</v>
      </c>
    </row>
    <row r="46" spans="1:18" s="651" customFormat="1" ht="18" customHeight="1" thickBot="1">
      <c r="A46" s="648"/>
      <c r="D46" s="648"/>
      <c r="E46" s="648"/>
      <c r="F46" s="648"/>
      <c r="K46" s="652"/>
      <c r="O46" s="1004" t="s">
        <v>768</v>
      </c>
      <c r="P46" s="1005" t="s">
        <v>1901</v>
      </c>
      <c r="Q46" s="1006">
        <f ca="1">J61</f>
        <v>57941</v>
      </c>
      <c r="R46" s="1007" t="s">
        <v>1902</v>
      </c>
    </row>
    <row r="47" spans="1:18" s="651" customFormat="1" ht="21.75" thickBot="1">
      <c r="A47" s="1454" t="s">
        <v>1903</v>
      </c>
      <c r="C47" s="949">
        <f ca="1">IF(C2="元",C69-C40,ROUND((C69-C40)/10000,0))</f>
        <v>-432</v>
      </c>
      <c r="D47" s="1455" t="str">
        <f>C2</f>
        <v>万元</v>
      </c>
      <c r="E47" s="648"/>
      <c r="F47" s="648"/>
      <c r="I47" s="1456" t="s">
        <v>1904</v>
      </c>
      <c r="J47" s="980"/>
      <c r="K47" s="981"/>
      <c r="L47" s="994">
        <f ca="1">IF(M48="住宅",0,IF(L49&gt;J52,L61,J61))</f>
        <v>57941</v>
      </c>
      <c r="O47" s="1008" t="s">
        <v>769</v>
      </c>
      <c r="P47" s="1005" t="s">
        <v>1905</v>
      </c>
      <c r="Q47" s="1006">
        <f ca="1">C29</f>
        <v>578838</v>
      </c>
      <c r="R47" s="1007" t="s">
        <v>1900</v>
      </c>
    </row>
    <row r="48" spans="1:18" s="651" customFormat="1" ht="15.75" thickBot="1">
      <c r="A48" s="228" t="s">
        <v>1906</v>
      </c>
      <c r="B48" s="229" t="s">
        <v>1907</v>
      </c>
      <c r="C48" s="229" t="s">
        <v>1908</v>
      </c>
      <c r="D48" s="229" t="s">
        <v>1909</v>
      </c>
      <c r="E48" s="943" t="s">
        <v>1910</v>
      </c>
      <c r="F48" s="944"/>
      <c r="I48" s="1457" t="s">
        <v>1911</v>
      </c>
      <c r="J48" s="1458" t="s">
        <v>3038</v>
      </c>
      <c r="K48" s="1459" t="s">
        <v>1912</v>
      </c>
      <c r="L48" s="982">
        <f>'数据-取费表'!B11</f>
        <v>40</v>
      </c>
      <c r="M48" s="995" t="str">
        <f>IF('数据-取费表'!B10="住宅","住宅","非住宅")</f>
        <v>非住宅</v>
      </c>
      <c r="O48" s="1008" t="s">
        <v>770</v>
      </c>
      <c r="P48" s="1005" t="s">
        <v>1913</v>
      </c>
      <c r="Q48" s="1009">
        <f>J59</f>
        <v>0.4</v>
      </c>
      <c r="R48" s="1007"/>
    </row>
    <row r="49" spans="1:18" s="651" customFormat="1" ht="15.75" thickBot="1">
      <c r="A49" s="1055" t="s">
        <v>781</v>
      </c>
      <c r="B49" s="233" t="s">
        <v>1914</v>
      </c>
      <c r="C49" s="1056">
        <f ca="1">C50+C54+C56</f>
        <v>0</v>
      </c>
      <c r="D49" s="1057"/>
      <c r="E49" s="44"/>
      <c r="F49" s="15"/>
      <c r="I49" s="1460" t="s">
        <v>1915</v>
      </c>
      <c r="J49" s="1461" t="s">
        <v>3039</v>
      </c>
      <c r="K49" s="1462" t="s">
        <v>1916</v>
      </c>
      <c r="L49" s="820">
        <f>'数据-取费表'!B13</f>
        <v>18</v>
      </c>
      <c r="O49" s="1008" t="s">
        <v>771</v>
      </c>
      <c r="P49" s="1005" t="s">
        <v>1917</v>
      </c>
      <c r="Q49" s="1009">
        <f>J53</f>
        <v>0.08</v>
      </c>
      <c r="R49" s="1007"/>
    </row>
    <row r="50" spans="1:18" s="651" customFormat="1" ht="15.75" thickBot="1">
      <c r="A50" s="260" t="s">
        <v>1774</v>
      </c>
      <c r="B50" s="1369" t="s">
        <v>1918</v>
      </c>
      <c r="C50" s="234">
        <f>ROUND(F50*F52*F51*(1-F53),0)</f>
        <v>0</v>
      </c>
      <c r="D50" s="42" t="s">
        <v>2461</v>
      </c>
      <c r="E50" s="1463" t="s">
        <v>1919</v>
      </c>
      <c r="F50" s="945"/>
      <c r="I50" s="1460" t="s">
        <v>1920</v>
      </c>
      <c r="J50" s="820">
        <f>'数据-取费表'!B27</f>
        <v>2002</v>
      </c>
      <c r="K50" s="1464" t="s">
        <v>1921</v>
      </c>
      <c r="L50" s="983"/>
      <c r="O50" s="1008" t="s">
        <v>772</v>
      </c>
      <c r="P50" s="1005" t="s">
        <v>1922</v>
      </c>
      <c r="Q50" s="1006">
        <f>J54</f>
        <v>18</v>
      </c>
      <c r="R50" s="1007" t="s">
        <v>1923</v>
      </c>
    </row>
    <row r="51" spans="1:18" s="651" customFormat="1" ht="15.75" thickBot="1">
      <c r="A51" s="237"/>
      <c r="B51" s="238"/>
      <c r="C51" s="239"/>
      <c r="D51" s="240"/>
      <c r="E51" s="255" t="s">
        <v>1777</v>
      </c>
      <c r="F51" s="942">
        <f>F7</f>
        <v>122.45</v>
      </c>
      <c r="I51" s="1460" t="s">
        <v>1924</v>
      </c>
      <c r="J51" s="984">
        <f>SUMPRODUCT((I64:I66=J48)*(J63:L63=J49)*(J64:L66))</f>
        <v>60</v>
      </c>
      <c r="K51" s="1464" t="s">
        <v>1925</v>
      </c>
      <c r="L51" s="983"/>
      <c r="O51" s="1004" t="s">
        <v>773</v>
      </c>
      <c r="P51" s="1005" t="str">
        <f>IF(C2="元","收益价值(元)","收益价值(万元)")</f>
        <v>收益价值(万元)</v>
      </c>
      <c r="Q51" s="1006">
        <f ca="1">ROUND(IF(C2="元",Q45+Q46,(Q45+Q46)/10000),0)</f>
        <v>431</v>
      </c>
      <c r="R51" s="1007" t="s">
        <v>774</v>
      </c>
    </row>
    <row r="52" spans="1:18" s="651" customFormat="1" ht="16.5" thickBot="1">
      <c r="A52" s="237"/>
      <c r="B52" s="238"/>
      <c r="C52" s="239"/>
      <c r="D52" s="240"/>
      <c r="E52" s="235" t="s">
        <v>1779</v>
      </c>
      <c r="F52" s="236">
        <f>F8</f>
        <v>365</v>
      </c>
      <c r="I52" s="1465" t="s">
        <v>1926</v>
      </c>
      <c r="J52" s="985">
        <f>IF(J50="",J51,J50+J51-YEAR('数据-取费表'!B2))</f>
        <v>40</v>
      </c>
      <c r="K52" s="1466" t="s">
        <v>1927</v>
      </c>
      <c r="L52" s="986">
        <f ca="1">ROUND(-PV('数据-取费表'!B15,J52,(C40-C13*J35)),0)</f>
        <v>72480894</v>
      </c>
      <c r="O52" s="998" t="s">
        <v>1928</v>
      </c>
      <c r="P52" s="999"/>
      <c r="Q52" s="995"/>
      <c r="R52" s="999"/>
    </row>
    <row r="53" spans="1:18" s="651" customFormat="1" ht="15.75" thickBot="1">
      <c r="A53" s="241"/>
      <c r="B53" s="242"/>
      <c r="C53" s="243"/>
      <c r="D53" s="244"/>
      <c r="E53" s="235" t="s">
        <v>1780</v>
      </c>
      <c r="F53" s="993"/>
      <c r="I53" s="1467" t="s">
        <v>1929</v>
      </c>
      <c r="J53" s="987">
        <v>0.08</v>
      </c>
      <c r="K53" s="1467" t="s">
        <v>1930</v>
      </c>
      <c r="L53" s="987"/>
      <c r="O53" s="1000" t="s">
        <v>1895</v>
      </c>
      <c r="P53" s="1001" t="s">
        <v>1896</v>
      </c>
      <c r="Q53" s="1002" t="s">
        <v>1897</v>
      </c>
      <c r="R53" s="1003" t="s">
        <v>1898</v>
      </c>
    </row>
    <row r="54" spans="1:18" s="651" customFormat="1" ht="29.25" customHeight="1" thickBot="1">
      <c r="A54" s="1014" t="s">
        <v>1781</v>
      </c>
      <c r="B54" s="1448" t="s">
        <v>1782</v>
      </c>
      <c r="C54" s="1015">
        <f ca="1">ROUND(IF(F54="押一",C50/12*F11,IF(F54="押二",C50/12*2*F11,IF(F54="押三",C50/12*3*F11,C55*F11))),0)</f>
        <v>0</v>
      </c>
      <c r="D54" s="1449" t="s">
        <v>2466</v>
      </c>
      <c r="E54" s="246" t="s">
        <v>1783</v>
      </c>
      <c r="F54" s="1450"/>
      <c r="I54" s="1556" t="s">
        <v>2469</v>
      </c>
      <c r="J54" s="988">
        <f>IF(M48="住宅",IF(E1="——",MAX(J52,L49),MAX(J52,L49-'数据-取费表'!B26)),IF(E1="——",MIN(J52,L49),MIN(J52,L49-'数据-取费表'!B26)))</f>
        <v>18</v>
      </c>
      <c r="K54" s="3605" t="s">
        <v>2459</v>
      </c>
      <c r="L54" s="3606"/>
      <c r="O54" s="1004" t="s">
        <v>767</v>
      </c>
      <c r="P54" s="1005" t="s">
        <v>1899</v>
      </c>
      <c r="Q54" s="1006">
        <f ca="1">C40+J29</f>
        <v>4257047</v>
      </c>
      <c r="R54" s="1007" t="s">
        <v>1900</v>
      </c>
    </row>
    <row r="55" spans="1:18" s="651" customFormat="1" ht="20.25" thickBot="1">
      <c r="A55" s="1014"/>
      <c r="B55" s="1468" t="s">
        <v>1787</v>
      </c>
      <c r="C55" s="1019"/>
      <c r="D55" s="42"/>
      <c r="E55" s="1469"/>
      <c r="F55" s="946"/>
      <c r="I55" s="90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1" customFormat="1" ht="20.25" thickBot="1">
      <c r="A56" s="1024" t="s">
        <v>1788</v>
      </c>
      <c r="B56" s="1452" t="s">
        <v>1789</v>
      </c>
      <c r="C56" s="1025"/>
      <c r="D56" s="1041"/>
      <c r="E56" s="1471"/>
      <c r="F56" s="1080"/>
      <c r="I56" s="1472" t="s">
        <v>1933</v>
      </c>
      <c r="J56" s="1247">
        <f>ROUND(IF(J48="钢混",J58/J51,1-(1-2%)*(J51-J58)/J51),3)</f>
        <v>0.36699999999999999</v>
      </c>
      <c r="K56" s="1473" t="s">
        <v>1934</v>
      </c>
      <c r="L56" s="989"/>
      <c r="O56" s="1008" t="s">
        <v>769</v>
      </c>
      <c r="P56" s="1005" t="s">
        <v>1935</v>
      </c>
      <c r="Q56" s="1006">
        <f>IF(L56="比较法",L50,IF(L56="基准地价",L51,0))</f>
        <v>0</v>
      </c>
      <c r="R56" s="1007" t="s">
        <v>1900</v>
      </c>
    </row>
    <row r="57" spans="1:18" s="651" customFormat="1" ht="44.25" thickTop="1" thickBot="1">
      <c r="A57" s="1020">
        <v>2</v>
      </c>
      <c r="B57" s="1021" t="s">
        <v>1790</v>
      </c>
      <c r="C57" s="1079">
        <f ca="1">C13</f>
        <v>439917</v>
      </c>
      <c r="D57" s="940"/>
      <c r="E57" s="941"/>
      <c r="F57" s="948"/>
      <c r="I57" s="1474" t="s">
        <v>1936</v>
      </c>
      <c r="J57" s="992" t="s">
        <v>3040</v>
      </c>
      <c r="K57" s="1460" t="s">
        <v>1937</v>
      </c>
      <c r="L57" s="820" t="str">
        <f>IF(L49&lt;J52,"——",L49-J52)</f>
        <v>——</v>
      </c>
      <c r="O57" s="1008" t="s">
        <v>770</v>
      </c>
      <c r="P57" s="1005" t="s">
        <v>1938</v>
      </c>
      <c r="Q57" s="1009">
        <f>L53</f>
        <v>0</v>
      </c>
      <c r="R57" s="1007"/>
    </row>
    <row r="58" spans="1:18" s="651" customFormat="1" ht="29.25" thickBot="1">
      <c r="A58" s="947"/>
      <c r="B58" s="235" t="s">
        <v>1868</v>
      </c>
      <c r="C58" s="104">
        <f ca="1">C29</f>
        <v>578838</v>
      </c>
      <c r="D58" s="940"/>
      <c r="E58" s="941"/>
      <c r="F58" s="948"/>
      <c r="I58" s="1475" t="s">
        <v>1939</v>
      </c>
      <c r="J58" s="991">
        <f>IF(OR(M48="住宅",J52&lt;L49,J57="是"),"——",J52-L49)</f>
        <v>22</v>
      </c>
      <c r="K58" s="1460" t="s">
        <v>1940</v>
      </c>
      <c r="L58" s="820" t="str">
        <f>IF(L49&lt;J52,"——",IF(L56="比较法",L50,IF(L56="基准地价",L51,L52)))</f>
        <v>——</v>
      </c>
      <c r="O58" s="1008" t="s">
        <v>771</v>
      </c>
      <c r="P58" s="1005" t="s">
        <v>1941</v>
      </c>
      <c r="Q58" s="1006" t="e">
        <f>L59</f>
        <v>#DIV/0!</v>
      </c>
      <c r="R58" s="1007" t="s">
        <v>1942</v>
      </c>
    </row>
    <row r="59" spans="1:18" s="651" customFormat="1" ht="29.25" thickBot="1">
      <c r="A59" s="248" t="s">
        <v>14</v>
      </c>
      <c r="B59" s="249" t="s">
        <v>1871</v>
      </c>
      <c r="C59" s="250">
        <f ca="1">ROUND(C60+C65+C66+C67,0)</f>
        <v>6228</v>
      </c>
      <c r="D59" s="12" t="s">
        <v>1872</v>
      </c>
      <c r="E59" s="1260"/>
      <c r="F59" s="15"/>
      <c r="I59" s="1475" t="s">
        <v>1943</v>
      </c>
      <c r="J59" s="1246">
        <f>IF(J56&lt;0.4,0.4,J56)</f>
        <v>0.4</v>
      </c>
      <c r="K59" s="1466" t="s">
        <v>1944</v>
      </c>
      <c r="L59" s="820" t="e">
        <f>ROUND(POWER(1+L53,L48-L49)*(POWER(1+L53,L49)-1)/(POWER(1+L53,L48)-1),4)</f>
        <v>#DIV/0!</v>
      </c>
      <c r="O59" s="1008" t="s">
        <v>772</v>
      </c>
      <c r="P59" s="1005" t="str">
        <f>K60</f>
        <v>建筑物剩余耐用年限下的土地年期修正系数Kn</v>
      </c>
      <c r="Q59" s="1006" t="e">
        <f>L60</f>
        <v>#DIV/0!</v>
      </c>
      <c r="R59" s="1007" t="s">
        <v>1945</v>
      </c>
    </row>
    <row r="60" spans="1:18" s="651" customFormat="1" ht="29.25" thickBot="1">
      <c r="A60" s="253" t="s">
        <v>15</v>
      </c>
      <c r="B60" s="235" t="s">
        <v>1812</v>
      </c>
      <c r="C60" s="2744">
        <f>ROUND(IF(AND(项目基本情况!B7="自然人",项目基本情况!B6="北京市"),C50*F60/(1+'数据-取费表'!F30),C61+C62+C63),0)</f>
        <v>0</v>
      </c>
      <c r="D60" s="1255" t="s">
        <v>1873</v>
      </c>
      <c r="E60" s="1258" t="s">
        <v>1874</v>
      </c>
      <c r="F60" s="2743">
        <f>IF(项目基本情况!B7="企业","——",IF('数据-取费表'!B10="住宅",IF(F50*F51*F52/12/(1+'数据-取费表'!F30)&gt;100000,4%,2.5%),IF(F50*F51*F52/12/(1+'数据-取费表'!F30)&gt;100000,12%,7%)))</f>
        <v>7.0000000000000007E-2</v>
      </c>
      <c r="I60" s="1475" t="s">
        <v>1946</v>
      </c>
      <c r="J60" s="991">
        <f ca="1">IF(OR(M48="住宅",J52&lt;L49,J57="是"),"——",ROUND(C29*J59,0))</f>
        <v>231535</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0"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426</v>
      </c>
      <c r="R60" s="1007" t="s">
        <v>774</v>
      </c>
    </row>
    <row r="61" spans="1:18" s="651" customFormat="1" ht="16.5" thickBot="1">
      <c r="A61" s="253" t="s">
        <v>16</v>
      </c>
      <c r="B61" s="235" t="s">
        <v>1875</v>
      </c>
      <c r="C61" s="13" t="str">
        <f>IF(项目基本情况!B7="自然人","——",ROUND(C49*F61/(1+'数据-取费表'!F30),0))</f>
        <v>——</v>
      </c>
      <c r="D61" s="1258" t="s">
        <v>1876</v>
      </c>
      <c r="E61" s="235" t="s">
        <v>1825</v>
      </c>
      <c r="F61" s="267">
        <f t="shared" ref="F61:F67" si="0">F32</f>
        <v>5.6000000000000001E-2</v>
      </c>
      <c r="I61" s="1476" t="s">
        <v>1947</v>
      </c>
      <c r="J61" s="990">
        <f ca="1">IF(OR(M48="住宅",J52&lt;L49,J57="是"),"0",ROUND(J60/(1+J53)^J54,0))</f>
        <v>57941</v>
      </c>
      <c r="K61" s="1477" t="s">
        <v>1948</v>
      </c>
      <c r="L61" s="990">
        <f>IF(OR(M48="住宅",L49&lt;J52),0,ROUND(L58*(L59/L60-1),0))</f>
        <v>0</v>
      </c>
      <c r="O61" s="998" t="s">
        <v>1949</v>
      </c>
      <c r="P61" s="999"/>
      <c r="Q61" s="995"/>
      <c r="R61" s="999"/>
    </row>
    <row r="62" spans="1:18" s="651" customFormat="1" ht="15.75" thickBot="1">
      <c r="A62" s="253" t="s">
        <v>17</v>
      </c>
      <c r="B62" s="235" t="s">
        <v>1950</v>
      </c>
      <c r="C62" s="13" t="str">
        <f>IF(项目基本情况!B7="自然人","——",IF(D62="按租金收入计税",ROUND(C50*F62/(1+'数据-取费表'!F30),0),IF(D62="按房产原值计税",ROUND(C58*F62*0.7,0),'数据-取费表'!B44)))</f>
        <v>——</v>
      </c>
      <c r="D62" s="1363" t="s">
        <v>1822</v>
      </c>
      <c r="E62" s="235" t="s">
        <v>1825</v>
      </c>
      <c r="F62" s="258">
        <f t="shared" si="0"/>
        <v>0.12</v>
      </c>
      <c r="O62" s="1000" t="s">
        <v>1895</v>
      </c>
      <c r="P62" s="1001" t="s">
        <v>1896</v>
      </c>
      <c r="Q62" s="1002" t="s">
        <v>1897</v>
      </c>
      <c r="R62" s="1003" t="s">
        <v>1898</v>
      </c>
    </row>
    <row r="63" spans="1:18" s="651" customFormat="1" ht="15.75" thickBot="1">
      <c r="A63" s="260" t="s">
        <v>18</v>
      </c>
      <c r="B63" s="36" t="s">
        <v>1951</v>
      </c>
      <c r="C63" s="14" t="str">
        <f>IF(项目基本情况!B7="自然人","——",ROUND(F63*F64,0))</f>
        <v>——</v>
      </c>
      <c r="D63" s="261" t="s">
        <v>1952</v>
      </c>
      <c r="E63" s="235" t="s">
        <v>1953</v>
      </c>
      <c r="F63" s="262">
        <f t="shared" si="0"/>
        <v>3</v>
      </c>
      <c r="I63" s="1478" t="s">
        <v>1954</v>
      </c>
      <c r="J63" s="1250" t="s">
        <v>1955</v>
      </c>
      <c r="K63" s="1250" t="s">
        <v>1956</v>
      </c>
      <c r="L63" s="1250" t="s">
        <v>1957</v>
      </c>
      <c r="M63" s="1249" t="s">
        <v>1958</v>
      </c>
      <c r="O63" s="1004" t="s">
        <v>767</v>
      </c>
      <c r="P63" s="1005" t="s">
        <v>1899</v>
      </c>
      <c r="Q63" s="1006">
        <f ca="1">C40+J29</f>
        <v>4257047</v>
      </c>
      <c r="R63" s="1007" t="s">
        <v>1900</v>
      </c>
    </row>
    <row r="64" spans="1:18" s="651" customFormat="1" ht="20.25" thickBot="1">
      <c r="A64" s="263"/>
      <c r="B64" s="244"/>
      <c r="C64" s="17"/>
      <c r="D64" s="264"/>
      <c r="E64" s="235" t="s">
        <v>1959</v>
      </c>
      <c r="F64" s="236">
        <f t="shared" si="0"/>
        <v>0</v>
      </c>
      <c r="I64" s="1478" t="s">
        <v>1960</v>
      </c>
      <c r="J64" s="1250">
        <v>70</v>
      </c>
      <c r="K64" s="1250">
        <v>50</v>
      </c>
      <c r="L64" s="1250">
        <v>80</v>
      </c>
      <c r="M64" s="1248">
        <v>0.02</v>
      </c>
      <c r="O64" s="1004" t="s">
        <v>768</v>
      </c>
      <c r="P64" s="1005" t="s">
        <v>1931</v>
      </c>
      <c r="Q64" s="1006">
        <f>L61</f>
        <v>0</v>
      </c>
      <c r="R64" s="1007" t="s">
        <v>1932</v>
      </c>
    </row>
    <row r="65" spans="1:18" s="651" customFormat="1" ht="23.25" thickBot="1">
      <c r="A65" s="253" t="s">
        <v>19</v>
      </c>
      <c r="B65" s="235" t="s">
        <v>1880</v>
      </c>
      <c r="C65" s="13">
        <f ca="1">ROUND(C58*F65,0)</f>
        <v>5788</v>
      </c>
      <c r="D65" s="1258" t="s">
        <v>1881</v>
      </c>
      <c r="E65" s="235" t="s">
        <v>1825</v>
      </c>
      <c r="F65" s="265">
        <f t="shared" si="0"/>
        <v>0.01</v>
      </c>
      <c r="I65" s="1478" t="s">
        <v>1961</v>
      </c>
      <c r="J65" s="1250">
        <v>50</v>
      </c>
      <c r="K65" s="1250">
        <v>35</v>
      </c>
      <c r="L65" s="1250">
        <v>60</v>
      </c>
      <c r="M65" s="1249">
        <v>0</v>
      </c>
      <c r="O65" s="1008" t="s">
        <v>769</v>
      </c>
      <c r="P65" s="1005" t="s">
        <v>1935</v>
      </c>
      <c r="Q65" s="1010">
        <f ca="1">L52</f>
        <v>72480894</v>
      </c>
      <c r="R65" s="1011" t="s">
        <v>1962</v>
      </c>
    </row>
    <row r="66" spans="1:18" s="651" customFormat="1" ht="20.25" thickBot="1">
      <c r="A66" s="253" t="s">
        <v>20</v>
      </c>
      <c r="B66" s="235" t="s">
        <v>1840</v>
      </c>
      <c r="C66" s="13">
        <f ca="1">ROUND(C57*F66,0)</f>
        <v>440</v>
      </c>
      <c r="D66" s="1258" t="s">
        <v>1841</v>
      </c>
      <c r="E66" s="235" t="s">
        <v>1842</v>
      </c>
      <c r="F66" s="266">
        <f t="shared" si="0"/>
        <v>1E-3</v>
      </c>
      <c r="I66" s="1478" t="s">
        <v>1963</v>
      </c>
      <c r="J66" s="1250">
        <v>40</v>
      </c>
      <c r="K66" s="1250">
        <v>30</v>
      </c>
      <c r="L66" s="1250">
        <v>50</v>
      </c>
      <c r="M66" s="1248">
        <v>0.02</v>
      </c>
      <c r="O66" s="1008" t="s">
        <v>770</v>
      </c>
      <c r="P66" s="1012" t="s">
        <v>1964</v>
      </c>
      <c r="Q66" s="1006">
        <f ca="1">ROUND(Q67-Q68*Q69,0)</f>
        <v>295494</v>
      </c>
      <c r="R66" s="1007"/>
    </row>
    <row r="67" spans="1:18" s="651" customFormat="1" ht="15.75" thickBot="1">
      <c r="A67" s="253" t="s">
        <v>21</v>
      </c>
      <c r="B67" s="235" t="s">
        <v>1823</v>
      </c>
      <c r="C67" s="13">
        <f ca="1">ROUND(C49*F67,0)</f>
        <v>0</v>
      </c>
      <c r="D67" s="1258" t="s">
        <v>1846</v>
      </c>
      <c r="E67" s="235" t="s">
        <v>1842</v>
      </c>
      <c r="F67" s="245">
        <f t="shared" si="0"/>
        <v>0.01</v>
      </c>
      <c r="O67" s="1008" t="s">
        <v>775</v>
      </c>
      <c r="P67" s="1012" t="s">
        <v>1965</v>
      </c>
      <c r="Q67" s="1006">
        <f ca="1">C39</f>
        <v>328488</v>
      </c>
      <c r="R67" s="1007" t="s">
        <v>1900</v>
      </c>
    </row>
    <row r="68" spans="1:18" ht="15.75" thickBot="1">
      <c r="A68" s="248" t="s">
        <v>22</v>
      </c>
      <c r="B68" s="41" t="s">
        <v>1850</v>
      </c>
      <c r="C68" s="250">
        <f ca="1">C49-C59</f>
        <v>-6228</v>
      </c>
      <c r="D68" s="1255" t="s">
        <v>1851</v>
      </c>
      <c r="E68" s="1257"/>
      <c r="F68" s="268"/>
      <c r="H68" s="651"/>
      <c r="I68" s="651"/>
      <c r="J68" s="651"/>
      <c r="K68" s="651"/>
      <c r="L68" s="651"/>
      <c r="M68" s="651"/>
      <c r="O68" s="1008" t="s">
        <v>776</v>
      </c>
      <c r="P68" s="1012" t="s">
        <v>1966</v>
      </c>
      <c r="Q68" s="1006">
        <f ca="1">C13</f>
        <v>439917</v>
      </c>
      <c r="R68" s="1007" t="s">
        <v>1900</v>
      </c>
    </row>
    <row r="69" spans="1:18" ht="15.75" thickBot="1">
      <c r="A69" s="232" t="s">
        <v>23</v>
      </c>
      <c r="B69" s="233" t="s">
        <v>1888</v>
      </c>
      <c r="C69" s="234">
        <f ca="1">ROUND(C68*(1-((1+F71)/(1+F69))^F70)/(F69-F71),0)</f>
        <v>-67434</v>
      </c>
      <c r="D69" s="261" t="s">
        <v>1856</v>
      </c>
      <c r="E69" s="235" t="s">
        <v>1857</v>
      </c>
      <c r="F69" s="245">
        <f>F40</f>
        <v>0.06</v>
      </c>
      <c r="H69" s="651"/>
      <c r="I69" s="651"/>
      <c r="J69" s="651"/>
      <c r="K69" s="651"/>
      <c r="L69" s="651"/>
      <c r="M69" s="651"/>
      <c r="O69" s="1008" t="s">
        <v>777</v>
      </c>
      <c r="P69" s="1012" t="s">
        <v>1967</v>
      </c>
      <c r="Q69" s="1009">
        <f>J35</f>
        <v>7.4999999999999997E-2</v>
      </c>
      <c r="R69" s="1007"/>
    </row>
    <row r="70" spans="1:18" ht="15.75" thickBot="1">
      <c r="A70" s="237"/>
      <c r="B70" s="238"/>
      <c r="C70" s="239"/>
      <c r="D70" s="269" t="s">
        <v>1890</v>
      </c>
      <c r="E70" s="235" t="s">
        <v>1862</v>
      </c>
      <c r="F70" s="270">
        <f>F41</f>
        <v>18</v>
      </c>
      <c r="H70" s="651"/>
      <c r="I70" s="651"/>
      <c r="J70" s="651"/>
      <c r="K70" s="651"/>
      <c r="L70" s="651"/>
      <c r="M70" s="651"/>
      <c r="O70" s="1008" t="s">
        <v>771</v>
      </c>
      <c r="P70" s="1005" t="s">
        <v>1938</v>
      </c>
      <c r="Q70" s="1009">
        <f>L53</f>
        <v>0</v>
      </c>
      <c r="R70" s="1007"/>
    </row>
    <row r="71" spans="1:18" ht="20.25" thickBot="1">
      <c r="A71" s="241"/>
      <c r="B71" s="242"/>
      <c r="C71" s="243"/>
      <c r="D71" s="264"/>
      <c r="E71" s="235" t="s">
        <v>1866</v>
      </c>
      <c r="F71" s="993"/>
      <c r="H71" s="651"/>
      <c r="M71" s="651"/>
      <c r="O71" s="1008" t="s">
        <v>772</v>
      </c>
      <c r="P71" s="1005" t="s">
        <v>1941</v>
      </c>
      <c r="Q71" s="1006" t="e">
        <f>L59</f>
        <v>#DIV/0!</v>
      </c>
      <c r="R71" s="1007" t="s">
        <v>1942</v>
      </c>
    </row>
    <row r="72" spans="1:18" ht="15.75" thickBot="1">
      <c r="A72" s="271" t="s">
        <v>24</v>
      </c>
      <c r="B72" s="272" t="s">
        <v>1891</v>
      </c>
      <c r="C72" s="273">
        <f ca="1">ROUND(C69/F72,0)</f>
        <v>-551</v>
      </c>
      <c r="D72" s="274" t="s">
        <v>1892</v>
      </c>
      <c r="E72" s="275" t="s">
        <v>1893</v>
      </c>
      <c r="F72" s="276">
        <f>F43</f>
        <v>122.45</v>
      </c>
      <c r="O72" s="1008" t="s">
        <v>778</v>
      </c>
      <c r="P72" s="1005" t="str">
        <f>K60</f>
        <v>建筑物剩余耐用年限下的土地年期修正系数Kn</v>
      </c>
      <c r="Q72" s="1006" t="e">
        <f>L60</f>
        <v>#DIV/0!</v>
      </c>
      <c r="R72" s="1007" t="s">
        <v>1945</v>
      </c>
    </row>
    <row r="73" spans="1:18" ht="15.75" thickBot="1">
      <c r="A73" s="651"/>
      <c r="B73" s="655"/>
      <c r="C73" s="655"/>
      <c r="D73" s="651"/>
      <c r="E73" s="651"/>
      <c r="F73" s="651"/>
      <c r="O73" s="1004" t="s">
        <v>773</v>
      </c>
      <c r="P73" s="1005" t="str">
        <f>IF(C2="元","收益价值(元)","收益价值(万元)")</f>
        <v>收益价值(万元)</v>
      </c>
      <c r="Q73" s="1006">
        <f ca="1">ROUND(IF(C2="元",Q63+Q64,(Q63+Q64)/10000),0)</f>
        <v>426</v>
      </c>
      <c r="R73" s="1007" t="s">
        <v>774</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2793</v>
      </c>
      <c r="B1" s="3081"/>
      <c r="C1" s="3087"/>
      <c r="D1" s="3087"/>
      <c r="E1" s="3082"/>
      <c r="F1" s="3083"/>
      <c r="G1" s="3176"/>
      <c r="J1" s="3179" t="s">
        <v>2649</v>
      </c>
      <c r="K1" s="3180"/>
      <c r="L1" s="3180"/>
      <c r="M1" s="3180"/>
      <c r="N1" s="3180"/>
      <c r="O1" s="3180"/>
      <c r="P1" s="3180"/>
      <c r="Q1" s="3180"/>
      <c r="R1" s="3181"/>
      <c r="S1" s="3182"/>
      <c r="T1" s="3182"/>
      <c r="U1" s="3182"/>
    </row>
    <row r="2" spans="1:23" s="3090" customFormat="1" ht="13.15" customHeight="1">
      <c r="A2" s="3085" t="s">
        <v>2650</v>
      </c>
      <c r="B2" s="3086" t="e">
        <f>C40</f>
        <v>#DIV/0!</v>
      </c>
      <c r="C2" s="3087" t="s">
        <v>2651</v>
      </c>
      <c r="D2" s="3087"/>
      <c r="E2" s="3088"/>
      <c r="F2" s="3089"/>
      <c r="G2" s="3183"/>
      <c r="H2" s="3184"/>
      <c r="I2" s="3185"/>
      <c r="J2" s="3613" t="s">
        <v>2652</v>
      </c>
      <c r="K2" s="3614"/>
      <c r="L2" s="3186" t="s">
        <v>2653</v>
      </c>
      <c r="M2" s="3186" t="s">
        <v>2654</v>
      </c>
      <c r="N2" s="3186" t="s">
        <v>2655</v>
      </c>
      <c r="O2" s="3186" t="s">
        <v>2656</v>
      </c>
      <c r="P2" s="3186" t="s">
        <v>2657</v>
      </c>
      <c r="Q2" s="3187" t="s">
        <v>2658</v>
      </c>
      <c r="R2" s="3188" t="s">
        <v>2659</v>
      </c>
      <c r="S2" s="3182"/>
      <c r="T2" s="3182"/>
      <c r="U2" s="3182"/>
      <c r="V2" s="3185"/>
      <c r="W2" s="3184"/>
    </row>
    <row r="3" spans="1:23" s="3090" customFormat="1" ht="13.15" customHeight="1">
      <c r="A3" s="3092" t="s">
        <v>2660</v>
      </c>
      <c r="B3" s="3093" t="e">
        <f>ROUND(B2*10000/B4,0)</f>
        <v>#DIV/0!</v>
      </c>
      <c r="C3" s="3087" t="s">
        <v>2661</v>
      </c>
      <c r="D3" s="3087"/>
      <c r="E3" s="3088"/>
      <c r="F3" s="3089"/>
      <c r="G3" s="3183"/>
      <c r="H3" s="3184"/>
      <c r="I3" s="3185"/>
      <c r="J3" s="3615" t="s">
        <v>2662</v>
      </c>
      <c r="K3" s="3616"/>
      <c r="L3" s="3189"/>
      <c r="M3" s="3189"/>
      <c r="N3" s="3189"/>
      <c r="O3" s="3189"/>
      <c r="P3" s="3189"/>
      <c r="Q3" s="3190"/>
      <c r="R3" s="3191">
        <f>SUM(L3:Q3)</f>
        <v>0</v>
      </c>
      <c r="S3" s="3182"/>
      <c r="T3" s="3182"/>
      <c r="U3" s="3182"/>
      <c r="V3" s="3185"/>
      <c r="W3" s="3184"/>
    </row>
    <row r="4" spans="1:23" s="3090" customFormat="1" ht="13.15" customHeight="1">
      <c r="A4" s="3094" t="s">
        <v>2663</v>
      </c>
      <c r="B4" s="3151"/>
      <c r="C4" s="3087"/>
      <c r="D4" s="3087"/>
      <c r="E4" s="3088"/>
      <c r="F4" s="3089"/>
      <c r="G4" s="3183"/>
      <c r="H4" s="3184"/>
      <c r="I4" s="3185"/>
      <c r="J4" s="3615" t="s">
        <v>2664</v>
      </c>
      <c r="K4" s="3616"/>
      <c r="L4" s="3192"/>
      <c r="M4" s="3192"/>
      <c r="N4" s="3192"/>
      <c r="O4" s="3192"/>
      <c r="P4" s="3192"/>
      <c r="Q4" s="3193"/>
      <c r="R4" s="3194">
        <f>SUM(L4:Q4)</f>
        <v>0</v>
      </c>
      <c r="S4" s="3182"/>
      <c r="T4" s="3182"/>
      <c r="U4" s="3182"/>
      <c r="V4" s="3185"/>
      <c r="W4" s="3184"/>
    </row>
    <row r="5" spans="1:23" s="3090" customFormat="1" ht="13.15" customHeight="1" thickBot="1">
      <c r="A5" s="3095" t="s">
        <v>2665</v>
      </c>
      <c r="B5" s="3152"/>
      <c r="C5" s="3087"/>
      <c r="D5" s="3096"/>
      <c r="E5" s="3089"/>
      <c r="F5" s="3089"/>
      <c r="G5" s="3183"/>
      <c r="H5" s="3184"/>
      <c r="I5" s="3185"/>
      <c r="J5" s="3195" t="s">
        <v>2666</v>
      </c>
      <c r="K5" s="3196"/>
      <c r="L5" s="3196"/>
      <c r="M5" s="3197"/>
      <c r="N5" s="3197"/>
      <c r="O5" s="3197"/>
      <c r="P5" s="3197"/>
      <c r="Q5" s="3197"/>
      <c r="R5" s="3188">
        <f>SUM(R14,R19,R24,R25,R27,R28)</f>
        <v>0</v>
      </c>
      <c r="S5" s="3182"/>
      <c r="T5" s="3182" t="s">
        <v>2667</v>
      </c>
      <c r="U5" s="3182" t="e">
        <f>ROUND(R5*10000/365/R3,1)</f>
        <v>#DIV/0!</v>
      </c>
      <c r="V5" s="3185"/>
      <c r="W5" s="3184"/>
    </row>
    <row r="6" spans="1:23" s="3090" customFormat="1" ht="13.15" customHeight="1" thickBot="1">
      <c r="A6" s="3621" t="s">
        <v>2668</v>
      </c>
      <c r="B6" s="3622"/>
      <c r="C6" s="3623"/>
      <c r="D6" s="3153"/>
      <c r="E6" s="3097"/>
      <c r="F6" s="3098"/>
      <c r="G6" s="3198"/>
      <c r="H6" s="3184"/>
      <c r="I6" s="3185"/>
      <c r="J6" s="3607">
        <v>1</v>
      </c>
      <c r="K6" s="3608" t="s">
        <v>2669</v>
      </c>
      <c r="L6" s="3199" t="s">
        <v>2670</v>
      </c>
      <c r="M6" s="3200" t="s">
        <v>2671</v>
      </c>
      <c r="N6" s="3200" t="s">
        <v>2672</v>
      </c>
      <c r="O6" s="3200" t="s">
        <v>2673</v>
      </c>
      <c r="P6" s="3200" t="s">
        <v>2674</v>
      </c>
      <c r="Q6" s="3200" t="s">
        <v>2675</v>
      </c>
      <c r="R6" s="3191" t="s">
        <v>2676</v>
      </c>
      <c r="S6" s="3182"/>
      <c r="T6" s="3182" t="s">
        <v>2677</v>
      </c>
      <c r="U6" s="3182"/>
      <c r="V6" s="3185"/>
      <c r="W6" s="3184"/>
    </row>
    <row r="7" spans="1:23" s="3090" customFormat="1" ht="13.15" customHeight="1">
      <c r="A7" s="3100" t="s">
        <v>2678</v>
      </c>
      <c r="B7" s="3101"/>
      <c r="C7" s="3102"/>
      <c r="D7" s="3103">
        <f>SUM(D9,D10,D11,D17,0)</f>
        <v>0</v>
      </c>
      <c r="E7" s="3104" t="e">
        <f>E9+E10+E11+E17</f>
        <v>#DIV/0!</v>
      </c>
      <c r="F7" s="3105"/>
      <c r="G7" s="3201"/>
      <c r="H7" s="3184"/>
      <c r="I7" s="3185"/>
      <c r="J7" s="3607"/>
      <c r="K7" s="3609"/>
      <c r="L7" s="3202" t="s">
        <v>2778</v>
      </c>
      <c r="M7" s="3203"/>
      <c r="N7" s="3203"/>
      <c r="O7" s="3204"/>
      <c r="P7" s="3204"/>
      <c r="Q7" s="3205">
        <v>365</v>
      </c>
      <c r="R7" s="3206">
        <f>ROUND(M7*N7*O7*P7*Q7/10000,0)</f>
        <v>0</v>
      </c>
      <c r="S7" s="3182"/>
      <c r="T7" s="3182" t="s">
        <v>2679</v>
      </c>
      <c r="U7" s="3182"/>
      <c r="V7" s="3185"/>
      <c r="W7" s="3184"/>
    </row>
    <row r="8" spans="1:23" s="3090" customFormat="1" ht="13.15" customHeight="1">
      <c r="A8" s="3106" t="s">
        <v>2680</v>
      </c>
      <c r="B8" s="3624" t="s">
        <v>2681</v>
      </c>
      <c r="C8" s="3625"/>
      <c r="D8" s="3107" t="s">
        <v>2682</v>
      </c>
      <c r="E8" s="3108" t="s">
        <v>2683</v>
      </c>
      <c r="F8" s="3091" t="s">
        <v>2684</v>
      </c>
      <c r="G8" s="3261" t="s">
        <v>2792</v>
      </c>
      <c r="H8" s="3184"/>
      <c r="I8" s="3185"/>
      <c r="J8" s="3607"/>
      <c r="K8" s="3609"/>
      <c r="L8" s="3202" t="s">
        <v>2779</v>
      </c>
      <c r="M8" s="3203"/>
      <c r="N8" s="3203"/>
      <c r="O8" s="3204"/>
      <c r="P8" s="3204"/>
      <c r="Q8" s="3205">
        <v>365</v>
      </c>
      <c r="R8" s="3206">
        <f t="shared" ref="R8:R13" si="0">ROUND(M8*N8*O8*P8*Q8/10000,0)</f>
        <v>0</v>
      </c>
      <c r="S8" s="3182"/>
      <c r="T8" s="3182" t="s">
        <v>2685</v>
      </c>
      <c r="U8" s="3182"/>
      <c r="V8" s="3185"/>
      <c r="W8" s="3184"/>
    </row>
    <row r="9" spans="1:23" s="3090" customFormat="1" ht="13.15" customHeight="1">
      <c r="A9" s="3106">
        <v>1</v>
      </c>
      <c r="B9" s="3624" t="s">
        <v>2686</v>
      </c>
      <c r="C9" s="3625"/>
      <c r="D9" s="3107">
        <f>ROUND(D6*E9,0)</f>
        <v>0</v>
      </c>
      <c r="E9" s="3154"/>
      <c r="F9" s="3109" t="s">
        <v>2687</v>
      </c>
      <c r="G9" s="3207" t="s">
        <v>2790</v>
      </c>
      <c r="H9" s="3184"/>
      <c r="I9" s="3185"/>
      <c r="J9" s="3607"/>
      <c r="K9" s="3609"/>
      <c r="L9" s="3202" t="s">
        <v>2780</v>
      </c>
      <c r="M9" s="3203"/>
      <c r="N9" s="3203"/>
      <c r="O9" s="3204"/>
      <c r="P9" s="3204"/>
      <c r="Q9" s="3205">
        <v>365</v>
      </c>
      <c r="R9" s="3206">
        <f t="shared" si="0"/>
        <v>0</v>
      </c>
      <c r="S9" s="3182"/>
      <c r="T9" s="3182"/>
      <c r="U9" s="3182"/>
      <c r="V9" s="3185"/>
      <c r="W9" s="3184"/>
    </row>
    <row r="10" spans="1:23" s="3090" customFormat="1" ht="13.15" customHeight="1">
      <c r="A10" s="3106">
        <v>2</v>
      </c>
      <c r="B10" s="3624" t="s">
        <v>2688</v>
      </c>
      <c r="C10" s="3625"/>
      <c r="D10" s="3107">
        <f>ROUND(D6*E10,0)</f>
        <v>0</v>
      </c>
      <c r="E10" s="3154"/>
      <c r="F10" s="3109" t="s">
        <v>2689</v>
      </c>
      <c r="G10" s="3207" t="s">
        <v>2791</v>
      </c>
      <c r="H10" s="3184"/>
      <c r="I10" s="3185"/>
      <c r="J10" s="3607"/>
      <c r="K10" s="3609"/>
      <c r="L10" s="3202" t="s">
        <v>2781</v>
      </c>
      <c r="M10" s="3203"/>
      <c r="N10" s="3203"/>
      <c r="O10" s="3204"/>
      <c r="P10" s="3204"/>
      <c r="Q10" s="3205">
        <v>365</v>
      </c>
      <c r="R10" s="3206">
        <f t="shared" si="0"/>
        <v>0</v>
      </c>
      <c r="S10" s="3182"/>
      <c r="T10" s="3182"/>
      <c r="U10" s="3182"/>
      <c r="V10" s="3185"/>
      <c r="W10" s="3184"/>
    </row>
    <row r="11" spans="1:23" s="3090" customFormat="1" ht="13.15" customHeight="1">
      <c r="A11" s="3106">
        <v>3</v>
      </c>
      <c r="B11" s="3624" t="s">
        <v>2690</v>
      </c>
      <c r="C11" s="3625"/>
      <c r="D11" s="3107">
        <f>D12+D14+D15+D16</f>
        <v>0</v>
      </c>
      <c r="E11" s="3110" t="e">
        <f>D11/D6</f>
        <v>#DIV/0!</v>
      </c>
      <c r="F11" s="3091"/>
      <c r="G11" s="3207"/>
      <c r="H11" s="3184"/>
      <c r="I11" s="3185"/>
      <c r="J11" s="3607"/>
      <c r="K11" s="3609"/>
      <c r="L11" s="3202" t="s">
        <v>2782</v>
      </c>
      <c r="M11" s="3203"/>
      <c r="N11" s="3203"/>
      <c r="O11" s="3204"/>
      <c r="P11" s="3204"/>
      <c r="Q11" s="3205">
        <v>365</v>
      </c>
      <c r="R11" s="3206">
        <f t="shared" si="0"/>
        <v>0</v>
      </c>
      <c r="S11" s="3182"/>
      <c r="T11" s="3182"/>
      <c r="U11" s="3182"/>
      <c r="V11" s="3185"/>
      <c r="W11" s="3184"/>
    </row>
    <row r="12" spans="1:23" s="3090" customFormat="1" ht="13.15" customHeight="1">
      <c r="A12" s="3111" t="s">
        <v>2691</v>
      </c>
      <c r="B12" s="3617" t="s">
        <v>2692</v>
      </c>
      <c r="C12" s="3618"/>
      <c r="D12" s="3112">
        <f>ROUND(D13*1.2%*(1-30%),0)</f>
        <v>0</v>
      </c>
      <c r="E12" s="3113">
        <v>1.2E-2</v>
      </c>
      <c r="F12" s="3091" t="s">
        <v>2693</v>
      </c>
      <c r="G12" s="3207"/>
      <c r="H12" s="3184"/>
      <c r="I12" s="3185"/>
      <c r="J12" s="3607"/>
      <c r="K12" s="3609"/>
      <c r="L12" s="3202" t="s">
        <v>2783</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2694</v>
      </c>
      <c r="D13" s="3155"/>
      <c r="E13" s="3116"/>
      <c r="F13" s="3091"/>
      <c r="G13" s="3207"/>
      <c r="H13" s="3184"/>
      <c r="I13" s="3185"/>
      <c r="J13" s="3607"/>
      <c r="K13" s="3609"/>
      <c r="L13" s="3202" t="s">
        <v>2784</v>
      </c>
      <c r="M13" s="3203"/>
      <c r="N13" s="3203"/>
      <c r="O13" s="3204"/>
      <c r="P13" s="3204"/>
      <c r="Q13" s="3205">
        <v>365</v>
      </c>
      <c r="R13" s="3206">
        <f t="shared" si="0"/>
        <v>0</v>
      </c>
      <c r="S13" s="3182"/>
      <c r="T13" s="3182"/>
      <c r="U13" s="3182"/>
      <c r="V13" s="3185"/>
      <c r="W13" s="3184"/>
    </row>
    <row r="14" spans="1:23" s="3090" customFormat="1" ht="13.15" customHeight="1">
      <c r="A14" s="3111" t="s">
        <v>2695</v>
      </c>
      <c r="B14" s="3617" t="s">
        <v>2696</v>
      </c>
      <c r="C14" s="3618"/>
      <c r="D14" s="3112">
        <f>ROUND(E14*B5/10000,0)</f>
        <v>0</v>
      </c>
      <c r="E14" s="3156"/>
      <c r="F14" s="3091" t="s">
        <v>2697</v>
      </c>
      <c r="G14" s="3207"/>
      <c r="H14" s="3184"/>
      <c r="I14" s="3185"/>
      <c r="J14" s="3607"/>
      <c r="K14" s="3610"/>
      <c r="L14" s="3208" t="s">
        <v>2698</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2699</v>
      </c>
      <c r="B15" s="3617" t="s">
        <v>2700</v>
      </c>
      <c r="C15" s="3618"/>
      <c r="D15" s="3112">
        <f>ROUND(D6*E15,0)</f>
        <v>0</v>
      </c>
      <c r="E15" s="3113">
        <v>5.5E-2</v>
      </c>
      <c r="F15" s="3091" t="s">
        <v>2701</v>
      </c>
      <c r="G15" s="3207"/>
      <c r="H15" s="3184"/>
      <c r="I15" s="3185"/>
      <c r="J15" s="3607">
        <v>2</v>
      </c>
      <c r="K15" s="3608" t="s">
        <v>2702</v>
      </c>
      <c r="L15" s="3212" t="s">
        <v>2703</v>
      </c>
      <c r="M15" s="3213" t="s">
        <v>2704</v>
      </c>
      <c r="N15" s="3213" t="s">
        <v>2705</v>
      </c>
      <c r="O15" s="3214" t="s">
        <v>2706</v>
      </c>
      <c r="P15" s="3214" t="s">
        <v>2707</v>
      </c>
      <c r="Q15" s="3151" t="s">
        <v>2708</v>
      </c>
      <c r="R15" s="3215" t="s">
        <v>2709</v>
      </c>
      <c r="S15" s="3182"/>
      <c r="T15" s="3182"/>
      <c r="U15" s="3182"/>
      <c r="V15" s="3185"/>
      <c r="W15" s="3184"/>
    </row>
    <row r="16" spans="1:23" s="3090" customFormat="1" ht="13.15" customHeight="1">
      <c r="A16" s="3111" t="s">
        <v>2710</v>
      </c>
      <c r="B16" s="3617" t="s">
        <v>2711</v>
      </c>
      <c r="C16" s="3618"/>
      <c r="D16" s="3157">
        <f>D6*E16</f>
        <v>0</v>
      </c>
      <c r="E16" s="3158"/>
      <c r="F16" s="3109" t="s">
        <v>2712</v>
      </c>
      <c r="G16" s="3207"/>
      <c r="H16" s="3184"/>
      <c r="I16" s="3185"/>
      <c r="J16" s="3607"/>
      <c r="K16" s="3609"/>
      <c r="L16" s="3202" t="s">
        <v>2785</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619" t="s">
        <v>2713</v>
      </c>
      <c r="C17" s="3620"/>
      <c r="D17" s="3118">
        <f>ROUND(D6*E17,0)</f>
        <v>0</v>
      </c>
      <c r="E17" s="3159"/>
      <c r="F17" s="3119" t="s">
        <v>2714</v>
      </c>
      <c r="G17" s="3260">
        <v>0.1</v>
      </c>
      <c r="H17" s="3184"/>
      <c r="I17" s="3185"/>
      <c r="J17" s="3607"/>
      <c r="K17" s="3609"/>
      <c r="L17" s="3202" t="s">
        <v>2786</v>
      </c>
      <c r="M17" s="3203"/>
      <c r="N17" s="3203"/>
      <c r="O17" s="3204"/>
      <c r="P17" s="3205">
        <v>365</v>
      </c>
      <c r="Q17" s="3203"/>
      <c r="R17" s="3216">
        <f>ROUND(M17*N17*O17*P17/10000,0)</f>
        <v>0</v>
      </c>
      <c r="S17" s="3182"/>
      <c r="T17" s="3182"/>
      <c r="U17" s="3182"/>
      <c r="V17" s="3185"/>
      <c r="W17" s="3184"/>
    </row>
    <row r="18" spans="1:23" s="3090" customFormat="1" ht="13.15" customHeight="1" thickBot="1">
      <c r="A18" s="3100" t="s">
        <v>2715</v>
      </c>
      <c r="B18" s="3101"/>
      <c r="C18" s="3101"/>
      <c r="D18" s="3120">
        <f>ROUND(D6*E18,0)</f>
        <v>0</v>
      </c>
      <c r="E18" s="3160"/>
      <c r="F18" s="3121" t="s">
        <v>2716</v>
      </c>
      <c r="G18" s="3260">
        <v>0.05</v>
      </c>
      <c r="H18" s="3184"/>
      <c r="I18" s="3185"/>
      <c r="J18" s="3607"/>
      <c r="K18" s="3609"/>
      <c r="L18" s="3202" t="s">
        <v>2787</v>
      </c>
      <c r="M18" s="3203"/>
      <c r="N18" s="3203"/>
      <c r="O18" s="3204"/>
      <c r="P18" s="3205">
        <v>365</v>
      </c>
      <c r="Q18" s="3203"/>
      <c r="R18" s="3216">
        <f>ROUND(M18*N18*O18*P18/10000,0)</f>
        <v>0</v>
      </c>
      <c r="S18" s="3182"/>
      <c r="T18" s="3182"/>
      <c r="U18" s="3182"/>
      <c r="V18" s="3185"/>
      <c r="W18" s="3184"/>
    </row>
    <row r="19" spans="1:23" s="3090" customFormat="1" ht="13.15" customHeight="1" thickBot="1">
      <c r="A19" s="3122" t="s">
        <v>2717</v>
      </c>
      <c r="B19" s="3097"/>
      <c r="C19" s="3097"/>
      <c r="D19" s="3097"/>
      <c r="E19" s="3097"/>
      <c r="F19" s="3098"/>
      <c r="G19" s="3207"/>
      <c r="H19" s="3184"/>
      <c r="I19" s="3185"/>
      <c r="J19" s="3607"/>
      <c r="K19" s="3610"/>
      <c r="L19" s="3208" t="s">
        <v>2698</v>
      </c>
      <c r="M19" s="3209"/>
      <c r="N19" s="3209">
        <f>SUM(N16:N18)</f>
        <v>0</v>
      </c>
      <c r="O19" s="3210"/>
      <c r="P19" s="3217" t="s">
        <v>2788</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607">
        <v>3</v>
      </c>
      <c r="K20" s="3608" t="s">
        <v>2718</v>
      </c>
      <c r="L20" s="3212" t="s">
        <v>2719</v>
      </c>
      <c r="M20" s="3213" t="s">
        <v>2720</v>
      </c>
      <c r="N20" s="3219" t="s">
        <v>2721</v>
      </c>
      <c r="O20" s="3214" t="s">
        <v>2722</v>
      </c>
      <c r="P20" s="3156" t="s">
        <v>2707</v>
      </c>
      <c r="Q20" s="3151" t="s">
        <v>2708</v>
      </c>
      <c r="R20" s="3215" t="s">
        <v>2709</v>
      </c>
      <c r="S20" s="3220"/>
      <c r="T20" s="3220"/>
      <c r="U20" s="3220"/>
      <c r="V20" s="3185"/>
      <c r="W20" s="3184"/>
    </row>
    <row r="21" spans="1:23" s="3090" customFormat="1" ht="13.15" customHeight="1">
      <c r="A21" s="3100"/>
      <c r="B21" s="3101"/>
      <c r="C21" s="3124" t="s">
        <v>2723</v>
      </c>
      <c r="D21" s="3125" t="s">
        <v>2724</v>
      </c>
      <c r="E21" s="3126" t="s">
        <v>2725</v>
      </c>
      <c r="F21" s="3123"/>
      <c r="G21" s="3207"/>
      <c r="H21" s="3184"/>
      <c r="I21" s="3185"/>
      <c r="J21" s="3607"/>
      <c r="K21" s="3609"/>
      <c r="L21" s="3212" t="s">
        <v>2726</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2727</v>
      </c>
      <c r="D22" s="3162" t="s">
        <v>2728</v>
      </c>
      <c r="E22" s="3163" t="s">
        <v>2729</v>
      </c>
      <c r="F22" s="3123"/>
      <c r="G22" s="3222"/>
      <c r="H22" s="3184"/>
      <c r="I22" s="3185"/>
      <c r="J22" s="3607"/>
      <c r="K22" s="3609"/>
      <c r="L22" s="3212" t="s">
        <v>2730</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2731</v>
      </c>
      <c r="C23" s="3128">
        <f>D6</f>
        <v>0</v>
      </c>
      <c r="D23" s="3129">
        <f>C23*(1+D24)</f>
        <v>0</v>
      </c>
      <c r="E23" s="3130">
        <f>D23*(1+E24)</f>
        <v>0</v>
      </c>
      <c r="F23" s="3131"/>
      <c r="G23" s="3223"/>
      <c r="H23" s="3184"/>
      <c r="I23" s="3185"/>
      <c r="J23" s="3607"/>
      <c r="K23" s="3609"/>
      <c r="L23" s="3212" t="s">
        <v>2732</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2733</v>
      </c>
      <c r="C24" s="3134"/>
      <c r="D24" s="3164"/>
      <c r="E24" s="3165"/>
      <c r="F24" s="3135"/>
      <c r="G24" s="3223"/>
      <c r="H24" s="3184"/>
      <c r="I24" s="3185"/>
      <c r="J24" s="3607"/>
      <c r="K24" s="3610"/>
      <c r="L24" s="3208" t="s">
        <v>2698</v>
      </c>
      <c r="M24" s="3209">
        <f>SUM(M21:M23)</f>
        <v>0</v>
      </c>
      <c r="N24" s="3209"/>
      <c r="O24" s="3210"/>
      <c r="P24" s="3217" t="s">
        <v>2788</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2734</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2735</v>
      </c>
      <c r="C26" s="3128">
        <f>D7</f>
        <v>0</v>
      </c>
      <c r="D26" s="3129">
        <f>D23*D27</f>
        <v>0</v>
      </c>
      <c r="E26" s="3130">
        <f>E23*E27</f>
        <v>0</v>
      </c>
      <c r="F26" s="3131"/>
      <c r="G26" s="3223"/>
      <c r="H26" s="3184"/>
      <c r="I26" s="3185"/>
      <c r="J26" s="3611">
        <v>5</v>
      </c>
      <c r="K26" s="3231" t="s">
        <v>2736</v>
      </c>
      <c r="L26" s="3232"/>
      <c r="M26" s="3233"/>
      <c r="N26" s="3234" t="s">
        <v>2737</v>
      </c>
      <c r="O26" s="3234" t="s">
        <v>2738</v>
      </c>
      <c r="P26" s="3235" t="s">
        <v>2739</v>
      </c>
      <c r="Q26" s="3235" t="s">
        <v>2740</v>
      </c>
      <c r="R26" s="3191" t="s">
        <v>2709</v>
      </c>
      <c r="S26" s="3236"/>
      <c r="T26" s="3236"/>
      <c r="U26" s="3236"/>
      <c r="V26" s="3229"/>
      <c r="W26" s="3230"/>
    </row>
    <row r="27" spans="1:23" s="3090" customFormat="1" ht="13.15" customHeight="1">
      <c r="A27" s="3132"/>
      <c r="B27" s="3133" t="s">
        <v>2741</v>
      </c>
      <c r="C27" s="3137" t="e">
        <f>E7</f>
        <v>#DIV/0!</v>
      </c>
      <c r="D27" s="3164"/>
      <c r="E27" s="3165"/>
      <c r="F27" s="3135"/>
      <c r="G27" s="3223"/>
      <c r="H27" s="3230"/>
      <c r="I27" s="3229"/>
      <c r="J27" s="3612"/>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2742</v>
      </c>
      <c r="F28" s="3135"/>
      <c r="G28" s="3222"/>
      <c r="H28" s="3230"/>
      <c r="I28" s="3229"/>
      <c r="J28" s="3242">
        <v>6</v>
      </c>
      <c r="K28" s="3243" t="s">
        <v>2743</v>
      </c>
      <c r="L28" s="3244" t="s">
        <v>2744</v>
      </c>
      <c r="M28" s="3245"/>
      <c r="N28" s="3244" t="s">
        <v>2745</v>
      </c>
      <c r="O28" s="3246"/>
      <c r="P28" s="3244" t="s">
        <v>2746</v>
      </c>
      <c r="Q28" s="3247">
        <v>1.4999999999999999E-2</v>
      </c>
      <c r="R28" s="3248"/>
      <c r="S28" s="3220"/>
      <c r="T28" s="3220"/>
      <c r="U28" s="3220"/>
      <c r="V28" s="3229"/>
      <c r="W28" s="3230"/>
    </row>
    <row r="29" spans="1:23" s="3136" customFormat="1" ht="13.15" customHeight="1">
      <c r="A29" s="3127">
        <v>3</v>
      </c>
      <c r="B29" s="3099" t="s">
        <v>2747</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2741</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2748</v>
      </c>
      <c r="K31" s="3180"/>
      <c r="L31" s="3180"/>
      <c r="M31" s="3180"/>
      <c r="N31" s="3180"/>
      <c r="O31" s="3180"/>
      <c r="P31" s="3180"/>
      <c r="Q31" s="3180"/>
      <c r="R31" s="3181"/>
      <c r="S31" s="3220"/>
      <c r="T31" s="3182"/>
      <c r="U31" s="3182"/>
      <c r="V31" s="3229"/>
      <c r="W31" s="3230"/>
    </row>
    <row r="32" spans="1:23" s="3136" customFormat="1" ht="13.15" customHeight="1">
      <c r="A32" s="3127">
        <v>4</v>
      </c>
      <c r="B32" s="3099" t="s">
        <v>2749</v>
      </c>
      <c r="C32" s="3128">
        <f>C23-C26-C29</f>
        <v>0</v>
      </c>
      <c r="D32" s="3129">
        <f>D23-D26-D29</f>
        <v>0</v>
      </c>
      <c r="E32" s="3130">
        <f>E23-E26-E29</f>
        <v>0</v>
      </c>
      <c r="F32" s="3131"/>
      <c r="G32" s="3222"/>
      <c r="H32" s="3184"/>
      <c r="I32" s="3185"/>
      <c r="J32" s="3613" t="s">
        <v>2750</v>
      </c>
      <c r="K32" s="3614"/>
      <c r="L32" s="3186" t="s">
        <v>2751</v>
      </c>
      <c r="M32" s="3186" t="s">
        <v>2654</v>
      </c>
      <c r="N32" s="3186" t="s">
        <v>2655</v>
      </c>
      <c r="O32" s="3186" t="s">
        <v>2656</v>
      </c>
      <c r="P32" s="3186" t="s">
        <v>2657</v>
      </c>
      <c r="Q32" s="3187" t="s">
        <v>2752</v>
      </c>
      <c r="R32" s="3249" t="s">
        <v>2753</v>
      </c>
      <c r="S32" s="3220"/>
      <c r="T32" s="3182"/>
      <c r="U32" s="3182"/>
      <c r="V32" s="3229"/>
      <c r="W32" s="3230"/>
    </row>
    <row r="33" spans="1:23" s="3090" customFormat="1" ht="13.15" customHeight="1">
      <c r="A33" s="3127"/>
      <c r="B33" s="3099"/>
      <c r="C33" s="3128"/>
      <c r="D33" s="3139"/>
      <c r="E33" s="3140"/>
      <c r="F33" s="3131"/>
      <c r="G33" s="3222"/>
      <c r="H33" s="3230"/>
      <c r="I33" s="3229"/>
      <c r="J33" s="3615" t="s">
        <v>2754</v>
      </c>
      <c r="K33" s="3616"/>
      <c r="L33" s="3189"/>
      <c r="M33" s="3189"/>
      <c r="N33" s="3189"/>
      <c r="O33" s="3189"/>
      <c r="P33" s="3189"/>
      <c r="Q33" s="3190"/>
      <c r="R33" s="3250">
        <f>SUM(L33:Q33)</f>
        <v>0</v>
      </c>
      <c r="S33" s="3220"/>
      <c r="T33" s="3182"/>
      <c r="U33" s="3182"/>
      <c r="V33" s="3185"/>
      <c r="W33" s="3184"/>
    </row>
    <row r="34" spans="1:23" s="3090" customFormat="1" ht="13.15" customHeight="1">
      <c r="A34" s="3127">
        <v>5</v>
      </c>
      <c r="B34" s="3099" t="s">
        <v>2755</v>
      </c>
      <c r="C34" s="3167"/>
      <c r="D34" s="3168"/>
      <c r="E34" s="3169"/>
      <c r="F34" s="3131"/>
      <c r="G34" s="3222"/>
      <c r="H34" s="3230"/>
      <c r="I34" s="3229"/>
      <c r="J34" s="3615" t="s">
        <v>2756</v>
      </c>
      <c r="K34" s="3616"/>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2757</v>
      </c>
      <c r="C35" s="3170"/>
      <c r="D35" s="3171"/>
      <c r="E35" s="3172"/>
      <c r="F35" s="3131"/>
      <c r="G35" s="3252"/>
      <c r="H35" s="3184"/>
      <c r="I35" s="3229"/>
      <c r="J35" s="3195" t="s">
        <v>2758</v>
      </c>
      <c r="K35" s="3196"/>
      <c r="L35" s="3196"/>
      <c r="M35" s="3197"/>
      <c r="N35" s="3197"/>
      <c r="O35" s="3197"/>
      <c r="P35" s="3197"/>
      <c r="Q35" s="3197"/>
      <c r="R35" s="3253">
        <f>R40+R41+R43</f>
        <v>0</v>
      </c>
      <c r="S35" s="3220"/>
      <c r="T35" s="3182" t="s">
        <v>2759</v>
      </c>
      <c r="U35" s="3182"/>
      <c r="V35" s="3185"/>
      <c r="W35" s="3184"/>
    </row>
    <row r="36" spans="1:23" s="3090" customFormat="1" ht="13.15" customHeight="1" thickBot="1">
      <c r="A36" s="3127">
        <v>7</v>
      </c>
      <c r="B36" s="3141" t="s">
        <v>2760</v>
      </c>
      <c r="C36" s="3173"/>
      <c r="D36" s="3174"/>
      <c r="E36" s="3175"/>
      <c r="F36" s="3142">
        <f>C36+D36+E36</f>
        <v>0</v>
      </c>
      <c r="G36" s="3222"/>
      <c r="H36" s="3184"/>
      <c r="I36" s="3185"/>
      <c r="J36" s="3607">
        <v>1</v>
      </c>
      <c r="K36" s="3608" t="s">
        <v>2761</v>
      </c>
      <c r="L36" s="3199"/>
      <c r="M36" s="3200"/>
      <c r="N36" s="3200"/>
      <c r="O36" s="3200"/>
      <c r="P36" s="3200"/>
      <c r="Q36" s="3200"/>
      <c r="R36" s="3191" t="s">
        <v>2709</v>
      </c>
      <c r="S36" s="3220"/>
      <c r="T36" s="3182" t="s">
        <v>2762</v>
      </c>
      <c r="U36" s="3182"/>
      <c r="V36" s="3185"/>
      <c r="W36" s="3184"/>
    </row>
    <row r="37" spans="1:23" s="3090" customFormat="1" ht="13.15" customHeight="1">
      <c r="A37" s="3127"/>
      <c r="B37" s="3099"/>
      <c r="C37" s="3099"/>
      <c r="D37" s="3099"/>
      <c r="E37" s="3099"/>
      <c r="F37" s="3131"/>
      <c r="G37" s="3222"/>
      <c r="H37" s="3184"/>
      <c r="I37" s="3185"/>
      <c r="J37" s="3607"/>
      <c r="K37" s="3609"/>
      <c r="L37" s="3212"/>
      <c r="M37" s="3213"/>
      <c r="N37" s="3151"/>
      <c r="O37" s="3214"/>
      <c r="P37" s="3214"/>
      <c r="Q37" s="3156"/>
      <c r="R37" s="3254"/>
      <c r="S37" s="3220"/>
      <c r="T37" s="3182" t="s">
        <v>2763</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607"/>
      <c r="K38" s="3609"/>
      <c r="L38" s="3212"/>
      <c r="M38" s="3213"/>
      <c r="N38" s="3151"/>
      <c r="O38" s="3214"/>
      <c r="P38" s="3214"/>
      <c r="Q38" s="3156"/>
      <c r="R38" s="3254"/>
      <c r="S38" s="3220"/>
      <c r="T38" s="3182" t="s">
        <v>2685</v>
      </c>
      <c r="U38" s="3182"/>
      <c r="V38" s="3185"/>
      <c r="W38" s="3184"/>
    </row>
    <row r="39" spans="1:23" s="3090" customFormat="1" ht="13.15" customHeight="1">
      <c r="A39" s="3127">
        <v>9</v>
      </c>
      <c r="B39" s="3099" t="s">
        <v>2764</v>
      </c>
      <c r="C39" s="3112" t="e">
        <f>C38</f>
        <v>#DIV/0!</v>
      </c>
      <c r="D39" s="3099">
        <f>D38/(1+D34)^C36</f>
        <v>0</v>
      </c>
      <c r="E39" s="3099">
        <f>E38/(1+E34)^(C36+D36)</f>
        <v>0</v>
      </c>
      <c r="F39" s="3131"/>
      <c r="G39" s="3255"/>
      <c r="H39" s="3184"/>
      <c r="I39" s="3185"/>
      <c r="J39" s="3607"/>
      <c r="K39" s="3609"/>
      <c r="L39" s="3212"/>
      <c r="M39" s="3213"/>
      <c r="N39" s="3151"/>
      <c r="O39" s="3214"/>
      <c r="P39" s="3214"/>
      <c r="Q39" s="3156"/>
      <c r="R39" s="3254"/>
      <c r="S39" s="3220"/>
      <c r="T39" s="3182"/>
      <c r="U39" s="3182"/>
      <c r="V39" s="3185"/>
      <c r="W39" s="3184"/>
    </row>
    <row r="40" spans="1:23" s="3090" customFormat="1" ht="13.15" customHeight="1">
      <c r="A40" s="3143">
        <v>10</v>
      </c>
      <c r="B40" s="3099" t="s">
        <v>2765</v>
      </c>
      <c r="C40" s="3144" t="e">
        <f>C39+D39+E39</f>
        <v>#DIV/0!</v>
      </c>
      <c r="D40" s="3145"/>
      <c r="E40" s="3145"/>
      <c r="F40" s="3146"/>
      <c r="G40" s="3222"/>
      <c r="H40" s="3184"/>
      <c r="I40" s="3185"/>
      <c r="J40" s="3607"/>
      <c r="K40" s="3610"/>
      <c r="L40" s="3208" t="s">
        <v>2766</v>
      </c>
      <c r="M40" s="3209"/>
      <c r="N40" s="3209"/>
      <c r="O40" s="3210"/>
      <c r="P40" s="3210"/>
      <c r="Q40" s="3211"/>
      <c r="R40" s="3188">
        <f>SUM(R37:R39)</f>
        <v>0</v>
      </c>
      <c r="S40" s="3220"/>
      <c r="T40" s="3182"/>
      <c r="U40" s="3182"/>
      <c r="V40" s="3185"/>
      <c r="W40" s="3184"/>
    </row>
    <row r="41" spans="1:23" s="3090" customFormat="1" ht="13.15" customHeight="1" thickBot="1">
      <c r="A41" s="3147">
        <v>11</v>
      </c>
      <c r="B41" s="3148" t="s">
        <v>2767</v>
      </c>
      <c r="C41" s="3148" t="e">
        <f>ROUND(C40*10000/B4,0)</f>
        <v>#DIV/0!</v>
      </c>
      <c r="D41" s="3149"/>
      <c r="E41" s="3149"/>
      <c r="F41" s="3150"/>
      <c r="G41" s="3256"/>
      <c r="H41" s="3184"/>
      <c r="I41" s="3185"/>
      <c r="J41" s="3224">
        <v>2</v>
      </c>
      <c r="K41" s="3225" t="s">
        <v>2768</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611">
        <v>3</v>
      </c>
      <c r="K42" s="3231" t="s">
        <v>2769</v>
      </c>
      <c r="L42" s="3232"/>
      <c r="M42" s="3233"/>
      <c r="N42" s="3234" t="s">
        <v>2770</v>
      </c>
      <c r="O42" s="3234" t="s">
        <v>2771</v>
      </c>
      <c r="P42" s="3235" t="s">
        <v>2772</v>
      </c>
      <c r="Q42" s="3235" t="s">
        <v>2773</v>
      </c>
      <c r="R42" s="3191" t="s">
        <v>2676</v>
      </c>
      <c r="S42" s="3236"/>
      <c r="T42" s="3236"/>
      <c r="U42" s="3182"/>
      <c r="V42" s="3185"/>
      <c r="W42" s="3184"/>
    </row>
    <row r="43" spans="1:23" ht="13.15" customHeight="1">
      <c r="A43" s="3090"/>
      <c r="B43" s="3090"/>
      <c r="C43" s="3090"/>
      <c r="D43" s="3090"/>
      <c r="E43" s="3090"/>
      <c r="F43" s="3090"/>
      <c r="I43" s="3177"/>
      <c r="J43" s="3612"/>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2774</v>
      </c>
      <c r="L44" s="3259" t="s">
        <v>2775</v>
      </c>
      <c r="M44" s="3245"/>
      <c r="N44" s="3259" t="s">
        <v>2776</v>
      </c>
      <c r="O44" s="3245"/>
      <c r="P44" s="3259" t="s">
        <v>2777</v>
      </c>
      <c r="Q44" s="3247">
        <v>1.4999999999999999E-2</v>
      </c>
      <c r="R44" s="32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D22" sqref="D22"/>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58"/>
    <col min="23" max="23" width="9" style="658"/>
    <col min="24" max="25" width="9" style="958"/>
    <col min="26" max="44" width="9" style="658"/>
    <col min="45" max="16384" width="9" style="32"/>
  </cols>
  <sheetData>
    <row r="1" spans="1:44" ht="20.25">
      <c r="A1" s="288" t="s">
        <v>1968</v>
      </c>
      <c r="B1" s="821"/>
      <c r="C1" s="37"/>
      <c r="D1" s="37"/>
      <c r="E1" s="37"/>
      <c r="F1" s="37"/>
      <c r="G1" s="37"/>
      <c r="H1" s="37"/>
      <c r="I1" s="37"/>
      <c r="J1" s="37"/>
      <c r="K1" s="37"/>
      <c r="L1" s="37"/>
      <c r="M1" s="37"/>
      <c r="N1" s="37"/>
      <c r="O1" s="37"/>
      <c r="P1" s="37"/>
      <c r="Q1" s="37"/>
      <c r="R1" s="644"/>
      <c r="S1" s="31"/>
      <c r="T1" s="31"/>
      <c r="U1" s="956"/>
      <c r="V1" s="956"/>
      <c r="X1" s="956"/>
      <c r="Y1" s="956"/>
    </row>
    <row r="2" spans="1:44" ht="15.75">
      <c r="A2" s="81" t="s">
        <v>1969</v>
      </c>
      <c r="B2" s="250">
        <f ca="1">B23</f>
        <v>1399</v>
      </c>
      <c r="C2" s="859" t="str">
        <f>C23</f>
        <v>万元</v>
      </c>
      <c r="D2" s="37"/>
      <c r="E2" s="37"/>
      <c r="F2" s="37"/>
      <c r="G2" s="37"/>
      <c r="H2" s="37"/>
      <c r="I2" s="37"/>
      <c r="J2" s="37"/>
      <c r="K2" s="37"/>
      <c r="L2" s="37"/>
      <c r="M2" s="37"/>
      <c r="N2" s="37"/>
      <c r="O2" s="37"/>
      <c r="P2" s="37"/>
      <c r="Q2" s="37"/>
      <c r="R2" s="644"/>
      <c r="S2" s="31"/>
      <c r="T2" s="31"/>
      <c r="U2" s="956"/>
      <c r="V2" s="956"/>
      <c r="X2" s="956"/>
      <c r="Y2" s="956"/>
    </row>
    <row r="3" spans="1:44" ht="15.75">
      <c r="A3" s="83" t="s">
        <v>1970</v>
      </c>
      <c r="B3" s="250">
        <f ca="1">B24</f>
        <v>34905</v>
      </c>
      <c r="C3" s="859" t="s">
        <v>1971</v>
      </c>
      <c r="D3" s="37"/>
      <c r="E3" s="37"/>
      <c r="F3" s="37"/>
      <c r="G3" s="37"/>
      <c r="H3" s="37"/>
      <c r="I3" s="37"/>
      <c r="J3" s="37"/>
      <c r="K3" s="37"/>
      <c r="L3" s="37"/>
      <c r="M3" s="37"/>
      <c r="N3" s="37"/>
      <c r="O3" s="37"/>
      <c r="P3" s="37"/>
      <c r="Q3" s="37"/>
      <c r="R3" s="644"/>
      <c r="S3" s="31"/>
      <c r="T3" s="31"/>
      <c r="U3" s="956"/>
      <c r="V3" s="956"/>
      <c r="X3" s="956"/>
      <c r="Y3" s="956"/>
    </row>
    <row r="4" spans="1:44" ht="14.25" customHeight="1" thickBot="1">
      <c r="A4" s="34"/>
      <c r="B4" s="575" t="s">
        <v>1972</v>
      </c>
      <c r="C4" s="3629" t="s">
        <v>1973</v>
      </c>
      <c r="D4" s="3630"/>
      <c r="E4" s="3630"/>
      <c r="F4" s="3630"/>
      <c r="G4" s="3630"/>
      <c r="H4" s="3630"/>
      <c r="I4" s="3630"/>
      <c r="J4" s="3630"/>
      <c r="K4" s="3630"/>
      <c r="L4" s="3630"/>
      <c r="M4" s="3630"/>
      <c r="N4" s="3630"/>
      <c r="O4" s="3630"/>
      <c r="P4" s="3630"/>
      <c r="Q4" s="3630"/>
      <c r="R4" s="3630"/>
      <c r="S4" s="3631"/>
      <c r="T4" s="575" t="s">
        <v>1974</v>
      </c>
      <c r="U4" s="956"/>
      <c r="V4" s="956"/>
      <c r="X4" s="956"/>
      <c r="Y4" s="956"/>
    </row>
    <row r="5" spans="1:44" s="587" customFormat="1" ht="38.25">
      <c r="A5" s="960"/>
      <c r="B5" s="583" t="s">
        <v>1975</v>
      </c>
      <c r="C5" s="584" t="str">
        <f t="shared" ref="C5:L5" si="0">C6&amp;"(含)"&amp;"-"&amp;D6</f>
        <v>0(含)-100</v>
      </c>
      <c r="D5" s="585" t="str">
        <f t="shared" si="0"/>
        <v>100(含)-200</v>
      </c>
      <c r="E5" s="585" t="str">
        <f t="shared" si="0"/>
        <v>200(含)-300</v>
      </c>
      <c r="F5" s="585" t="str">
        <f t="shared" si="0"/>
        <v>300(含)-400</v>
      </c>
      <c r="G5" s="585" t="str">
        <f t="shared" si="0"/>
        <v>400(含)-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69" t="str">
        <f>S6&amp;"(含)"&amp;"-"</f>
        <v>(含)-</v>
      </c>
      <c r="T5" s="586"/>
      <c r="U5" s="957"/>
      <c r="V5" s="957"/>
      <c r="W5" s="659"/>
      <c r="X5" s="957"/>
      <c r="Y5" s="957"/>
      <c r="Z5" s="659"/>
      <c r="AA5" s="659"/>
      <c r="AB5" s="659"/>
      <c r="AC5" s="659"/>
      <c r="AD5" s="659"/>
      <c r="AE5" s="659"/>
      <c r="AF5" s="659"/>
      <c r="AG5" s="659"/>
      <c r="AH5" s="659"/>
      <c r="AI5" s="659"/>
      <c r="AJ5" s="659"/>
      <c r="AK5" s="659"/>
      <c r="AL5" s="659"/>
      <c r="AM5" s="659"/>
      <c r="AN5" s="659"/>
      <c r="AO5" s="659"/>
      <c r="AP5" s="659"/>
      <c r="AQ5" s="659"/>
      <c r="AR5" s="659"/>
    </row>
    <row r="6" spans="1:44" s="594" customFormat="1">
      <c r="A6" s="961"/>
      <c r="B6" s="588"/>
      <c r="C6" s="589">
        <v>0</v>
      </c>
      <c r="D6" s="590">
        <v>100</v>
      </c>
      <c r="E6" s="590">
        <v>200</v>
      </c>
      <c r="F6" s="590">
        <v>300</v>
      </c>
      <c r="G6" s="590">
        <v>400</v>
      </c>
      <c r="H6" s="590"/>
      <c r="I6" s="590"/>
      <c r="J6" s="591"/>
      <c r="K6" s="591"/>
      <c r="L6" s="592"/>
      <c r="M6" s="822"/>
      <c r="N6" s="824"/>
      <c r="O6" s="590"/>
      <c r="P6" s="590"/>
      <c r="Q6" s="590"/>
      <c r="R6" s="590"/>
      <c r="S6" s="870"/>
      <c r="T6" s="593"/>
      <c r="U6" s="957"/>
      <c r="V6" s="957"/>
      <c r="W6" s="660"/>
      <c r="X6" s="957"/>
      <c r="Y6" s="957"/>
      <c r="Z6" s="660"/>
      <c r="AA6" s="660"/>
      <c r="AB6" s="660"/>
      <c r="AC6" s="660"/>
      <c r="AD6" s="660"/>
      <c r="AE6" s="660"/>
      <c r="AF6" s="660"/>
      <c r="AG6" s="660"/>
      <c r="AH6" s="660"/>
      <c r="AI6" s="660"/>
      <c r="AJ6" s="660"/>
      <c r="AK6" s="660"/>
      <c r="AL6" s="660"/>
      <c r="AM6" s="660"/>
      <c r="AN6" s="660"/>
      <c r="AO6" s="660"/>
      <c r="AP6" s="660"/>
      <c r="AQ6" s="660"/>
      <c r="AR6" s="660"/>
    </row>
    <row r="7" spans="1:44" s="594" customFormat="1" ht="13.5" thickBot="1">
      <c r="A7" s="962"/>
      <c r="B7" s="839"/>
      <c r="C7" s="840">
        <v>100</v>
      </c>
      <c r="D7" s="841">
        <v>99</v>
      </c>
      <c r="E7" s="841">
        <v>98</v>
      </c>
      <c r="F7" s="841">
        <v>97</v>
      </c>
      <c r="G7" s="841">
        <v>96</v>
      </c>
      <c r="H7" s="841"/>
      <c r="I7" s="841"/>
      <c r="J7" s="841"/>
      <c r="K7" s="841"/>
      <c r="L7" s="841"/>
      <c r="M7" s="842"/>
      <c r="N7" s="843"/>
      <c r="O7" s="841"/>
      <c r="P7" s="841"/>
      <c r="Q7" s="841"/>
      <c r="R7" s="841"/>
      <c r="S7" s="871"/>
      <c r="T7" s="596"/>
      <c r="U7" s="957"/>
      <c r="V7" s="957"/>
      <c r="W7" s="660"/>
      <c r="X7" s="957"/>
      <c r="Y7" s="957"/>
      <c r="Z7" s="660"/>
      <c r="AA7" s="660"/>
      <c r="AB7" s="660"/>
      <c r="AC7" s="660"/>
      <c r="AD7" s="660"/>
      <c r="AE7" s="660"/>
      <c r="AF7" s="660"/>
      <c r="AG7" s="660"/>
      <c r="AH7" s="660"/>
      <c r="AI7" s="660"/>
      <c r="AJ7" s="660"/>
      <c r="AK7" s="660"/>
      <c r="AL7" s="660"/>
      <c r="AM7" s="660"/>
      <c r="AN7" s="660"/>
      <c r="AO7" s="660"/>
      <c r="AP7" s="660"/>
      <c r="AQ7" s="660"/>
      <c r="AR7" s="660"/>
    </row>
    <row r="8" spans="1:44" s="26" customFormat="1">
      <c r="A8" s="963"/>
      <c r="B8" s="852" t="s">
        <v>1976</v>
      </c>
      <c r="C8" s="844"/>
      <c r="D8" s="845"/>
      <c r="E8" s="845"/>
      <c r="F8" s="845"/>
      <c r="G8" s="845"/>
      <c r="H8" s="845"/>
      <c r="I8" s="845"/>
      <c r="J8" s="845"/>
      <c r="K8" s="845"/>
      <c r="L8" s="846"/>
      <c r="M8" s="847"/>
      <c r="N8" s="847"/>
      <c r="O8" s="845"/>
      <c r="P8" s="845"/>
      <c r="Q8" s="845"/>
      <c r="R8" s="845"/>
      <c r="S8" s="872"/>
      <c r="T8" s="848"/>
      <c r="U8" s="957"/>
      <c r="V8" s="957"/>
      <c r="W8" s="661"/>
      <c r="X8" s="957"/>
      <c r="Y8" s="957"/>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963"/>
      <c r="B9" s="834"/>
      <c r="C9" s="835">
        <v>100</v>
      </c>
      <c r="D9" s="836">
        <f t="shared" ref="D9:S9" si="7">C9-$T$8</f>
        <v>100</v>
      </c>
      <c r="E9" s="836">
        <f t="shared" si="7"/>
        <v>100</v>
      </c>
      <c r="F9" s="836">
        <f t="shared" si="7"/>
        <v>100</v>
      </c>
      <c r="G9" s="836">
        <f t="shared" si="7"/>
        <v>100</v>
      </c>
      <c r="H9" s="836">
        <f t="shared" si="7"/>
        <v>100</v>
      </c>
      <c r="I9" s="836">
        <f t="shared" si="7"/>
        <v>100</v>
      </c>
      <c r="J9" s="836">
        <f t="shared" si="7"/>
        <v>100</v>
      </c>
      <c r="K9" s="836">
        <f t="shared" si="7"/>
        <v>100</v>
      </c>
      <c r="L9" s="836">
        <f t="shared" si="7"/>
        <v>100</v>
      </c>
      <c r="M9" s="837">
        <f t="shared" si="7"/>
        <v>100</v>
      </c>
      <c r="N9" s="837">
        <f t="shared" si="7"/>
        <v>100</v>
      </c>
      <c r="O9" s="836">
        <f t="shared" si="7"/>
        <v>100</v>
      </c>
      <c r="P9" s="836">
        <f t="shared" si="7"/>
        <v>100</v>
      </c>
      <c r="Q9" s="836">
        <f t="shared" si="7"/>
        <v>100</v>
      </c>
      <c r="R9" s="836">
        <f t="shared" si="7"/>
        <v>100</v>
      </c>
      <c r="S9" s="873">
        <f t="shared" si="7"/>
        <v>100</v>
      </c>
      <c r="T9" s="838"/>
      <c r="U9" s="957"/>
      <c r="V9" s="957"/>
      <c r="W9" s="661"/>
      <c r="X9" s="957"/>
      <c r="Y9" s="957"/>
      <c r="Z9" s="661"/>
      <c r="AA9" s="661"/>
      <c r="AB9" s="661"/>
      <c r="AC9" s="661"/>
      <c r="AD9" s="661"/>
      <c r="AE9" s="661"/>
      <c r="AF9" s="661"/>
      <c r="AG9" s="661"/>
      <c r="AH9" s="661"/>
      <c r="AI9" s="661"/>
      <c r="AJ9" s="661"/>
      <c r="AK9" s="661"/>
      <c r="AL9" s="661"/>
      <c r="AM9" s="661"/>
      <c r="AN9" s="661"/>
      <c r="AO9" s="661"/>
      <c r="AP9" s="661"/>
      <c r="AQ9" s="661"/>
      <c r="AR9" s="661"/>
    </row>
    <row r="10" spans="1:44" s="26" customFormat="1">
      <c r="A10" s="963"/>
      <c r="B10" s="833" t="s">
        <v>1977</v>
      </c>
      <c r="C10" s="829"/>
      <c r="D10" s="830"/>
      <c r="E10" s="830"/>
      <c r="F10" s="830"/>
      <c r="G10" s="830"/>
      <c r="H10" s="830"/>
      <c r="I10" s="830"/>
      <c r="J10" s="830"/>
      <c r="K10" s="830"/>
      <c r="L10" s="830"/>
      <c r="M10" s="832"/>
      <c r="N10" s="823"/>
      <c r="O10" s="825"/>
      <c r="P10" s="826"/>
      <c r="Q10" s="827"/>
      <c r="R10" s="828"/>
      <c r="S10" s="874"/>
      <c r="T10" s="595"/>
      <c r="U10" s="957"/>
      <c r="V10" s="957"/>
      <c r="W10" s="661"/>
      <c r="X10" s="957"/>
      <c r="Y10" s="957"/>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963"/>
      <c r="B11" s="834"/>
      <c r="C11" s="835">
        <v>100</v>
      </c>
      <c r="D11" s="836">
        <f t="shared" ref="D11:M11" si="8">C11-$T$10</f>
        <v>100</v>
      </c>
      <c r="E11" s="836">
        <f t="shared" si="8"/>
        <v>100</v>
      </c>
      <c r="F11" s="836">
        <f t="shared" si="8"/>
        <v>100</v>
      </c>
      <c r="G11" s="836">
        <f t="shared" si="8"/>
        <v>100</v>
      </c>
      <c r="H11" s="836">
        <f t="shared" si="8"/>
        <v>100</v>
      </c>
      <c r="I11" s="836">
        <f t="shared" si="8"/>
        <v>100</v>
      </c>
      <c r="J11" s="836">
        <f t="shared" si="8"/>
        <v>100</v>
      </c>
      <c r="K11" s="836">
        <f t="shared" si="8"/>
        <v>100</v>
      </c>
      <c r="L11" s="836">
        <f t="shared" si="8"/>
        <v>100</v>
      </c>
      <c r="M11" s="837">
        <f t="shared" si="8"/>
        <v>100</v>
      </c>
      <c r="N11" s="837">
        <f t="shared" ref="N11:S11" si="9">M11-$T$10</f>
        <v>100</v>
      </c>
      <c r="O11" s="836">
        <f t="shared" si="9"/>
        <v>100</v>
      </c>
      <c r="P11" s="836">
        <f t="shared" si="9"/>
        <v>100</v>
      </c>
      <c r="Q11" s="836">
        <f t="shared" si="9"/>
        <v>100</v>
      </c>
      <c r="R11" s="836">
        <f t="shared" si="9"/>
        <v>100</v>
      </c>
      <c r="S11" s="873">
        <f t="shared" si="9"/>
        <v>100</v>
      </c>
      <c r="T11" s="838"/>
      <c r="U11" s="957"/>
      <c r="V11" s="957"/>
      <c r="W11" s="661"/>
      <c r="X11" s="957"/>
      <c r="Y11" s="957"/>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963"/>
      <c r="B12" s="833" t="s">
        <v>1978</v>
      </c>
      <c r="C12" s="829"/>
      <c r="D12" s="830"/>
      <c r="E12" s="830"/>
      <c r="F12" s="830"/>
      <c r="G12" s="830"/>
      <c r="H12" s="830"/>
      <c r="I12" s="830"/>
      <c r="J12" s="830"/>
      <c r="K12" s="830"/>
      <c r="L12" s="831"/>
      <c r="M12" s="832"/>
      <c r="N12" s="823"/>
      <c r="O12" s="825"/>
      <c r="P12" s="826"/>
      <c r="Q12" s="827"/>
      <c r="R12" s="828"/>
      <c r="S12" s="874"/>
      <c r="T12" s="595"/>
      <c r="U12" s="957"/>
      <c r="V12" s="957"/>
      <c r="W12" s="661"/>
      <c r="X12" s="957"/>
      <c r="Y12" s="957"/>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963"/>
      <c r="B13" s="839"/>
      <c r="C13" s="849">
        <v>100</v>
      </c>
      <c r="D13" s="850">
        <f t="shared" ref="D13:M13" si="10">C13-$T$12</f>
        <v>100</v>
      </c>
      <c r="E13" s="850">
        <f t="shared" si="10"/>
        <v>100</v>
      </c>
      <c r="F13" s="850">
        <f t="shared" si="10"/>
        <v>100</v>
      </c>
      <c r="G13" s="850">
        <f t="shared" si="10"/>
        <v>100</v>
      </c>
      <c r="H13" s="850">
        <f t="shared" si="10"/>
        <v>100</v>
      </c>
      <c r="I13" s="850">
        <f t="shared" si="10"/>
        <v>100</v>
      </c>
      <c r="J13" s="850">
        <f t="shared" si="10"/>
        <v>100</v>
      </c>
      <c r="K13" s="850">
        <f t="shared" si="10"/>
        <v>100</v>
      </c>
      <c r="L13" s="850">
        <f t="shared" si="10"/>
        <v>100</v>
      </c>
      <c r="M13" s="851">
        <f t="shared" si="10"/>
        <v>100</v>
      </c>
      <c r="N13" s="851">
        <f t="shared" ref="N13:S13" si="11">M13-$T$12</f>
        <v>100</v>
      </c>
      <c r="O13" s="850">
        <f t="shared" si="11"/>
        <v>100</v>
      </c>
      <c r="P13" s="850">
        <f t="shared" si="11"/>
        <v>100</v>
      </c>
      <c r="Q13" s="850">
        <f t="shared" si="11"/>
        <v>100</v>
      </c>
      <c r="R13" s="850">
        <f t="shared" si="11"/>
        <v>100</v>
      </c>
      <c r="S13" s="875">
        <f t="shared" si="11"/>
        <v>100</v>
      </c>
      <c r="T13" s="596"/>
      <c r="U13" s="957"/>
      <c r="V13" s="957"/>
      <c r="W13" s="661"/>
      <c r="X13" s="957"/>
      <c r="Y13" s="957"/>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963"/>
      <c r="B14" s="852" t="s">
        <v>1979</v>
      </c>
      <c r="C14" s="844"/>
      <c r="D14" s="845"/>
      <c r="E14" s="845"/>
      <c r="F14" s="845"/>
      <c r="G14" s="845"/>
      <c r="H14" s="845"/>
      <c r="I14" s="845"/>
      <c r="J14" s="845"/>
      <c r="K14" s="845"/>
      <c r="L14" s="845"/>
      <c r="M14" s="847"/>
      <c r="N14" s="853"/>
      <c r="O14" s="854"/>
      <c r="P14" s="855"/>
      <c r="Q14" s="856"/>
      <c r="R14" s="857"/>
      <c r="S14" s="876"/>
      <c r="T14" s="848"/>
      <c r="U14" s="957"/>
      <c r="V14" s="957"/>
      <c r="W14" s="661"/>
      <c r="X14" s="957"/>
      <c r="Y14" s="957"/>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963"/>
      <c r="B15" s="834"/>
      <c r="C15" s="835">
        <v>100</v>
      </c>
      <c r="D15" s="836">
        <f t="shared" ref="D15:M15" si="12">C15-$T$14</f>
        <v>100</v>
      </c>
      <c r="E15" s="836">
        <f t="shared" si="12"/>
        <v>100</v>
      </c>
      <c r="F15" s="836">
        <f t="shared" si="12"/>
        <v>100</v>
      </c>
      <c r="G15" s="836">
        <f t="shared" si="12"/>
        <v>100</v>
      </c>
      <c r="H15" s="836">
        <f t="shared" si="12"/>
        <v>100</v>
      </c>
      <c r="I15" s="836">
        <f t="shared" si="12"/>
        <v>100</v>
      </c>
      <c r="J15" s="836">
        <f t="shared" si="12"/>
        <v>100</v>
      </c>
      <c r="K15" s="836">
        <f t="shared" si="12"/>
        <v>100</v>
      </c>
      <c r="L15" s="836">
        <f t="shared" si="12"/>
        <v>100</v>
      </c>
      <c r="M15" s="837">
        <f t="shared" si="12"/>
        <v>100</v>
      </c>
      <c r="N15" s="837">
        <f t="shared" ref="N15:S15" si="13">M15-$T$14</f>
        <v>100</v>
      </c>
      <c r="O15" s="836">
        <f t="shared" si="13"/>
        <v>100</v>
      </c>
      <c r="P15" s="836">
        <f t="shared" si="13"/>
        <v>100</v>
      </c>
      <c r="Q15" s="836">
        <f t="shared" si="13"/>
        <v>100</v>
      </c>
      <c r="R15" s="836">
        <f t="shared" si="13"/>
        <v>100</v>
      </c>
      <c r="S15" s="873">
        <f t="shared" si="13"/>
        <v>100</v>
      </c>
      <c r="T15" s="838"/>
      <c r="U15" s="957"/>
      <c r="V15" s="957"/>
      <c r="W15" s="661"/>
      <c r="X15" s="957"/>
      <c r="Y15" s="957"/>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963"/>
      <c r="B16" s="852" t="s">
        <v>1980</v>
      </c>
      <c r="C16" s="844"/>
      <c r="D16" s="845"/>
      <c r="E16" s="845"/>
      <c r="F16" s="845"/>
      <c r="G16" s="845"/>
      <c r="H16" s="845"/>
      <c r="I16" s="845"/>
      <c r="J16" s="845"/>
      <c r="K16" s="845"/>
      <c r="L16" s="845"/>
      <c r="M16" s="847"/>
      <c r="N16" s="853"/>
      <c r="O16" s="854"/>
      <c r="P16" s="855"/>
      <c r="Q16" s="856"/>
      <c r="R16" s="857"/>
      <c r="S16" s="876"/>
      <c r="T16" s="868"/>
      <c r="U16" s="957"/>
      <c r="V16" s="957"/>
      <c r="W16" s="661"/>
      <c r="X16" s="957"/>
      <c r="Y16" s="957"/>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963"/>
      <c r="B17" s="834"/>
      <c r="C17" s="865"/>
      <c r="D17" s="866"/>
      <c r="E17" s="866"/>
      <c r="F17" s="866"/>
      <c r="G17" s="866"/>
      <c r="H17" s="866"/>
      <c r="I17" s="866"/>
      <c r="J17" s="866"/>
      <c r="K17" s="866"/>
      <c r="L17" s="866"/>
      <c r="M17" s="867"/>
      <c r="N17" s="867"/>
      <c r="O17" s="866"/>
      <c r="P17" s="866"/>
      <c r="Q17" s="866"/>
      <c r="R17" s="866"/>
      <c r="S17" s="877"/>
      <c r="T17" s="838"/>
      <c r="U17" s="957"/>
      <c r="V17" s="957"/>
      <c r="W17" s="661"/>
      <c r="X17" s="957"/>
      <c r="Y17" s="957"/>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963"/>
      <c r="B18" s="852" t="s">
        <v>1981</v>
      </c>
      <c r="C18" s="844"/>
      <c r="D18" s="845"/>
      <c r="E18" s="845"/>
      <c r="F18" s="845"/>
      <c r="G18" s="845"/>
      <c r="H18" s="845"/>
      <c r="I18" s="845"/>
      <c r="J18" s="845"/>
      <c r="K18" s="845"/>
      <c r="L18" s="845"/>
      <c r="M18" s="847"/>
      <c r="N18" s="853"/>
      <c r="O18" s="854"/>
      <c r="P18" s="855"/>
      <c r="Q18" s="856"/>
      <c r="R18" s="857"/>
      <c r="S18" s="876"/>
      <c r="T18" s="868"/>
      <c r="U18" s="957"/>
      <c r="V18" s="957"/>
      <c r="W18" s="661"/>
      <c r="X18" s="957"/>
      <c r="Y18" s="957"/>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963"/>
      <c r="B19" s="839"/>
      <c r="C19" s="840"/>
      <c r="D19" s="841"/>
      <c r="E19" s="841"/>
      <c r="F19" s="841"/>
      <c r="G19" s="841"/>
      <c r="H19" s="841"/>
      <c r="I19" s="841"/>
      <c r="J19" s="841"/>
      <c r="K19" s="841"/>
      <c r="L19" s="841"/>
      <c r="M19" s="842"/>
      <c r="N19" s="842"/>
      <c r="O19" s="841"/>
      <c r="P19" s="841"/>
      <c r="Q19" s="841"/>
      <c r="R19" s="841"/>
      <c r="S19" s="871"/>
      <c r="T19" s="596"/>
      <c r="U19" s="957"/>
      <c r="V19" s="957"/>
      <c r="W19" s="661"/>
      <c r="X19" s="957"/>
      <c r="Y19" s="957"/>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479" t="s">
        <v>1982</v>
      </c>
      <c r="B20" s="1480" t="s">
        <v>1983</v>
      </c>
      <c r="C20" s="964">
        <v>1</v>
      </c>
      <c r="D20" s="965">
        <v>2</v>
      </c>
      <c r="E20" s="965"/>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v>100</v>
      </c>
      <c r="D21" s="977">
        <v>65</v>
      </c>
      <c r="E21" s="977"/>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1984</v>
      </c>
      <c r="G22" s="1251"/>
      <c r="H22" s="1251"/>
      <c r="I22" s="1251"/>
      <c r="J22" s="1252"/>
      <c r="K22" s="37"/>
      <c r="L22" s="37"/>
      <c r="M22" s="37"/>
      <c r="N22" s="37"/>
      <c r="O22" s="37"/>
      <c r="P22" s="37"/>
      <c r="Q22" s="37"/>
      <c r="R22" s="644"/>
      <c r="S22" s="31"/>
      <c r="T22" s="31"/>
      <c r="U22" s="956"/>
      <c r="V22" s="957"/>
      <c r="W22" s="661"/>
      <c r="X22" s="661"/>
      <c r="Y22" s="661"/>
      <c r="Z22" s="661"/>
    </row>
    <row r="23" spans="1:45" ht="16.5" thickBot="1">
      <c r="A23" s="81" t="s">
        <v>1985</v>
      </c>
      <c r="B23" s="224">
        <f ca="1">IF(F23="——",IF(C23="万元",T25,S25),IF(C23="万元",T25-H23,S25-H23))</f>
        <v>1399</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4"/>
      <c r="S23" s="31"/>
      <c r="T23" s="31"/>
      <c r="U23" s="956"/>
      <c r="V23" s="957"/>
      <c r="W23" s="661"/>
      <c r="X23" s="661"/>
      <c r="Y23" s="661"/>
      <c r="Z23" s="661"/>
    </row>
    <row r="24" spans="1:45" ht="15.75">
      <c r="A24" s="1482" t="s">
        <v>1986</v>
      </c>
      <c r="B24" s="224">
        <f ca="1">ROUND(B23*10000/B25,0)</f>
        <v>34905</v>
      </c>
      <c r="C24" s="821"/>
      <c r="D24" s="37"/>
      <c r="E24" s="37"/>
      <c r="F24" s="37"/>
      <c r="G24" s="37"/>
      <c r="H24" s="37"/>
      <c r="I24" s="37"/>
      <c r="J24" s="37"/>
      <c r="K24" s="37"/>
      <c r="L24" s="37"/>
      <c r="M24" s="37"/>
      <c r="N24" s="37"/>
      <c r="O24" s="37"/>
      <c r="P24" s="37"/>
      <c r="Q24" s="37"/>
      <c r="R24" s="644"/>
      <c r="S24" s="13" t="s">
        <v>1987</v>
      </c>
      <c r="T24" s="1259" t="s">
        <v>1988</v>
      </c>
      <c r="U24" s="2172" t="s">
        <v>1989</v>
      </c>
      <c r="V24" s="2905"/>
      <c r="W24" s="2906" t="s">
        <v>1990</v>
      </c>
      <c r="X24" s="2172" t="s">
        <v>1991</v>
      </c>
      <c r="Y24" s="2905"/>
      <c r="Z24" s="2907" t="s">
        <v>1990</v>
      </c>
    </row>
    <row r="25" spans="1:45">
      <c r="A25" s="250" t="s">
        <v>1992</v>
      </c>
      <c r="B25" s="13">
        <f>SUM(B27:B10000)</f>
        <v>400.8</v>
      </c>
      <c r="C25" s="3626" t="s">
        <v>45</v>
      </c>
      <c r="D25" s="3627"/>
      <c r="E25" s="3627"/>
      <c r="F25" s="3627"/>
      <c r="G25" s="3627"/>
      <c r="H25" s="3627"/>
      <c r="I25" s="3627"/>
      <c r="J25" s="3627"/>
      <c r="K25" s="3627"/>
      <c r="L25" s="3627"/>
      <c r="M25" s="3627"/>
      <c r="N25" s="3627"/>
      <c r="O25" s="3627"/>
      <c r="P25" s="3627"/>
      <c r="Q25" s="3628"/>
      <c r="R25" s="597">
        <f ca="1">IF(C23="万元",ROUND(T25*10000/B25,0),ROUND(S25/B25,0))</f>
        <v>34905</v>
      </c>
      <c r="S25" s="13">
        <f ca="1">SUM(S27:S10000)</f>
        <v>13982646</v>
      </c>
      <c r="T25" s="13">
        <f ca="1">SUM(T27:T10000)</f>
        <v>1399</v>
      </c>
      <c r="U25" s="17">
        <f>SUM(U27:U10000)</f>
        <v>0</v>
      </c>
      <c r="V25" s="17">
        <f>SUM(V27:V10000)</f>
        <v>0</v>
      </c>
      <c r="W25" s="2909"/>
      <c r="X25" s="17">
        <f>SUM(X27:X10000)</f>
        <v>0</v>
      </c>
      <c r="Y25" s="17">
        <f>SUM(Y27:Y10000)</f>
        <v>0</v>
      </c>
      <c r="Z25" s="1485"/>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2" t="s">
        <v>1998</v>
      </c>
      <c r="V26" s="682" t="s">
        <v>1999</v>
      </c>
      <c r="W26" s="10" t="s">
        <v>2000</v>
      </c>
      <c r="X26" s="682" t="s">
        <v>1998</v>
      </c>
      <c r="Y26" s="682" t="s">
        <v>1999</v>
      </c>
      <c r="Z26" s="10" t="s">
        <v>2000</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3324" t="s">
        <v>3037</v>
      </c>
      <c r="B27" s="599">
        <f>'数据-取费表'!E5</f>
        <v>122.45</v>
      </c>
      <c r="C27" s="858">
        <v>1</v>
      </c>
      <c r="D27" s="600"/>
      <c r="E27" s="858">
        <v>1</v>
      </c>
      <c r="F27" s="600"/>
      <c r="G27" s="858">
        <v>1</v>
      </c>
      <c r="H27" s="600"/>
      <c r="I27" s="858">
        <v>1</v>
      </c>
      <c r="J27" s="600"/>
      <c r="K27" s="858">
        <v>1</v>
      </c>
      <c r="L27" s="600"/>
      <c r="M27" s="858">
        <v>1</v>
      </c>
      <c r="N27" s="600"/>
      <c r="O27" s="858">
        <v>1</v>
      </c>
      <c r="P27" s="600">
        <v>1</v>
      </c>
      <c r="Q27" s="858">
        <v>1</v>
      </c>
      <c r="R27" s="864">
        <f ca="1">'结果表 (1修多)'!G20</f>
        <v>46366</v>
      </c>
      <c r="S27" s="599">
        <f ca="1">ROUND(R27*B27,0)</f>
        <v>5677517</v>
      </c>
      <c r="T27" s="599">
        <f ca="1">ROUND(R27*B27/10000,0)</f>
        <v>568</v>
      </c>
      <c r="U27" s="2908">
        <f>ROUND(W27*B27,0)</f>
        <v>0</v>
      </c>
      <c r="V27" s="2908">
        <f>ROUND(W27*B27/10000,0)</f>
        <v>0</v>
      </c>
      <c r="W27" s="954"/>
      <c r="X27" s="2908">
        <f>ROUND(Z27*B27,0)</f>
        <v>0</v>
      </c>
      <c r="Y27" s="2908">
        <f>ROUND(Z27*B27/10000,0)</f>
        <v>0</v>
      </c>
      <c r="Z27" s="954"/>
      <c r="AA27" s="663"/>
      <c r="AB27" s="663"/>
      <c r="AC27" s="663"/>
      <c r="AD27" s="663"/>
      <c r="AE27" s="663"/>
      <c r="AF27" s="663"/>
      <c r="AG27" s="663"/>
      <c r="AH27" s="663"/>
      <c r="AI27" s="663"/>
      <c r="AJ27" s="663"/>
      <c r="AK27" s="663"/>
      <c r="AL27" s="663"/>
      <c r="AM27" s="663"/>
      <c r="AN27" s="663"/>
      <c r="AO27" s="663"/>
      <c r="AP27" s="663"/>
      <c r="AQ27" s="663"/>
      <c r="AR27" s="663"/>
    </row>
    <row r="28" spans="1:45">
      <c r="A28" s="35">
        <v>201</v>
      </c>
      <c r="B28" s="20">
        <v>278.35000000000002</v>
      </c>
      <c r="C28" s="13">
        <f t="shared" ref="C28:C91" si="14">IF(B28="",1,(LOOKUP(B28,$6:$6,$7:$7)-LOOKUP($B$27,$6:$6,$7:$7)+100)/100)</f>
        <v>0.99</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v>2</v>
      </c>
      <c r="Q28" s="13">
        <f t="shared" ref="Q28:Q91" si="21">(SUMIF($20:$20,P28,$21:$21)-SUMIF($20:$20,$P$27,$21:$21)+100)/100</f>
        <v>0.65</v>
      </c>
      <c r="R28" s="597">
        <f ca="1">IF(B28="",0,ROUND($R$27*C28*E28*G28*I28*K28*M28*O28*Q28,0))</f>
        <v>29837</v>
      </c>
      <c r="S28" s="250">
        <f ca="1">ROUND(R28*B28,0)</f>
        <v>8305129</v>
      </c>
      <c r="T28" s="858">
        <f ca="1">ROUND(R28*B28/10000,0)</f>
        <v>831</v>
      </c>
      <c r="U28" s="2908">
        <f t="shared" ref="U28:U91" si="22">ROUND(W28*B28,0)</f>
        <v>0</v>
      </c>
      <c r="V28" s="2908">
        <f t="shared" ref="V28:V91" si="23">ROUND(W28*B28/10000,0)</f>
        <v>0</v>
      </c>
      <c r="W28" s="955"/>
      <c r="X28" s="2908">
        <f t="shared" ref="X28:X91" si="24">ROUND(Z28*B28,0)</f>
        <v>0</v>
      </c>
      <c r="Y28" s="2908">
        <f t="shared" ref="Y28:Y91" si="25">ROUND(Z28*B28/10000,0)</f>
        <v>0</v>
      </c>
      <c r="Z28" s="955"/>
    </row>
    <row r="29" spans="1:45">
      <c r="A29" s="35"/>
      <c r="B29" s="20"/>
      <c r="C29" s="13">
        <f t="shared" si="14"/>
        <v>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c r="Q29" s="13">
        <f t="shared" si="21"/>
        <v>0</v>
      </c>
      <c r="R29" s="597">
        <f t="shared" ref="R29:R92" si="26">IF(B29="",0,ROUND($R$27*C29*E29*G29*I29*K29*M29*O29*Q29,0))</f>
        <v>0</v>
      </c>
      <c r="S29" s="250">
        <f t="shared" ref="S29:S92" si="27">ROUND(R29*B29,0)</f>
        <v>0</v>
      </c>
      <c r="T29" s="858">
        <f t="shared" ref="T29:T92" si="28">ROUND(R29*B29/10000,0)</f>
        <v>0</v>
      </c>
      <c r="U29" s="2908">
        <f t="shared" si="22"/>
        <v>0</v>
      </c>
      <c r="V29" s="2908">
        <f t="shared" si="23"/>
        <v>0</v>
      </c>
      <c r="W29" s="955"/>
      <c r="X29" s="2908">
        <f t="shared" si="24"/>
        <v>0</v>
      </c>
      <c r="Y29" s="2908">
        <f t="shared" si="25"/>
        <v>0</v>
      </c>
      <c r="Z29" s="955"/>
    </row>
    <row r="30" spans="1:45">
      <c r="A30" s="35"/>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0</v>
      </c>
      <c r="R30" s="597">
        <f t="shared" si="26"/>
        <v>0</v>
      </c>
      <c r="S30" s="250">
        <f t="shared" si="27"/>
        <v>0</v>
      </c>
      <c r="T30" s="858">
        <f t="shared" si="28"/>
        <v>0</v>
      </c>
      <c r="U30" s="2908">
        <f t="shared" si="22"/>
        <v>0</v>
      </c>
      <c r="V30" s="2908">
        <f t="shared" si="23"/>
        <v>0</v>
      </c>
      <c r="W30" s="955"/>
      <c r="X30" s="2908">
        <f t="shared" si="24"/>
        <v>0</v>
      </c>
      <c r="Y30" s="2908">
        <f t="shared" si="25"/>
        <v>0</v>
      </c>
      <c r="Z30" s="955"/>
    </row>
    <row r="31" spans="1:45">
      <c r="A31" s="35"/>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0</v>
      </c>
      <c r="R31" s="597">
        <f t="shared" si="26"/>
        <v>0</v>
      </c>
      <c r="S31" s="250">
        <f t="shared" si="27"/>
        <v>0</v>
      </c>
      <c r="T31" s="858">
        <f t="shared" si="28"/>
        <v>0</v>
      </c>
      <c r="U31" s="2908">
        <f t="shared" si="22"/>
        <v>0</v>
      </c>
      <c r="V31" s="2908">
        <f t="shared" si="23"/>
        <v>0</v>
      </c>
      <c r="W31" s="955"/>
      <c r="X31" s="2908">
        <f t="shared" si="24"/>
        <v>0</v>
      </c>
      <c r="Y31" s="2908">
        <f t="shared" si="25"/>
        <v>0</v>
      </c>
      <c r="Z31" s="955"/>
    </row>
    <row r="32" spans="1:45">
      <c r="A32" s="35"/>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0</v>
      </c>
      <c r="R32" s="597">
        <f t="shared" si="26"/>
        <v>0</v>
      </c>
      <c r="S32" s="250">
        <f t="shared" si="27"/>
        <v>0</v>
      </c>
      <c r="T32" s="858">
        <f t="shared" si="28"/>
        <v>0</v>
      </c>
      <c r="U32" s="2908">
        <f t="shared" si="22"/>
        <v>0</v>
      </c>
      <c r="V32" s="2908">
        <f t="shared" si="23"/>
        <v>0</v>
      </c>
      <c r="W32" s="955"/>
      <c r="X32" s="2908">
        <f t="shared" si="24"/>
        <v>0</v>
      </c>
      <c r="Y32" s="2908">
        <f t="shared" si="25"/>
        <v>0</v>
      </c>
      <c r="Z32" s="955"/>
    </row>
    <row r="33" spans="1:26">
      <c r="A33" s="35"/>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0</v>
      </c>
      <c r="R33" s="597">
        <f t="shared" si="26"/>
        <v>0</v>
      </c>
      <c r="S33" s="250">
        <f t="shared" si="27"/>
        <v>0</v>
      </c>
      <c r="T33" s="858">
        <f t="shared" si="28"/>
        <v>0</v>
      </c>
      <c r="U33" s="2908">
        <f t="shared" si="22"/>
        <v>0</v>
      </c>
      <c r="V33" s="2908">
        <f t="shared" si="23"/>
        <v>0</v>
      </c>
      <c r="W33" s="955"/>
      <c r="X33" s="2908">
        <f t="shared" si="24"/>
        <v>0</v>
      </c>
      <c r="Y33" s="2908">
        <f t="shared" si="25"/>
        <v>0</v>
      </c>
      <c r="Z33" s="955"/>
    </row>
    <row r="34" spans="1:26">
      <c r="A34" s="35"/>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0</v>
      </c>
      <c r="R34" s="597">
        <f t="shared" si="26"/>
        <v>0</v>
      </c>
      <c r="S34" s="250">
        <f t="shared" si="27"/>
        <v>0</v>
      </c>
      <c r="T34" s="858">
        <f t="shared" si="28"/>
        <v>0</v>
      </c>
      <c r="U34" s="2908">
        <f t="shared" si="22"/>
        <v>0</v>
      </c>
      <c r="V34" s="2908">
        <f t="shared" si="23"/>
        <v>0</v>
      </c>
      <c r="W34" s="955"/>
      <c r="X34" s="2908">
        <f t="shared" si="24"/>
        <v>0</v>
      </c>
      <c r="Y34" s="2908">
        <f t="shared" si="25"/>
        <v>0</v>
      </c>
      <c r="Z34" s="955"/>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0</v>
      </c>
      <c r="R35" s="597">
        <f t="shared" si="26"/>
        <v>0</v>
      </c>
      <c r="S35" s="250">
        <f t="shared" si="27"/>
        <v>0</v>
      </c>
      <c r="T35" s="858">
        <f t="shared" si="28"/>
        <v>0</v>
      </c>
      <c r="U35" s="2908">
        <f t="shared" si="22"/>
        <v>0</v>
      </c>
      <c r="V35" s="2908">
        <f t="shared" si="23"/>
        <v>0</v>
      </c>
      <c r="W35" s="955"/>
      <c r="X35" s="2908">
        <f t="shared" si="24"/>
        <v>0</v>
      </c>
      <c r="Y35" s="2908">
        <f t="shared" si="25"/>
        <v>0</v>
      </c>
      <c r="Z35" s="955"/>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0</v>
      </c>
      <c r="R36" s="597">
        <f t="shared" si="26"/>
        <v>0</v>
      </c>
      <c r="S36" s="250">
        <f t="shared" si="27"/>
        <v>0</v>
      </c>
      <c r="T36" s="858">
        <f t="shared" si="28"/>
        <v>0</v>
      </c>
      <c r="U36" s="2908">
        <f t="shared" si="22"/>
        <v>0</v>
      </c>
      <c r="V36" s="2908">
        <f t="shared" si="23"/>
        <v>0</v>
      </c>
      <c r="W36" s="955"/>
      <c r="X36" s="2908">
        <f t="shared" si="24"/>
        <v>0</v>
      </c>
      <c r="Y36" s="2908">
        <f t="shared" si="25"/>
        <v>0</v>
      </c>
      <c r="Z36" s="955"/>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0</v>
      </c>
      <c r="R37" s="597">
        <f t="shared" si="26"/>
        <v>0</v>
      </c>
      <c r="S37" s="250">
        <f t="shared" si="27"/>
        <v>0</v>
      </c>
      <c r="T37" s="858">
        <f t="shared" si="28"/>
        <v>0</v>
      </c>
      <c r="U37" s="2908">
        <f t="shared" si="22"/>
        <v>0</v>
      </c>
      <c r="V37" s="2908">
        <f t="shared" si="23"/>
        <v>0</v>
      </c>
      <c r="W37" s="955"/>
      <c r="X37" s="2908">
        <f t="shared" si="24"/>
        <v>0</v>
      </c>
      <c r="Y37" s="2908">
        <f t="shared" si="25"/>
        <v>0</v>
      </c>
      <c r="Z37" s="955"/>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0</v>
      </c>
      <c r="R38" s="597">
        <f t="shared" si="26"/>
        <v>0</v>
      </c>
      <c r="S38" s="250">
        <f t="shared" si="27"/>
        <v>0</v>
      </c>
      <c r="T38" s="858">
        <f t="shared" si="28"/>
        <v>0</v>
      </c>
      <c r="U38" s="2908">
        <f t="shared" si="22"/>
        <v>0</v>
      </c>
      <c r="V38" s="2908">
        <f t="shared" si="23"/>
        <v>0</v>
      </c>
      <c r="W38" s="955"/>
      <c r="X38" s="2908">
        <f t="shared" si="24"/>
        <v>0</v>
      </c>
      <c r="Y38" s="2908">
        <f t="shared" si="25"/>
        <v>0</v>
      </c>
      <c r="Z38" s="955"/>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0</v>
      </c>
      <c r="R39" s="597">
        <f t="shared" si="26"/>
        <v>0</v>
      </c>
      <c r="S39" s="250">
        <f t="shared" si="27"/>
        <v>0</v>
      </c>
      <c r="T39" s="858">
        <f t="shared" si="28"/>
        <v>0</v>
      </c>
      <c r="U39" s="2908">
        <f t="shared" si="22"/>
        <v>0</v>
      </c>
      <c r="V39" s="2908">
        <f t="shared" si="23"/>
        <v>0</v>
      </c>
      <c r="W39" s="955"/>
      <c r="X39" s="2908">
        <f t="shared" si="24"/>
        <v>0</v>
      </c>
      <c r="Y39" s="2908">
        <f t="shared" si="25"/>
        <v>0</v>
      </c>
      <c r="Z39" s="955"/>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0</v>
      </c>
      <c r="R40" s="597">
        <f t="shared" si="26"/>
        <v>0</v>
      </c>
      <c r="S40" s="250">
        <f t="shared" si="27"/>
        <v>0</v>
      </c>
      <c r="T40" s="858">
        <f t="shared" si="28"/>
        <v>0</v>
      </c>
      <c r="U40" s="2908">
        <f t="shared" si="22"/>
        <v>0</v>
      </c>
      <c r="V40" s="2908">
        <f t="shared" si="23"/>
        <v>0</v>
      </c>
      <c r="W40" s="955"/>
      <c r="X40" s="2908">
        <f t="shared" si="24"/>
        <v>0</v>
      </c>
      <c r="Y40" s="2908">
        <f t="shared" si="25"/>
        <v>0</v>
      </c>
      <c r="Z40" s="955"/>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0</v>
      </c>
      <c r="R41" s="597">
        <f t="shared" si="26"/>
        <v>0</v>
      </c>
      <c r="S41" s="250">
        <f t="shared" si="27"/>
        <v>0</v>
      </c>
      <c r="T41" s="858">
        <f t="shared" si="28"/>
        <v>0</v>
      </c>
      <c r="U41" s="2908">
        <f t="shared" si="22"/>
        <v>0</v>
      </c>
      <c r="V41" s="2908">
        <f t="shared" si="23"/>
        <v>0</v>
      </c>
      <c r="W41" s="955"/>
      <c r="X41" s="2908">
        <f t="shared" si="24"/>
        <v>0</v>
      </c>
      <c r="Y41" s="2908">
        <f t="shared" si="25"/>
        <v>0</v>
      </c>
      <c r="Z41" s="955"/>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0</v>
      </c>
      <c r="R42" s="597">
        <f t="shared" si="26"/>
        <v>0</v>
      </c>
      <c r="S42" s="250">
        <f t="shared" si="27"/>
        <v>0</v>
      </c>
      <c r="T42" s="858">
        <f t="shared" si="28"/>
        <v>0</v>
      </c>
      <c r="U42" s="2908">
        <f t="shared" si="22"/>
        <v>0</v>
      </c>
      <c r="V42" s="2908">
        <f t="shared" si="23"/>
        <v>0</v>
      </c>
      <c r="W42" s="955"/>
      <c r="X42" s="2908">
        <f t="shared" si="24"/>
        <v>0</v>
      </c>
      <c r="Y42" s="2908">
        <f t="shared" si="25"/>
        <v>0</v>
      </c>
      <c r="Z42" s="955"/>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0</v>
      </c>
      <c r="R43" s="597">
        <f t="shared" si="26"/>
        <v>0</v>
      </c>
      <c r="S43" s="250">
        <f t="shared" si="27"/>
        <v>0</v>
      </c>
      <c r="T43" s="858">
        <f t="shared" si="28"/>
        <v>0</v>
      </c>
      <c r="U43" s="2908">
        <f t="shared" si="22"/>
        <v>0</v>
      </c>
      <c r="V43" s="2908">
        <f t="shared" si="23"/>
        <v>0</v>
      </c>
      <c r="W43" s="955"/>
      <c r="X43" s="2908">
        <f t="shared" si="24"/>
        <v>0</v>
      </c>
      <c r="Y43" s="2908">
        <f t="shared" si="25"/>
        <v>0</v>
      </c>
      <c r="Z43" s="955"/>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0</v>
      </c>
      <c r="R44" s="597">
        <f t="shared" si="26"/>
        <v>0</v>
      </c>
      <c r="S44" s="250">
        <f t="shared" si="27"/>
        <v>0</v>
      </c>
      <c r="T44" s="858">
        <f t="shared" si="28"/>
        <v>0</v>
      </c>
      <c r="U44" s="2908">
        <f t="shared" si="22"/>
        <v>0</v>
      </c>
      <c r="V44" s="2908">
        <f t="shared" si="23"/>
        <v>0</v>
      </c>
      <c r="W44" s="955"/>
      <c r="X44" s="2908">
        <f t="shared" si="24"/>
        <v>0</v>
      </c>
      <c r="Y44" s="2908">
        <f t="shared" si="25"/>
        <v>0</v>
      </c>
      <c r="Z44" s="955"/>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0</v>
      </c>
      <c r="R45" s="597">
        <f t="shared" si="26"/>
        <v>0</v>
      </c>
      <c r="S45" s="250">
        <f t="shared" si="27"/>
        <v>0</v>
      </c>
      <c r="T45" s="858">
        <f t="shared" si="28"/>
        <v>0</v>
      </c>
      <c r="U45" s="2908">
        <f t="shared" si="22"/>
        <v>0</v>
      </c>
      <c r="V45" s="2908">
        <f t="shared" si="23"/>
        <v>0</v>
      </c>
      <c r="W45" s="955"/>
      <c r="X45" s="2908">
        <f t="shared" si="24"/>
        <v>0</v>
      </c>
      <c r="Y45" s="2908">
        <f t="shared" si="25"/>
        <v>0</v>
      </c>
      <c r="Z45" s="955"/>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0</v>
      </c>
      <c r="R46" s="597">
        <f t="shared" si="26"/>
        <v>0</v>
      </c>
      <c r="S46" s="250">
        <f t="shared" si="27"/>
        <v>0</v>
      </c>
      <c r="T46" s="858">
        <f t="shared" si="28"/>
        <v>0</v>
      </c>
      <c r="U46" s="2908">
        <f t="shared" si="22"/>
        <v>0</v>
      </c>
      <c r="V46" s="2908">
        <f t="shared" si="23"/>
        <v>0</v>
      </c>
      <c r="W46" s="955"/>
      <c r="X46" s="2908">
        <f t="shared" si="24"/>
        <v>0</v>
      </c>
      <c r="Y46" s="2908">
        <f t="shared" si="25"/>
        <v>0</v>
      </c>
      <c r="Z46" s="955"/>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0</v>
      </c>
      <c r="R47" s="597">
        <f t="shared" si="26"/>
        <v>0</v>
      </c>
      <c r="S47" s="250">
        <f t="shared" si="27"/>
        <v>0</v>
      </c>
      <c r="T47" s="858">
        <f t="shared" si="28"/>
        <v>0</v>
      </c>
      <c r="U47" s="2908">
        <f t="shared" si="22"/>
        <v>0</v>
      </c>
      <c r="V47" s="2908">
        <f t="shared" si="23"/>
        <v>0</v>
      </c>
      <c r="W47" s="955"/>
      <c r="X47" s="2908">
        <f t="shared" si="24"/>
        <v>0</v>
      </c>
      <c r="Y47" s="2908">
        <f t="shared" si="25"/>
        <v>0</v>
      </c>
      <c r="Z47" s="955"/>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0</v>
      </c>
      <c r="R48" s="597">
        <f t="shared" si="26"/>
        <v>0</v>
      </c>
      <c r="S48" s="250">
        <f t="shared" si="27"/>
        <v>0</v>
      </c>
      <c r="T48" s="858">
        <f t="shared" si="28"/>
        <v>0</v>
      </c>
      <c r="U48" s="2908">
        <f t="shared" si="22"/>
        <v>0</v>
      </c>
      <c r="V48" s="2908">
        <f t="shared" si="23"/>
        <v>0</v>
      </c>
      <c r="W48" s="955"/>
      <c r="X48" s="2908">
        <f t="shared" si="24"/>
        <v>0</v>
      </c>
      <c r="Y48" s="2908">
        <f t="shared" si="25"/>
        <v>0</v>
      </c>
      <c r="Z48" s="955"/>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0</v>
      </c>
      <c r="R49" s="597">
        <f t="shared" si="26"/>
        <v>0</v>
      </c>
      <c r="S49" s="250">
        <f t="shared" si="27"/>
        <v>0</v>
      </c>
      <c r="T49" s="858">
        <f t="shared" si="28"/>
        <v>0</v>
      </c>
      <c r="U49" s="2908">
        <f t="shared" si="22"/>
        <v>0</v>
      </c>
      <c r="V49" s="2908">
        <f t="shared" si="23"/>
        <v>0</v>
      </c>
      <c r="W49" s="955"/>
      <c r="X49" s="2908">
        <f t="shared" si="24"/>
        <v>0</v>
      </c>
      <c r="Y49" s="2908">
        <f t="shared" si="25"/>
        <v>0</v>
      </c>
      <c r="Z49" s="955"/>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0</v>
      </c>
      <c r="R50" s="597">
        <f t="shared" si="26"/>
        <v>0</v>
      </c>
      <c r="S50" s="250">
        <f t="shared" si="27"/>
        <v>0</v>
      </c>
      <c r="T50" s="858">
        <f t="shared" si="28"/>
        <v>0</v>
      </c>
      <c r="U50" s="2908">
        <f t="shared" si="22"/>
        <v>0</v>
      </c>
      <c r="V50" s="2908">
        <f t="shared" si="23"/>
        <v>0</v>
      </c>
      <c r="W50" s="955"/>
      <c r="X50" s="2908">
        <f t="shared" si="24"/>
        <v>0</v>
      </c>
      <c r="Y50" s="2908">
        <f t="shared" si="25"/>
        <v>0</v>
      </c>
      <c r="Z50" s="955"/>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0</v>
      </c>
      <c r="R51" s="597">
        <f t="shared" si="26"/>
        <v>0</v>
      </c>
      <c r="S51" s="250">
        <f t="shared" si="27"/>
        <v>0</v>
      </c>
      <c r="T51" s="858">
        <f t="shared" si="28"/>
        <v>0</v>
      </c>
      <c r="U51" s="2908">
        <f t="shared" si="22"/>
        <v>0</v>
      </c>
      <c r="V51" s="2908">
        <f t="shared" si="23"/>
        <v>0</v>
      </c>
      <c r="W51" s="955"/>
      <c r="X51" s="2908">
        <f t="shared" si="24"/>
        <v>0</v>
      </c>
      <c r="Y51" s="2908">
        <f t="shared" si="25"/>
        <v>0</v>
      </c>
      <c r="Z51" s="955"/>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0</v>
      </c>
      <c r="R52" s="597">
        <f t="shared" si="26"/>
        <v>0</v>
      </c>
      <c r="S52" s="250">
        <f t="shared" si="27"/>
        <v>0</v>
      </c>
      <c r="T52" s="858">
        <f t="shared" si="28"/>
        <v>0</v>
      </c>
      <c r="U52" s="2908">
        <f t="shared" si="22"/>
        <v>0</v>
      </c>
      <c r="V52" s="2908">
        <f t="shared" si="23"/>
        <v>0</v>
      </c>
      <c r="W52" s="955"/>
      <c r="X52" s="2908">
        <f t="shared" si="24"/>
        <v>0</v>
      </c>
      <c r="Y52" s="2908">
        <f t="shared" si="25"/>
        <v>0</v>
      </c>
      <c r="Z52" s="955"/>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0</v>
      </c>
      <c r="R53" s="597">
        <f t="shared" si="26"/>
        <v>0</v>
      </c>
      <c r="S53" s="250">
        <f t="shared" si="27"/>
        <v>0</v>
      </c>
      <c r="T53" s="858">
        <f t="shared" si="28"/>
        <v>0</v>
      </c>
      <c r="U53" s="2908">
        <f t="shared" si="22"/>
        <v>0</v>
      </c>
      <c r="V53" s="2908">
        <f t="shared" si="23"/>
        <v>0</v>
      </c>
      <c r="W53" s="955"/>
      <c r="X53" s="2908">
        <f t="shared" si="24"/>
        <v>0</v>
      </c>
      <c r="Y53" s="2908">
        <f t="shared" si="25"/>
        <v>0</v>
      </c>
      <c r="Z53" s="955"/>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0</v>
      </c>
      <c r="R54" s="597">
        <f t="shared" si="26"/>
        <v>0</v>
      </c>
      <c r="S54" s="250">
        <f t="shared" si="27"/>
        <v>0</v>
      </c>
      <c r="T54" s="858">
        <f t="shared" si="28"/>
        <v>0</v>
      </c>
      <c r="U54" s="2908">
        <f t="shared" si="22"/>
        <v>0</v>
      </c>
      <c r="V54" s="2908">
        <f t="shared" si="23"/>
        <v>0</v>
      </c>
      <c r="W54" s="955"/>
      <c r="X54" s="2908">
        <f t="shared" si="24"/>
        <v>0</v>
      </c>
      <c r="Y54" s="2908">
        <f t="shared" si="25"/>
        <v>0</v>
      </c>
      <c r="Z54" s="955"/>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0</v>
      </c>
      <c r="R55" s="597">
        <f t="shared" si="26"/>
        <v>0</v>
      </c>
      <c r="S55" s="250">
        <f t="shared" si="27"/>
        <v>0</v>
      </c>
      <c r="T55" s="858">
        <f t="shared" si="28"/>
        <v>0</v>
      </c>
      <c r="U55" s="2908">
        <f t="shared" si="22"/>
        <v>0</v>
      </c>
      <c r="V55" s="2908">
        <f t="shared" si="23"/>
        <v>0</v>
      </c>
      <c r="W55" s="955"/>
      <c r="X55" s="2908">
        <f t="shared" si="24"/>
        <v>0</v>
      </c>
      <c r="Y55" s="2908">
        <f t="shared" si="25"/>
        <v>0</v>
      </c>
      <c r="Z55" s="955"/>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0</v>
      </c>
      <c r="R56" s="597">
        <f t="shared" si="26"/>
        <v>0</v>
      </c>
      <c r="S56" s="250">
        <f t="shared" si="27"/>
        <v>0</v>
      </c>
      <c r="T56" s="858">
        <f t="shared" si="28"/>
        <v>0</v>
      </c>
      <c r="U56" s="2908">
        <f t="shared" si="22"/>
        <v>0</v>
      </c>
      <c r="V56" s="2908">
        <f t="shared" si="23"/>
        <v>0</v>
      </c>
      <c r="W56" s="955"/>
      <c r="X56" s="2908">
        <f t="shared" si="24"/>
        <v>0</v>
      </c>
      <c r="Y56" s="2908">
        <f t="shared" si="25"/>
        <v>0</v>
      </c>
      <c r="Z56" s="955"/>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0</v>
      </c>
      <c r="R57" s="597">
        <f t="shared" si="26"/>
        <v>0</v>
      </c>
      <c r="S57" s="250">
        <f t="shared" si="27"/>
        <v>0</v>
      </c>
      <c r="T57" s="858">
        <f t="shared" si="28"/>
        <v>0</v>
      </c>
      <c r="U57" s="2908">
        <f t="shared" si="22"/>
        <v>0</v>
      </c>
      <c r="V57" s="2908">
        <f t="shared" si="23"/>
        <v>0</v>
      </c>
      <c r="W57" s="955"/>
      <c r="X57" s="2908">
        <f t="shared" si="24"/>
        <v>0</v>
      </c>
      <c r="Y57" s="2908">
        <f t="shared" si="25"/>
        <v>0</v>
      </c>
      <c r="Z57" s="955"/>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0</v>
      </c>
      <c r="R58" s="597">
        <f t="shared" si="26"/>
        <v>0</v>
      </c>
      <c r="S58" s="250">
        <f t="shared" si="27"/>
        <v>0</v>
      </c>
      <c r="T58" s="858">
        <f t="shared" si="28"/>
        <v>0</v>
      </c>
      <c r="U58" s="2908">
        <f t="shared" si="22"/>
        <v>0</v>
      </c>
      <c r="V58" s="2908">
        <f t="shared" si="23"/>
        <v>0</v>
      </c>
      <c r="W58" s="955"/>
      <c r="X58" s="2908">
        <f t="shared" si="24"/>
        <v>0</v>
      </c>
      <c r="Y58" s="2908">
        <f t="shared" si="25"/>
        <v>0</v>
      </c>
      <c r="Z58" s="955"/>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0</v>
      </c>
      <c r="R59" s="597">
        <f t="shared" si="26"/>
        <v>0</v>
      </c>
      <c r="S59" s="250">
        <f t="shared" si="27"/>
        <v>0</v>
      </c>
      <c r="T59" s="858">
        <f t="shared" si="28"/>
        <v>0</v>
      </c>
      <c r="U59" s="2908">
        <f t="shared" si="22"/>
        <v>0</v>
      </c>
      <c r="V59" s="2908">
        <f t="shared" si="23"/>
        <v>0</v>
      </c>
      <c r="W59" s="955"/>
      <c r="X59" s="2908">
        <f t="shared" si="24"/>
        <v>0</v>
      </c>
      <c r="Y59" s="2908">
        <f t="shared" si="25"/>
        <v>0</v>
      </c>
      <c r="Z59" s="955"/>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0</v>
      </c>
      <c r="R60" s="597">
        <f t="shared" si="26"/>
        <v>0</v>
      </c>
      <c r="S60" s="250">
        <f t="shared" si="27"/>
        <v>0</v>
      </c>
      <c r="T60" s="858">
        <f t="shared" si="28"/>
        <v>0</v>
      </c>
      <c r="U60" s="2908">
        <f t="shared" si="22"/>
        <v>0</v>
      </c>
      <c r="V60" s="2908">
        <f t="shared" si="23"/>
        <v>0</v>
      </c>
      <c r="W60" s="955"/>
      <c r="X60" s="2908">
        <f t="shared" si="24"/>
        <v>0</v>
      </c>
      <c r="Y60" s="2908">
        <f t="shared" si="25"/>
        <v>0</v>
      </c>
      <c r="Z60" s="955"/>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0</v>
      </c>
      <c r="R61" s="597">
        <f t="shared" si="26"/>
        <v>0</v>
      </c>
      <c r="S61" s="250">
        <f t="shared" si="27"/>
        <v>0</v>
      </c>
      <c r="T61" s="858">
        <f t="shared" si="28"/>
        <v>0</v>
      </c>
      <c r="U61" s="2908">
        <f t="shared" si="22"/>
        <v>0</v>
      </c>
      <c r="V61" s="2908">
        <f t="shared" si="23"/>
        <v>0</v>
      </c>
      <c r="W61" s="955"/>
      <c r="X61" s="2908">
        <f t="shared" si="24"/>
        <v>0</v>
      </c>
      <c r="Y61" s="2908">
        <f t="shared" si="25"/>
        <v>0</v>
      </c>
      <c r="Z61" s="955"/>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0</v>
      </c>
      <c r="R62" s="597">
        <f t="shared" si="26"/>
        <v>0</v>
      </c>
      <c r="S62" s="250">
        <f t="shared" si="27"/>
        <v>0</v>
      </c>
      <c r="T62" s="858">
        <f t="shared" si="28"/>
        <v>0</v>
      </c>
      <c r="U62" s="2908">
        <f t="shared" si="22"/>
        <v>0</v>
      </c>
      <c r="V62" s="2908">
        <f t="shared" si="23"/>
        <v>0</v>
      </c>
      <c r="W62" s="955"/>
      <c r="X62" s="2908">
        <f t="shared" si="24"/>
        <v>0</v>
      </c>
      <c r="Y62" s="2908">
        <f t="shared" si="25"/>
        <v>0</v>
      </c>
      <c r="Z62" s="955"/>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0</v>
      </c>
      <c r="R63" s="597">
        <f t="shared" si="26"/>
        <v>0</v>
      </c>
      <c r="S63" s="250">
        <f t="shared" si="27"/>
        <v>0</v>
      </c>
      <c r="T63" s="858">
        <f t="shared" si="28"/>
        <v>0</v>
      </c>
      <c r="U63" s="2908">
        <f t="shared" si="22"/>
        <v>0</v>
      </c>
      <c r="V63" s="2908">
        <f t="shared" si="23"/>
        <v>0</v>
      </c>
      <c r="W63" s="955"/>
      <c r="X63" s="2908">
        <f t="shared" si="24"/>
        <v>0</v>
      </c>
      <c r="Y63" s="2908">
        <f t="shared" si="25"/>
        <v>0</v>
      </c>
      <c r="Z63" s="955"/>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0</v>
      </c>
      <c r="R64" s="597">
        <f t="shared" si="26"/>
        <v>0</v>
      </c>
      <c r="S64" s="250">
        <f t="shared" si="27"/>
        <v>0</v>
      </c>
      <c r="T64" s="858">
        <f t="shared" si="28"/>
        <v>0</v>
      </c>
      <c r="U64" s="2908">
        <f t="shared" si="22"/>
        <v>0</v>
      </c>
      <c r="V64" s="2908">
        <f t="shared" si="23"/>
        <v>0</v>
      </c>
      <c r="W64" s="955"/>
      <c r="X64" s="2908">
        <f t="shared" si="24"/>
        <v>0</v>
      </c>
      <c r="Y64" s="2908">
        <f t="shared" si="25"/>
        <v>0</v>
      </c>
      <c r="Z64" s="955"/>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0</v>
      </c>
      <c r="R65" s="597">
        <f t="shared" si="26"/>
        <v>0</v>
      </c>
      <c r="S65" s="250">
        <f t="shared" si="27"/>
        <v>0</v>
      </c>
      <c r="T65" s="858">
        <f t="shared" si="28"/>
        <v>0</v>
      </c>
      <c r="U65" s="2908">
        <f t="shared" si="22"/>
        <v>0</v>
      </c>
      <c r="V65" s="2908">
        <f t="shared" si="23"/>
        <v>0</v>
      </c>
      <c r="W65" s="955"/>
      <c r="X65" s="2908">
        <f t="shared" si="24"/>
        <v>0</v>
      </c>
      <c r="Y65" s="2908">
        <f t="shared" si="25"/>
        <v>0</v>
      </c>
      <c r="Z65" s="955"/>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0</v>
      </c>
      <c r="R66" s="597">
        <f t="shared" si="26"/>
        <v>0</v>
      </c>
      <c r="S66" s="250">
        <f t="shared" si="27"/>
        <v>0</v>
      </c>
      <c r="T66" s="858">
        <f t="shared" si="28"/>
        <v>0</v>
      </c>
      <c r="U66" s="2908">
        <f t="shared" si="22"/>
        <v>0</v>
      </c>
      <c r="V66" s="2908">
        <f t="shared" si="23"/>
        <v>0</v>
      </c>
      <c r="W66" s="955"/>
      <c r="X66" s="2908">
        <f t="shared" si="24"/>
        <v>0</v>
      </c>
      <c r="Y66" s="2908">
        <f t="shared" si="25"/>
        <v>0</v>
      </c>
      <c r="Z66" s="955"/>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0</v>
      </c>
      <c r="R67" s="597">
        <f t="shared" si="26"/>
        <v>0</v>
      </c>
      <c r="S67" s="250">
        <f t="shared" si="27"/>
        <v>0</v>
      </c>
      <c r="T67" s="858">
        <f t="shared" si="28"/>
        <v>0</v>
      </c>
      <c r="U67" s="2908">
        <f t="shared" si="22"/>
        <v>0</v>
      </c>
      <c r="V67" s="2908">
        <f t="shared" si="23"/>
        <v>0</v>
      </c>
      <c r="W67" s="955"/>
      <c r="X67" s="2908">
        <f t="shared" si="24"/>
        <v>0</v>
      </c>
      <c r="Y67" s="2908">
        <f t="shared" si="25"/>
        <v>0</v>
      </c>
      <c r="Z67" s="955"/>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0</v>
      </c>
      <c r="R68" s="597">
        <f t="shared" si="26"/>
        <v>0</v>
      </c>
      <c r="S68" s="250">
        <f t="shared" si="27"/>
        <v>0</v>
      </c>
      <c r="T68" s="858">
        <f t="shared" si="28"/>
        <v>0</v>
      </c>
      <c r="U68" s="2908">
        <f t="shared" si="22"/>
        <v>0</v>
      </c>
      <c r="V68" s="2908">
        <f t="shared" si="23"/>
        <v>0</v>
      </c>
      <c r="W68" s="955"/>
      <c r="X68" s="2908">
        <f t="shared" si="24"/>
        <v>0</v>
      </c>
      <c r="Y68" s="2908">
        <f t="shared" si="25"/>
        <v>0</v>
      </c>
      <c r="Z68" s="955"/>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0</v>
      </c>
      <c r="R69" s="597">
        <f t="shared" si="26"/>
        <v>0</v>
      </c>
      <c r="S69" s="250">
        <f t="shared" si="27"/>
        <v>0</v>
      </c>
      <c r="T69" s="858">
        <f t="shared" si="28"/>
        <v>0</v>
      </c>
      <c r="U69" s="2908">
        <f t="shared" si="22"/>
        <v>0</v>
      </c>
      <c r="V69" s="2908">
        <f t="shared" si="23"/>
        <v>0</v>
      </c>
      <c r="W69" s="955"/>
      <c r="X69" s="2908">
        <f t="shared" si="24"/>
        <v>0</v>
      </c>
      <c r="Y69" s="2908">
        <f t="shared" si="25"/>
        <v>0</v>
      </c>
      <c r="Z69" s="955"/>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0</v>
      </c>
      <c r="R70" s="597">
        <f t="shared" si="26"/>
        <v>0</v>
      </c>
      <c r="S70" s="250">
        <f t="shared" si="27"/>
        <v>0</v>
      </c>
      <c r="T70" s="858">
        <f t="shared" si="28"/>
        <v>0</v>
      </c>
      <c r="U70" s="2908">
        <f t="shared" si="22"/>
        <v>0</v>
      </c>
      <c r="V70" s="2908">
        <f t="shared" si="23"/>
        <v>0</v>
      </c>
      <c r="W70" s="955"/>
      <c r="X70" s="2908">
        <f t="shared" si="24"/>
        <v>0</v>
      </c>
      <c r="Y70" s="2908">
        <f t="shared" si="25"/>
        <v>0</v>
      </c>
      <c r="Z70" s="955"/>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0</v>
      </c>
      <c r="R71" s="597">
        <f t="shared" si="26"/>
        <v>0</v>
      </c>
      <c r="S71" s="250">
        <f t="shared" si="27"/>
        <v>0</v>
      </c>
      <c r="T71" s="858">
        <f t="shared" si="28"/>
        <v>0</v>
      </c>
      <c r="U71" s="2908">
        <f t="shared" si="22"/>
        <v>0</v>
      </c>
      <c r="V71" s="2908">
        <f t="shared" si="23"/>
        <v>0</v>
      </c>
      <c r="W71" s="955"/>
      <c r="X71" s="2908">
        <f t="shared" si="24"/>
        <v>0</v>
      </c>
      <c r="Y71" s="2908">
        <f t="shared" si="25"/>
        <v>0</v>
      </c>
      <c r="Z71" s="955"/>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0</v>
      </c>
      <c r="R72" s="597">
        <f t="shared" si="26"/>
        <v>0</v>
      </c>
      <c r="S72" s="250">
        <f t="shared" si="27"/>
        <v>0</v>
      </c>
      <c r="T72" s="858">
        <f t="shared" si="28"/>
        <v>0</v>
      </c>
      <c r="U72" s="2908">
        <f t="shared" si="22"/>
        <v>0</v>
      </c>
      <c r="V72" s="2908">
        <f t="shared" si="23"/>
        <v>0</v>
      </c>
      <c r="W72" s="955"/>
      <c r="X72" s="2908">
        <f t="shared" si="24"/>
        <v>0</v>
      </c>
      <c r="Y72" s="2908">
        <f t="shared" si="25"/>
        <v>0</v>
      </c>
      <c r="Z72" s="955"/>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0</v>
      </c>
      <c r="R73" s="597">
        <f t="shared" si="26"/>
        <v>0</v>
      </c>
      <c r="S73" s="250">
        <f t="shared" si="27"/>
        <v>0</v>
      </c>
      <c r="T73" s="858">
        <f t="shared" si="28"/>
        <v>0</v>
      </c>
      <c r="U73" s="2908">
        <f t="shared" si="22"/>
        <v>0</v>
      </c>
      <c r="V73" s="2908">
        <f t="shared" si="23"/>
        <v>0</v>
      </c>
      <c r="W73" s="955"/>
      <c r="X73" s="2908">
        <f t="shared" si="24"/>
        <v>0</v>
      </c>
      <c r="Y73" s="2908">
        <f t="shared" si="25"/>
        <v>0</v>
      </c>
      <c r="Z73" s="955"/>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0</v>
      </c>
      <c r="R74" s="597">
        <f t="shared" si="26"/>
        <v>0</v>
      </c>
      <c r="S74" s="250">
        <f t="shared" si="27"/>
        <v>0</v>
      </c>
      <c r="T74" s="858">
        <f t="shared" si="28"/>
        <v>0</v>
      </c>
      <c r="U74" s="2908">
        <f t="shared" si="22"/>
        <v>0</v>
      </c>
      <c r="V74" s="2908">
        <f t="shared" si="23"/>
        <v>0</v>
      </c>
      <c r="W74" s="955"/>
      <c r="X74" s="2908">
        <f t="shared" si="24"/>
        <v>0</v>
      </c>
      <c r="Y74" s="2908">
        <f t="shared" si="25"/>
        <v>0</v>
      </c>
      <c r="Z74" s="955"/>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0</v>
      </c>
      <c r="R75" s="597">
        <f t="shared" si="26"/>
        <v>0</v>
      </c>
      <c r="S75" s="250">
        <f t="shared" si="27"/>
        <v>0</v>
      </c>
      <c r="T75" s="858">
        <f t="shared" si="28"/>
        <v>0</v>
      </c>
      <c r="U75" s="2908">
        <f t="shared" si="22"/>
        <v>0</v>
      </c>
      <c r="V75" s="2908">
        <f t="shared" si="23"/>
        <v>0</v>
      </c>
      <c r="W75" s="955"/>
      <c r="X75" s="2908">
        <f t="shared" si="24"/>
        <v>0</v>
      </c>
      <c r="Y75" s="2908">
        <f t="shared" si="25"/>
        <v>0</v>
      </c>
      <c r="Z75" s="955"/>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0</v>
      </c>
      <c r="R76" s="597">
        <f t="shared" si="26"/>
        <v>0</v>
      </c>
      <c r="S76" s="250">
        <f t="shared" si="27"/>
        <v>0</v>
      </c>
      <c r="T76" s="858">
        <f t="shared" si="28"/>
        <v>0</v>
      </c>
      <c r="U76" s="2908">
        <f t="shared" si="22"/>
        <v>0</v>
      </c>
      <c r="V76" s="2908">
        <f t="shared" si="23"/>
        <v>0</v>
      </c>
      <c r="W76" s="955"/>
      <c r="X76" s="2908">
        <f t="shared" si="24"/>
        <v>0</v>
      </c>
      <c r="Y76" s="2908">
        <f t="shared" si="25"/>
        <v>0</v>
      </c>
      <c r="Z76" s="955"/>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0</v>
      </c>
      <c r="R77" s="597">
        <f t="shared" si="26"/>
        <v>0</v>
      </c>
      <c r="S77" s="250">
        <f t="shared" si="27"/>
        <v>0</v>
      </c>
      <c r="T77" s="858">
        <f t="shared" si="28"/>
        <v>0</v>
      </c>
      <c r="U77" s="2908">
        <f t="shared" si="22"/>
        <v>0</v>
      </c>
      <c r="V77" s="2908">
        <f t="shared" si="23"/>
        <v>0</v>
      </c>
      <c r="W77" s="955"/>
      <c r="X77" s="2908">
        <f t="shared" si="24"/>
        <v>0</v>
      </c>
      <c r="Y77" s="2908">
        <f t="shared" si="25"/>
        <v>0</v>
      </c>
      <c r="Z77" s="955"/>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0</v>
      </c>
      <c r="R78" s="597">
        <f t="shared" si="26"/>
        <v>0</v>
      </c>
      <c r="S78" s="250">
        <f t="shared" si="27"/>
        <v>0</v>
      </c>
      <c r="T78" s="858">
        <f t="shared" si="28"/>
        <v>0</v>
      </c>
      <c r="U78" s="2908">
        <f t="shared" si="22"/>
        <v>0</v>
      </c>
      <c r="V78" s="2908">
        <f t="shared" si="23"/>
        <v>0</v>
      </c>
      <c r="W78" s="955"/>
      <c r="X78" s="2908">
        <f t="shared" si="24"/>
        <v>0</v>
      </c>
      <c r="Y78" s="2908">
        <f t="shared" si="25"/>
        <v>0</v>
      </c>
      <c r="Z78" s="955"/>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0</v>
      </c>
      <c r="R79" s="597">
        <f t="shared" si="26"/>
        <v>0</v>
      </c>
      <c r="S79" s="250">
        <f t="shared" si="27"/>
        <v>0</v>
      </c>
      <c r="T79" s="858">
        <f t="shared" si="28"/>
        <v>0</v>
      </c>
      <c r="U79" s="2908">
        <f t="shared" si="22"/>
        <v>0</v>
      </c>
      <c r="V79" s="2908">
        <f t="shared" si="23"/>
        <v>0</v>
      </c>
      <c r="W79" s="955"/>
      <c r="X79" s="2908">
        <f t="shared" si="24"/>
        <v>0</v>
      </c>
      <c r="Y79" s="2908">
        <f t="shared" si="25"/>
        <v>0</v>
      </c>
      <c r="Z79" s="955"/>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0</v>
      </c>
      <c r="R80" s="597">
        <f t="shared" si="26"/>
        <v>0</v>
      </c>
      <c r="S80" s="250">
        <f t="shared" si="27"/>
        <v>0</v>
      </c>
      <c r="T80" s="858">
        <f t="shared" si="28"/>
        <v>0</v>
      </c>
      <c r="U80" s="2908">
        <f t="shared" si="22"/>
        <v>0</v>
      </c>
      <c r="V80" s="2908">
        <f t="shared" si="23"/>
        <v>0</v>
      </c>
      <c r="W80" s="955"/>
      <c r="X80" s="2908">
        <f t="shared" si="24"/>
        <v>0</v>
      </c>
      <c r="Y80" s="2908">
        <f t="shared" si="25"/>
        <v>0</v>
      </c>
      <c r="Z80" s="955"/>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0</v>
      </c>
      <c r="R81" s="597">
        <f t="shared" si="26"/>
        <v>0</v>
      </c>
      <c r="S81" s="250">
        <f t="shared" si="27"/>
        <v>0</v>
      </c>
      <c r="T81" s="858">
        <f t="shared" si="28"/>
        <v>0</v>
      </c>
      <c r="U81" s="2908">
        <f t="shared" si="22"/>
        <v>0</v>
      </c>
      <c r="V81" s="2908">
        <f t="shared" si="23"/>
        <v>0</v>
      </c>
      <c r="W81" s="955"/>
      <c r="X81" s="2908">
        <f t="shared" si="24"/>
        <v>0</v>
      </c>
      <c r="Y81" s="2908">
        <f t="shared" si="25"/>
        <v>0</v>
      </c>
      <c r="Z81" s="955"/>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0</v>
      </c>
      <c r="R82" s="597">
        <f t="shared" si="26"/>
        <v>0</v>
      </c>
      <c r="S82" s="250">
        <f t="shared" si="27"/>
        <v>0</v>
      </c>
      <c r="T82" s="858">
        <f t="shared" si="28"/>
        <v>0</v>
      </c>
      <c r="U82" s="2908">
        <f t="shared" si="22"/>
        <v>0</v>
      </c>
      <c r="V82" s="2908">
        <f t="shared" si="23"/>
        <v>0</v>
      </c>
      <c r="W82" s="955"/>
      <c r="X82" s="2908">
        <f t="shared" si="24"/>
        <v>0</v>
      </c>
      <c r="Y82" s="2908">
        <f t="shared" si="25"/>
        <v>0</v>
      </c>
      <c r="Z82" s="955"/>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0</v>
      </c>
      <c r="R83" s="597">
        <f t="shared" si="26"/>
        <v>0</v>
      </c>
      <c r="S83" s="250">
        <f t="shared" si="27"/>
        <v>0</v>
      </c>
      <c r="T83" s="858">
        <f t="shared" si="28"/>
        <v>0</v>
      </c>
      <c r="U83" s="2908">
        <f t="shared" si="22"/>
        <v>0</v>
      </c>
      <c r="V83" s="2908">
        <f t="shared" si="23"/>
        <v>0</v>
      </c>
      <c r="W83" s="955"/>
      <c r="X83" s="2908">
        <f t="shared" si="24"/>
        <v>0</v>
      </c>
      <c r="Y83" s="2908">
        <f t="shared" si="25"/>
        <v>0</v>
      </c>
      <c r="Z83" s="955"/>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0</v>
      </c>
      <c r="R84" s="597">
        <f t="shared" si="26"/>
        <v>0</v>
      </c>
      <c r="S84" s="250">
        <f t="shared" si="27"/>
        <v>0</v>
      </c>
      <c r="T84" s="858">
        <f t="shared" si="28"/>
        <v>0</v>
      </c>
      <c r="U84" s="2908">
        <f t="shared" si="22"/>
        <v>0</v>
      </c>
      <c r="V84" s="2908">
        <f t="shared" si="23"/>
        <v>0</v>
      </c>
      <c r="W84" s="955"/>
      <c r="X84" s="2908">
        <f t="shared" si="24"/>
        <v>0</v>
      </c>
      <c r="Y84" s="2908">
        <f t="shared" si="25"/>
        <v>0</v>
      </c>
      <c r="Z84" s="955"/>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0</v>
      </c>
      <c r="R85" s="597">
        <f t="shared" si="26"/>
        <v>0</v>
      </c>
      <c r="S85" s="250">
        <f t="shared" si="27"/>
        <v>0</v>
      </c>
      <c r="T85" s="858">
        <f t="shared" si="28"/>
        <v>0</v>
      </c>
      <c r="U85" s="2908">
        <f t="shared" si="22"/>
        <v>0</v>
      </c>
      <c r="V85" s="2908">
        <f t="shared" si="23"/>
        <v>0</v>
      </c>
      <c r="W85" s="955"/>
      <c r="X85" s="2908">
        <f t="shared" si="24"/>
        <v>0</v>
      </c>
      <c r="Y85" s="2908">
        <f t="shared" si="25"/>
        <v>0</v>
      </c>
      <c r="Z85" s="955"/>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0</v>
      </c>
      <c r="R86" s="597">
        <f t="shared" si="26"/>
        <v>0</v>
      </c>
      <c r="S86" s="250">
        <f t="shared" si="27"/>
        <v>0</v>
      </c>
      <c r="T86" s="858">
        <f t="shared" si="28"/>
        <v>0</v>
      </c>
      <c r="U86" s="2908">
        <f t="shared" si="22"/>
        <v>0</v>
      </c>
      <c r="V86" s="2908">
        <f t="shared" si="23"/>
        <v>0</v>
      </c>
      <c r="W86" s="955"/>
      <c r="X86" s="2908">
        <f t="shared" si="24"/>
        <v>0</v>
      </c>
      <c r="Y86" s="2908">
        <f t="shared" si="25"/>
        <v>0</v>
      </c>
      <c r="Z86" s="955"/>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0</v>
      </c>
      <c r="R87" s="597">
        <f t="shared" si="26"/>
        <v>0</v>
      </c>
      <c r="S87" s="250">
        <f t="shared" si="27"/>
        <v>0</v>
      </c>
      <c r="T87" s="858">
        <f t="shared" si="28"/>
        <v>0</v>
      </c>
      <c r="U87" s="2908">
        <f t="shared" si="22"/>
        <v>0</v>
      </c>
      <c r="V87" s="2908">
        <f t="shared" si="23"/>
        <v>0</v>
      </c>
      <c r="W87" s="955"/>
      <c r="X87" s="2908">
        <f t="shared" si="24"/>
        <v>0</v>
      </c>
      <c r="Y87" s="2908">
        <f t="shared" si="25"/>
        <v>0</v>
      </c>
      <c r="Z87" s="955"/>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0</v>
      </c>
      <c r="R88" s="597">
        <f t="shared" si="26"/>
        <v>0</v>
      </c>
      <c r="S88" s="250">
        <f t="shared" si="27"/>
        <v>0</v>
      </c>
      <c r="T88" s="858">
        <f t="shared" si="28"/>
        <v>0</v>
      </c>
      <c r="U88" s="2908">
        <f t="shared" si="22"/>
        <v>0</v>
      </c>
      <c r="V88" s="2908">
        <f t="shared" si="23"/>
        <v>0</v>
      </c>
      <c r="W88" s="955"/>
      <c r="X88" s="2908">
        <f t="shared" si="24"/>
        <v>0</v>
      </c>
      <c r="Y88" s="2908">
        <f t="shared" si="25"/>
        <v>0</v>
      </c>
      <c r="Z88" s="955"/>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0</v>
      </c>
      <c r="R89" s="597">
        <f t="shared" si="26"/>
        <v>0</v>
      </c>
      <c r="S89" s="250">
        <f t="shared" si="27"/>
        <v>0</v>
      </c>
      <c r="T89" s="858">
        <f t="shared" si="28"/>
        <v>0</v>
      </c>
      <c r="U89" s="2908">
        <f t="shared" si="22"/>
        <v>0</v>
      </c>
      <c r="V89" s="2908">
        <f t="shared" si="23"/>
        <v>0</v>
      </c>
      <c r="W89" s="955"/>
      <c r="X89" s="2908">
        <f t="shared" si="24"/>
        <v>0</v>
      </c>
      <c r="Y89" s="2908">
        <f t="shared" si="25"/>
        <v>0</v>
      </c>
      <c r="Z89" s="955"/>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0</v>
      </c>
      <c r="R90" s="597">
        <f t="shared" si="26"/>
        <v>0</v>
      </c>
      <c r="S90" s="250">
        <f t="shared" si="27"/>
        <v>0</v>
      </c>
      <c r="T90" s="858">
        <f t="shared" si="28"/>
        <v>0</v>
      </c>
      <c r="U90" s="2908">
        <f t="shared" si="22"/>
        <v>0</v>
      </c>
      <c r="V90" s="2908">
        <f t="shared" si="23"/>
        <v>0</v>
      </c>
      <c r="W90" s="955"/>
      <c r="X90" s="2908">
        <f t="shared" si="24"/>
        <v>0</v>
      </c>
      <c r="Y90" s="2908">
        <f t="shared" si="25"/>
        <v>0</v>
      </c>
      <c r="Z90" s="955"/>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0</v>
      </c>
      <c r="R91" s="597">
        <f t="shared" si="26"/>
        <v>0</v>
      </c>
      <c r="S91" s="250">
        <f t="shared" si="27"/>
        <v>0</v>
      </c>
      <c r="T91" s="858">
        <f t="shared" si="28"/>
        <v>0</v>
      </c>
      <c r="U91" s="2908">
        <f t="shared" si="22"/>
        <v>0</v>
      </c>
      <c r="V91" s="2908">
        <f t="shared" si="23"/>
        <v>0</v>
      </c>
      <c r="W91" s="955"/>
      <c r="X91" s="2908">
        <f t="shared" si="24"/>
        <v>0</v>
      </c>
      <c r="Y91" s="2908">
        <f t="shared" si="25"/>
        <v>0</v>
      </c>
      <c r="Z91" s="955"/>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v>
      </c>
      <c r="R92" s="597">
        <f t="shared" si="26"/>
        <v>0</v>
      </c>
      <c r="S92" s="250">
        <f t="shared" si="27"/>
        <v>0</v>
      </c>
      <c r="T92" s="858">
        <f t="shared" si="28"/>
        <v>0</v>
      </c>
      <c r="U92" s="2908">
        <f t="shared" ref="U92:U155" si="37">ROUND(W92*B92,0)</f>
        <v>0</v>
      </c>
      <c r="V92" s="2908">
        <f t="shared" ref="V92:V155" si="38">ROUND(W92*B92/10000,0)</f>
        <v>0</v>
      </c>
      <c r="W92" s="955"/>
      <c r="X92" s="2908">
        <f t="shared" ref="X92:X155" si="39">ROUND(Z92*B92,0)</f>
        <v>0</v>
      </c>
      <c r="Y92" s="2908">
        <f t="shared" ref="Y92:Y155" si="40">ROUND(Z92*B92/10000,0)</f>
        <v>0</v>
      </c>
      <c r="Z92" s="955"/>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0</v>
      </c>
      <c r="R93" s="597">
        <f t="shared" ref="R93:R156" si="41">IF(B93="",0,ROUND($R$27*C93*E93*G93*I93*K93*M93*O93*Q93,0))</f>
        <v>0</v>
      </c>
      <c r="S93" s="250">
        <f t="shared" ref="S93:S156" si="42">ROUND(R93*B93,0)</f>
        <v>0</v>
      </c>
      <c r="T93" s="858">
        <f t="shared" ref="T93:T156" si="43">ROUND(R93*B93/10000,0)</f>
        <v>0</v>
      </c>
      <c r="U93" s="2908">
        <f t="shared" si="37"/>
        <v>0</v>
      </c>
      <c r="V93" s="2908">
        <f t="shared" si="38"/>
        <v>0</v>
      </c>
      <c r="W93" s="955"/>
      <c r="X93" s="2908">
        <f t="shared" si="39"/>
        <v>0</v>
      </c>
      <c r="Y93" s="2908">
        <f t="shared" si="40"/>
        <v>0</v>
      </c>
      <c r="Z93" s="955"/>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0</v>
      </c>
      <c r="R94" s="597">
        <f t="shared" si="41"/>
        <v>0</v>
      </c>
      <c r="S94" s="250">
        <f t="shared" si="42"/>
        <v>0</v>
      </c>
      <c r="T94" s="858">
        <f t="shared" si="43"/>
        <v>0</v>
      </c>
      <c r="U94" s="2908">
        <f t="shared" si="37"/>
        <v>0</v>
      </c>
      <c r="V94" s="2908">
        <f t="shared" si="38"/>
        <v>0</v>
      </c>
      <c r="W94" s="955"/>
      <c r="X94" s="2908">
        <f t="shared" si="39"/>
        <v>0</v>
      </c>
      <c r="Y94" s="2908">
        <f t="shared" si="40"/>
        <v>0</v>
      </c>
      <c r="Z94" s="955"/>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0</v>
      </c>
      <c r="R95" s="597">
        <f t="shared" si="41"/>
        <v>0</v>
      </c>
      <c r="S95" s="250">
        <f t="shared" si="42"/>
        <v>0</v>
      </c>
      <c r="T95" s="858">
        <f t="shared" si="43"/>
        <v>0</v>
      </c>
      <c r="U95" s="2908">
        <f t="shared" si="37"/>
        <v>0</v>
      </c>
      <c r="V95" s="2908">
        <f t="shared" si="38"/>
        <v>0</v>
      </c>
      <c r="W95" s="955"/>
      <c r="X95" s="2908">
        <f t="shared" si="39"/>
        <v>0</v>
      </c>
      <c r="Y95" s="2908">
        <f t="shared" si="40"/>
        <v>0</v>
      </c>
      <c r="Z95" s="955"/>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0</v>
      </c>
      <c r="R96" s="597">
        <f t="shared" si="41"/>
        <v>0</v>
      </c>
      <c r="S96" s="250">
        <f t="shared" si="42"/>
        <v>0</v>
      </c>
      <c r="T96" s="858">
        <f t="shared" si="43"/>
        <v>0</v>
      </c>
      <c r="U96" s="2908">
        <f t="shared" si="37"/>
        <v>0</v>
      </c>
      <c r="V96" s="2908">
        <f t="shared" si="38"/>
        <v>0</v>
      </c>
      <c r="W96" s="955"/>
      <c r="X96" s="2908">
        <f t="shared" si="39"/>
        <v>0</v>
      </c>
      <c r="Y96" s="2908">
        <f t="shared" si="40"/>
        <v>0</v>
      </c>
      <c r="Z96" s="955"/>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0</v>
      </c>
      <c r="R97" s="597">
        <f t="shared" si="41"/>
        <v>0</v>
      </c>
      <c r="S97" s="250">
        <f t="shared" si="42"/>
        <v>0</v>
      </c>
      <c r="T97" s="858">
        <f t="shared" si="43"/>
        <v>0</v>
      </c>
      <c r="U97" s="2908">
        <f t="shared" si="37"/>
        <v>0</v>
      </c>
      <c r="V97" s="2908">
        <f t="shared" si="38"/>
        <v>0</v>
      </c>
      <c r="W97" s="955"/>
      <c r="X97" s="2908">
        <f t="shared" si="39"/>
        <v>0</v>
      </c>
      <c r="Y97" s="2908">
        <f t="shared" si="40"/>
        <v>0</v>
      </c>
      <c r="Z97" s="955"/>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0</v>
      </c>
      <c r="R98" s="597">
        <f t="shared" si="41"/>
        <v>0</v>
      </c>
      <c r="S98" s="250">
        <f t="shared" si="42"/>
        <v>0</v>
      </c>
      <c r="T98" s="858">
        <f t="shared" si="43"/>
        <v>0</v>
      </c>
      <c r="U98" s="2908">
        <f t="shared" si="37"/>
        <v>0</v>
      </c>
      <c r="V98" s="2908">
        <f t="shared" si="38"/>
        <v>0</v>
      </c>
      <c r="W98" s="955"/>
      <c r="X98" s="2908">
        <f t="shared" si="39"/>
        <v>0</v>
      </c>
      <c r="Y98" s="2908">
        <f t="shared" si="40"/>
        <v>0</v>
      </c>
      <c r="Z98" s="955"/>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0</v>
      </c>
      <c r="R99" s="597">
        <f t="shared" si="41"/>
        <v>0</v>
      </c>
      <c r="S99" s="250">
        <f t="shared" si="42"/>
        <v>0</v>
      </c>
      <c r="T99" s="858">
        <f t="shared" si="43"/>
        <v>0</v>
      </c>
      <c r="U99" s="2908">
        <f t="shared" si="37"/>
        <v>0</v>
      </c>
      <c r="V99" s="2908">
        <f t="shared" si="38"/>
        <v>0</v>
      </c>
      <c r="W99" s="955"/>
      <c r="X99" s="2908">
        <f t="shared" si="39"/>
        <v>0</v>
      </c>
      <c r="Y99" s="2908">
        <f t="shared" si="40"/>
        <v>0</v>
      </c>
      <c r="Z99" s="955"/>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0</v>
      </c>
      <c r="R100" s="597">
        <f t="shared" si="41"/>
        <v>0</v>
      </c>
      <c r="S100" s="250">
        <f t="shared" si="42"/>
        <v>0</v>
      </c>
      <c r="T100" s="858">
        <f t="shared" si="43"/>
        <v>0</v>
      </c>
      <c r="U100" s="2908">
        <f t="shared" si="37"/>
        <v>0</v>
      </c>
      <c r="V100" s="2908">
        <f t="shared" si="38"/>
        <v>0</v>
      </c>
      <c r="W100" s="955"/>
      <c r="X100" s="2908">
        <f t="shared" si="39"/>
        <v>0</v>
      </c>
      <c r="Y100" s="2908">
        <f t="shared" si="40"/>
        <v>0</v>
      </c>
      <c r="Z100" s="955"/>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0</v>
      </c>
      <c r="R101" s="597">
        <f t="shared" si="41"/>
        <v>0</v>
      </c>
      <c r="S101" s="250">
        <f t="shared" si="42"/>
        <v>0</v>
      </c>
      <c r="T101" s="858">
        <f t="shared" si="43"/>
        <v>0</v>
      </c>
      <c r="U101" s="2908">
        <f t="shared" si="37"/>
        <v>0</v>
      </c>
      <c r="V101" s="2908">
        <f t="shared" si="38"/>
        <v>0</v>
      </c>
      <c r="W101" s="955"/>
      <c r="X101" s="2908">
        <f t="shared" si="39"/>
        <v>0</v>
      </c>
      <c r="Y101" s="2908">
        <f t="shared" si="40"/>
        <v>0</v>
      </c>
      <c r="Z101" s="955"/>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0</v>
      </c>
      <c r="R102" s="597">
        <f t="shared" si="41"/>
        <v>0</v>
      </c>
      <c r="S102" s="250">
        <f t="shared" si="42"/>
        <v>0</v>
      </c>
      <c r="T102" s="858">
        <f t="shared" si="43"/>
        <v>0</v>
      </c>
      <c r="U102" s="2908">
        <f t="shared" si="37"/>
        <v>0</v>
      </c>
      <c r="V102" s="2908">
        <f t="shared" si="38"/>
        <v>0</v>
      </c>
      <c r="W102" s="955"/>
      <c r="X102" s="2908">
        <f t="shared" si="39"/>
        <v>0</v>
      </c>
      <c r="Y102" s="2908">
        <f t="shared" si="40"/>
        <v>0</v>
      </c>
      <c r="Z102" s="955"/>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0</v>
      </c>
      <c r="R103" s="597">
        <f t="shared" si="41"/>
        <v>0</v>
      </c>
      <c r="S103" s="250">
        <f t="shared" si="42"/>
        <v>0</v>
      </c>
      <c r="T103" s="858">
        <f t="shared" si="43"/>
        <v>0</v>
      </c>
      <c r="U103" s="2908">
        <f t="shared" si="37"/>
        <v>0</v>
      </c>
      <c r="V103" s="2908">
        <f t="shared" si="38"/>
        <v>0</v>
      </c>
      <c r="W103" s="955"/>
      <c r="X103" s="2908">
        <f t="shared" si="39"/>
        <v>0</v>
      </c>
      <c r="Y103" s="2908">
        <f t="shared" si="40"/>
        <v>0</v>
      </c>
      <c r="Z103" s="955"/>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0</v>
      </c>
      <c r="R104" s="597">
        <f t="shared" si="41"/>
        <v>0</v>
      </c>
      <c r="S104" s="250">
        <f t="shared" si="42"/>
        <v>0</v>
      </c>
      <c r="T104" s="858">
        <f t="shared" si="43"/>
        <v>0</v>
      </c>
      <c r="U104" s="2908">
        <f t="shared" si="37"/>
        <v>0</v>
      </c>
      <c r="V104" s="2908">
        <f t="shared" si="38"/>
        <v>0</v>
      </c>
      <c r="W104" s="955"/>
      <c r="X104" s="2908">
        <f t="shared" si="39"/>
        <v>0</v>
      </c>
      <c r="Y104" s="2908">
        <f t="shared" si="40"/>
        <v>0</v>
      </c>
      <c r="Z104" s="955"/>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0</v>
      </c>
      <c r="R105" s="597">
        <f t="shared" si="41"/>
        <v>0</v>
      </c>
      <c r="S105" s="250">
        <f t="shared" si="42"/>
        <v>0</v>
      </c>
      <c r="T105" s="858">
        <f t="shared" si="43"/>
        <v>0</v>
      </c>
      <c r="U105" s="2908">
        <f t="shared" si="37"/>
        <v>0</v>
      </c>
      <c r="V105" s="2908">
        <f t="shared" si="38"/>
        <v>0</v>
      </c>
      <c r="W105" s="955"/>
      <c r="X105" s="2908">
        <f t="shared" si="39"/>
        <v>0</v>
      </c>
      <c r="Y105" s="2908">
        <f t="shared" si="40"/>
        <v>0</v>
      </c>
      <c r="Z105" s="955"/>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0</v>
      </c>
      <c r="R106" s="597">
        <f t="shared" si="41"/>
        <v>0</v>
      </c>
      <c r="S106" s="250">
        <f t="shared" si="42"/>
        <v>0</v>
      </c>
      <c r="T106" s="858">
        <f t="shared" si="43"/>
        <v>0</v>
      </c>
      <c r="U106" s="2908">
        <f t="shared" si="37"/>
        <v>0</v>
      </c>
      <c r="V106" s="2908">
        <f t="shared" si="38"/>
        <v>0</v>
      </c>
      <c r="W106" s="955"/>
      <c r="X106" s="2908">
        <f t="shared" si="39"/>
        <v>0</v>
      </c>
      <c r="Y106" s="2908">
        <f t="shared" si="40"/>
        <v>0</v>
      </c>
      <c r="Z106" s="955"/>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0</v>
      </c>
      <c r="R107" s="597">
        <f t="shared" si="41"/>
        <v>0</v>
      </c>
      <c r="S107" s="250">
        <f t="shared" si="42"/>
        <v>0</v>
      </c>
      <c r="T107" s="858">
        <f t="shared" si="43"/>
        <v>0</v>
      </c>
      <c r="U107" s="2908">
        <f t="shared" si="37"/>
        <v>0</v>
      </c>
      <c r="V107" s="2908">
        <f t="shared" si="38"/>
        <v>0</v>
      </c>
      <c r="W107" s="955"/>
      <c r="X107" s="2908">
        <f t="shared" si="39"/>
        <v>0</v>
      </c>
      <c r="Y107" s="2908">
        <f t="shared" si="40"/>
        <v>0</v>
      </c>
      <c r="Z107" s="955"/>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0</v>
      </c>
      <c r="R108" s="597">
        <f t="shared" si="41"/>
        <v>0</v>
      </c>
      <c r="S108" s="250">
        <f t="shared" si="42"/>
        <v>0</v>
      </c>
      <c r="T108" s="858">
        <f t="shared" si="43"/>
        <v>0</v>
      </c>
      <c r="U108" s="2908">
        <f t="shared" si="37"/>
        <v>0</v>
      </c>
      <c r="V108" s="2908">
        <f t="shared" si="38"/>
        <v>0</v>
      </c>
      <c r="W108" s="955"/>
      <c r="X108" s="2908">
        <f t="shared" si="39"/>
        <v>0</v>
      </c>
      <c r="Y108" s="2908">
        <f t="shared" si="40"/>
        <v>0</v>
      </c>
      <c r="Z108" s="955"/>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0</v>
      </c>
      <c r="R109" s="597">
        <f t="shared" si="41"/>
        <v>0</v>
      </c>
      <c r="S109" s="250">
        <f t="shared" si="42"/>
        <v>0</v>
      </c>
      <c r="T109" s="858">
        <f t="shared" si="43"/>
        <v>0</v>
      </c>
      <c r="U109" s="2908">
        <f t="shared" si="37"/>
        <v>0</v>
      </c>
      <c r="V109" s="2908">
        <f t="shared" si="38"/>
        <v>0</v>
      </c>
      <c r="W109" s="955"/>
      <c r="X109" s="2908">
        <f t="shared" si="39"/>
        <v>0</v>
      </c>
      <c r="Y109" s="2908">
        <f t="shared" si="40"/>
        <v>0</v>
      </c>
      <c r="Z109" s="955"/>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0</v>
      </c>
      <c r="R110" s="597">
        <f t="shared" si="41"/>
        <v>0</v>
      </c>
      <c r="S110" s="250">
        <f t="shared" si="42"/>
        <v>0</v>
      </c>
      <c r="T110" s="858">
        <f t="shared" si="43"/>
        <v>0</v>
      </c>
      <c r="U110" s="2908">
        <f t="shared" si="37"/>
        <v>0</v>
      </c>
      <c r="V110" s="2908">
        <f t="shared" si="38"/>
        <v>0</v>
      </c>
      <c r="W110" s="955"/>
      <c r="X110" s="2908">
        <f t="shared" si="39"/>
        <v>0</v>
      </c>
      <c r="Y110" s="2908">
        <f t="shared" si="40"/>
        <v>0</v>
      </c>
      <c r="Z110" s="955"/>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0</v>
      </c>
      <c r="R111" s="597">
        <f t="shared" si="41"/>
        <v>0</v>
      </c>
      <c r="S111" s="250">
        <f t="shared" si="42"/>
        <v>0</v>
      </c>
      <c r="T111" s="858">
        <f t="shared" si="43"/>
        <v>0</v>
      </c>
      <c r="U111" s="2908">
        <f t="shared" si="37"/>
        <v>0</v>
      </c>
      <c r="V111" s="2908">
        <f t="shared" si="38"/>
        <v>0</v>
      </c>
      <c r="W111" s="955"/>
      <c r="X111" s="2908">
        <f t="shared" si="39"/>
        <v>0</v>
      </c>
      <c r="Y111" s="2908">
        <f t="shared" si="40"/>
        <v>0</v>
      </c>
      <c r="Z111" s="955"/>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0</v>
      </c>
      <c r="R112" s="597">
        <f t="shared" si="41"/>
        <v>0</v>
      </c>
      <c r="S112" s="250">
        <f t="shared" si="42"/>
        <v>0</v>
      </c>
      <c r="T112" s="858">
        <f t="shared" si="43"/>
        <v>0</v>
      </c>
      <c r="U112" s="2908">
        <f t="shared" si="37"/>
        <v>0</v>
      </c>
      <c r="V112" s="2908">
        <f t="shared" si="38"/>
        <v>0</v>
      </c>
      <c r="W112" s="955"/>
      <c r="X112" s="2908">
        <f t="shared" si="39"/>
        <v>0</v>
      </c>
      <c r="Y112" s="2908">
        <f t="shared" si="40"/>
        <v>0</v>
      </c>
      <c r="Z112" s="955"/>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0</v>
      </c>
      <c r="R113" s="597">
        <f t="shared" si="41"/>
        <v>0</v>
      </c>
      <c r="S113" s="250">
        <f t="shared" si="42"/>
        <v>0</v>
      </c>
      <c r="T113" s="858">
        <f t="shared" si="43"/>
        <v>0</v>
      </c>
      <c r="U113" s="2908">
        <f t="shared" si="37"/>
        <v>0</v>
      </c>
      <c r="V113" s="2908">
        <f t="shared" si="38"/>
        <v>0</v>
      </c>
      <c r="W113" s="955"/>
      <c r="X113" s="2908">
        <f t="shared" si="39"/>
        <v>0</v>
      </c>
      <c r="Y113" s="2908">
        <f t="shared" si="40"/>
        <v>0</v>
      </c>
      <c r="Z113" s="955"/>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0</v>
      </c>
      <c r="R114" s="597">
        <f t="shared" si="41"/>
        <v>0</v>
      </c>
      <c r="S114" s="250">
        <f t="shared" si="42"/>
        <v>0</v>
      </c>
      <c r="T114" s="858">
        <f t="shared" si="43"/>
        <v>0</v>
      </c>
      <c r="U114" s="2908">
        <f t="shared" si="37"/>
        <v>0</v>
      </c>
      <c r="V114" s="2908">
        <f t="shared" si="38"/>
        <v>0</v>
      </c>
      <c r="W114" s="955"/>
      <c r="X114" s="2908">
        <f t="shared" si="39"/>
        <v>0</v>
      </c>
      <c r="Y114" s="2908">
        <f t="shared" si="40"/>
        <v>0</v>
      </c>
      <c r="Z114" s="955"/>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0</v>
      </c>
      <c r="R115" s="597">
        <f t="shared" si="41"/>
        <v>0</v>
      </c>
      <c r="S115" s="250">
        <f t="shared" si="42"/>
        <v>0</v>
      </c>
      <c r="T115" s="858">
        <f t="shared" si="43"/>
        <v>0</v>
      </c>
      <c r="U115" s="2908">
        <f t="shared" si="37"/>
        <v>0</v>
      </c>
      <c r="V115" s="2908">
        <f t="shared" si="38"/>
        <v>0</v>
      </c>
      <c r="W115" s="955"/>
      <c r="X115" s="2908">
        <f t="shared" si="39"/>
        <v>0</v>
      </c>
      <c r="Y115" s="2908">
        <f t="shared" si="40"/>
        <v>0</v>
      </c>
      <c r="Z115" s="955"/>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0</v>
      </c>
      <c r="R116" s="597">
        <f t="shared" si="41"/>
        <v>0</v>
      </c>
      <c r="S116" s="250">
        <f t="shared" si="42"/>
        <v>0</v>
      </c>
      <c r="T116" s="858">
        <f t="shared" si="43"/>
        <v>0</v>
      </c>
      <c r="U116" s="2908">
        <f t="shared" si="37"/>
        <v>0</v>
      </c>
      <c r="V116" s="2908">
        <f t="shared" si="38"/>
        <v>0</v>
      </c>
      <c r="W116" s="955"/>
      <c r="X116" s="2908">
        <f t="shared" si="39"/>
        <v>0</v>
      </c>
      <c r="Y116" s="2908">
        <f t="shared" si="40"/>
        <v>0</v>
      </c>
      <c r="Z116" s="955"/>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0</v>
      </c>
      <c r="R117" s="597">
        <f t="shared" si="41"/>
        <v>0</v>
      </c>
      <c r="S117" s="250">
        <f t="shared" si="42"/>
        <v>0</v>
      </c>
      <c r="T117" s="858">
        <f t="shared" si="43"/>
        <v>0</v>
      </c>
      <c r="U117" s="2908">
        <f t="shared" si="37"/>
        <v>0</v>
      </c>
      <c r="V117" s="2908">
        <f t="shared" si="38"/>
        <v>0</v>
      </c>
      <c r="W117" s="955"/>
      <c r="X117" s="2908">
        <f t="shared" si="39"/>
        <v>0</v>
      </c>
      <c r="Y117" s="2908">
        <f t="shared" si="40"/>
        <v>0</v>
      </c>
      <c r="Z117" s="955"/>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0</v>
      </c>
      <c r="R118" s="597">
        <f t="shared" si="41"/>
        <v>0</v>
      </c>
      <c r="S118" s="250">
        <f t="shared" si="42"/>
        <v>0</v>
      </c>
      <c r="T118" s="858">
        <f t="shared" si="43"/>
        <v>0</v>
      </c>
      <c r="U118" s="2908">
        <f t="shared" si="37"/>
        <v>0</v>
      </c>
      <c r="V118" s="2908">
        <f t="shared" si="38"/>
        <v>0</v>
      </c>
      <c r="W118" s="955"/>
      <c r="X118" s="2908">
        <f t="shared" si="39"/>
        <v>0</v>
      </c>
      <c r="Y118" s="2908">
        <f t="shared" si="40"/>
        <v>0</v>
      </c>
      <c r="Z118" s="955"/>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0</v>
      </c>
      <c r="R119" s="597">
        <f t="shared" si="41"/>
        <v>0</v>
      </c>
      <c r="S119" s="250">
        <f t="shared" si="42"/>
        <v>0</v>
      </c>
      <c r="T119" s="858">
        <f t="shared" si="43"/>
        <v>0</v>
      </c>
      <c r="U119" s="2908">
        <f t="shared" si="37"/>
        <v>0</v>
      </c>
      <c r="V119" s="2908">
        <f t="shared" si="38"/>
        <v>0</v>
      </c>
      <c r="W119" s="955"/>
      <c r="X119" s="2908">
        <f t="shared" si="39"/>
        <v>0</v>
      </c>
      <c r="Y119" s="2908">
        <f t="shared" si="40"/>
        <v>0</v>
      </c>
      <c r="Z119" s="955"/>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0</v>
      </c>
      <c r="R120" s="597">
        <f t="shared" si="41"/>
        <v>0</v>
      </c>
      <c r="S120" s="250">
        <f t="shared" si="42"/>
        <v>0</v>
      </c>
      <c r="T120" s="858">
        <f t="shared" si="43"/>
        <v>0</v>
      </c>
      <c r="U120" s="2908">
        <f t="shared" si="37"/>
        <v>0</v>
      </c>
      <c r="V120" s="2908">
        <f t="shared" si="38"/>
        <v>0</v>
      </c>
      <c r="W120" s="955"/>
      <c r="X120" s="2908">
        <f t="shared" si="39"/>
        <v>0</v>
      </c>
      <c r="Y120" s="2908">
        <f t="shared" si="40"/>
        <v>0</v>
      </c>
      <c r="Z120" s="955"/>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0</v>
      </c>
      <c r="R121" s="597">
        <f t="shared" si="41"/>
        <v>0</v>
      </c>
      <c r="S121" s="250">
        <f t="shared" si="42"/>
        <v>0</v>
      </c>
      <c r="T121" s="858">
        <f t="shared" si="43"/>
        <v>0</v>
      </c>
      <c r="U121" s="2908">
        <f t="shared" si="37"/>
        <v>0</v>
      </c>
      <c r="V121" s="2908">
        <f t="shared" si="38"/>
        <v>0</v>
      </c>
      <c r="W121" s="955"/>
      <c r="X121" s="2908">
        <f t="shared" si="39"/>
        <v>0</v>
      </c>
      <c r="Y121" s="2908">
        <f t="shared" si="40"/>
        <v>0</v>
      </c>
      <c r="Z121" s="955"/>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0</v>
      </c>
      <c r="R122" s="597">
        <f t="shared" si="41"/>
        <v>0</v>
      </c>
      <c r="S122" s="250">
        <f t="shared" si="42"/>
        <v>0</v>
      </c>
      <c r="T122" s="858">
        <f t="shared" si="43"/>
        <v>0</v>
      </c>
      <c r="U122" s="2908">
        <f t="shared" si="37"/>
        <v>0</v>
      </c>
      <c r="V122" s="2908">
        <f t="shared" si="38"/>
        <v>0</v>
      </c>
      <c r="W122" s="955"/>
      <c r="X122" s="2908">
        <f t="shared" si="39"/>
        <v>0</v>
      </c>
      <c r="Y122" s="2908">
        <f t="shared" si="40"/>
        <v>0</v>
      </c>
      <c r="Z122" s="955"/>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0</v>
      </c>
      <c r="R123" s="597">
        <f t="shared" si="41"/>
        <v>0</v>
      </c>
      <c r="S123" s="250">
        <f t="shared" si="42"/>
        <v>0</v>
      </c>
      <c r="T123" s="858">
        <f t="shared" si="43"/>
        <v>0</v>
      </c>
      <c r="U123" s="2908">
        <f t="shared" si="37"/>
        <v>0</v>
      </c>
      <c r="V123" s="2908">
        <f t="shared" si="38"/>
        <v>0</v>
      </c>
      <c r="W123" s="955"/>
      <c r="X123" s="2908">
        <f t="shared" si="39"/>
        <v>0</v>
      </c>
      <c r="Y123" s="2908">
        <f t="shared" si="40"/>
        <v>0</v>
      </c>
      <c r="Z123" s="955"/>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0</v>
      </c>
      <c r="R124" s="597">
        <f t="shared" si="41"/>
        <v>0</v>
      </c>
      <c r="S124" s="250">
        <f t="shared" si="42"/>
        <v>0</v>
      </c>
      <c r="T124" s="858">
        <f t="shared" si="43"/>
        <v>0</v>
      </c>
      <c r="U124" s="2908">
        <f t="shared" si="37"/>
        <v>0</v>
      </c>
      <c r="V124" s="2908">
        <f t="shared" si="38"/>
        <v>0</v>
      </c>
      <c r="W124" s="955"/>
      <c r="X124" s="2908">
        <f t="shared" si="39"/>
        <v>0</v>
      </c>
      <c r="Y124" s="2908">
        <f t="shared" si="40"/>
        <v>0</v>
      </c>
      <c r="Z124" s="955"/>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0</v>
      </c>
      <c r="R125" s="597">
        <f t="shared" si="41"/>
        <v>0</v>
      </c>
      <c r="S125" s="250">
        <f t="shared" si="42"/>
        <v>0</v>
      </c>
      <c r="T125" s="858">
        <f t="shared" si="43"/>
        <v>0</v>
      </c>
      <c r="U125" s="2908">
        <f t="shared" si="37"/>
        <v>0</v>
      </c>
      <c r="V125" s="2908">
        <f t="shared" si="38"/>
        <v>0</v>
      </c>
      <c r="W125" s="955"/>
      <c r="X125" s="2908">
        <f t="shared" si="39"/>
        <v>0</v>
      </c>
      <c r="Y125" s="2908">
        <f t="shared" si="40"/>
        <v>0</v>
      </c>
      <c r="Z125" s="955"/>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0</v>
      </c>
      <c r="R126" s="597">
        <f t="shared" si="41"/>
        <v>0</v>
      </c>
      <c r="S126" s="250">
        <f t="shared" si="42"/>
        <v>0</v>
      </c>
      <c r="T126" s="858">
        <f t="shared" si="43"/>
        <v>0</v>
      </c>
      <c r="U126" s="2908">
        <f t="shared" si="37"/>
        <v>0</v>
      </c>
      <c r="V126" s="2908">
        <f t="shared" si="38"/>
        <v>0</v>
      </c>
      <c r="W126" s="955"/>
      <c r="X126" s="2908">
        <f t="shared" si="39"/>
        <v>0</v>
      </c>
      <c r="Y126" s="2908">
        <f t="shared" si="40"/>
        <v>0</v>
      </c>
      <c r="Z126" s="955"/>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0</v>
      </c>
      <c r="R127" s="597">
        <f t="shared" si="41"/>
        <v>0</v>
      </c>
      <c r="S127" s="250">
        <f t="shared" si="42"/>
        <v>0</v>
      </c>
      <c r="T127" s="858">
        <f t="shared" si="43"/>
        <v>0</v>
      </c>
      <c r="U127" s="2908">
        <f t="shared" si="37"/>
        <v>0</v>
      </c>
      <c r="V127" s="2908">
        <f t="shared" si="38"/>
        <v>0</v>
      </c>
      <c r="W127" s="955"/>
      <c r="X127" s="2908">
        <f t="shared" si="39"/>
        <v>0</v>
      </c>
      <c r="Y127" s="2908">
        <f t="shared" si="40"/>
        <v>0</v>
      </c>
      <c r="Z127" s="955"/>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0</v>
      </c>
      <c r="R128" s="597">
        <f t="shared" si="41"/>
        <v>0</v>
      </c>
      <c r="S128" s="250">
        <f t="shared" si="42"/>
        <v>0</v>
      </c>
      <c r="T128" s="858">
        <f t="shared" si="43"/>
        <v>0</v>
      </c>
      <c r="U128" s="2908">
        <f t="shared" si="37"/>
        <v>0</v>
      </c>
      <c r="V128" s="2908">
        <f t="shared" si="38"/>
        <v>0</v>
      </c>
      <c r="W128" s="955"/>
      <c r="X128" s="2908">
        <f t="shared" si="39"/>
        <v>0</v>
      </c>
      <c r="Y128" s="2908">
        <f t="shared" si="40"/>
        <v>0</v>
      </c>
      <c r="Z128" s="955"/>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0</v>
      </c>
      <c r="R129" s="597">
        <f t="shared" si="41"/>
        <v>0</v>
      </c>
      <c r="S129" s="250">
        <f t="shared" si="42"/>
        <v>0</v>
      </c>
      <c r="T129" s="858">
        <f t="shared" si="43"/>
        <v>0</v>
      </c>
      <c r="U129" s="2908">
        <f t="shared" si="37"/>
        <v>0</v>
      </c>
      <c r="V129" s="2908">
        <f t="shared" si="38"/>
        <v>0</v>
      </c>
      <c r="W129" s="955"/>
      <c r="X129" s="2908">
        <f t="shared" si="39"/>
        <v>0</v>
      </c>
      <c r="Y129" s="2908">
        <f t="shared" si="40"/>
        <v>0</v>
      </c>
      <c r="Z129" s="955"/>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0</v>
      </c>
      <c r="R130" s="597">
        <f t="shared" si="41"/>
        <v>0</v>
      </c>
      <c r="S130" s="250">
        <f t="shared" si="42"/>
        <v>0</v>
      </c>
      <c r="T130" s="858">
        <f t="shared" si="43"/>
        <v>0</v>
      </c>
      <c r="U130" s="2908">
        <f t="shared" si="37"/>
        <v>0</v>
      </c>
      <c r="V130" s="2908">
        <f t="shared" si="38"/>
        <v>0</v>
      </c>
      <c r="W130" s="955"/>
      <c r="X130" s="2908">
        <f t="shared" si="39"/>
        <v>0</v>
      </c>
      <c r="Y130" s="2908">
        <f t="shared" si="40"/>
        <v>0</v>
      </c>
      <c r="Z130" s="955"/>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0</v>
      </c>
      <c r="R131" s="597">
        <f t="shared" si="41"/>
        <v>0</v>
      </c>
      <c r="S131" s="250">
        <f t="shared" si="42"/>
        <v>0</v>
      </c>
      <c r="T131" s="858">
        <f t="shared" si="43"/>
        <v>0</v>
      </c>
      <c r="U131" s="2908">
        <f t="shared" si="37"/>
        <v>0</v>
      </c>
      <c r="V131" s="2908">
        <f t="shared" si="38"/>
        <v>0</v>
      </c>
      <c r="W131" s="955"/>
      <c r="X131" s="2908">
        <f t="shared" si="39"/>
        <v>0</v>
      </c>
      <c r="Y131" s="2908">
        <f t="shared" si="40"/>
        <v>0</v>
      </c>
      <c r="Z131" s="955"/>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0</v>
      </c>
      <c r="R132" s="597">
        <f t="shared" si="41"/>
        <v>0</v>
      </c>
      <c r="S132" s="250">
        <f t="shared" si="42"/>
        <v>0</v>
      </c>
      <c r="T132" s="858">
        <f t="shared" si="43"/>
        <v>0</v>
      </c>
      <c r="U132" s="2908">
        <f t="shared" si="37"/>
        <v>0</v>
      </c>
      <c r="V132" s="2908">
        <f t="shared" si="38"/>
        <v>0</v>
      </c>
      <c r="W132" s="955"/>
      <c r="X132" s="2908">
        <f t="shared" si="39"/>
        <v>0</v>
      </c>
      <c r="Y132" s="2908">
        <f t="shared" si="40"/>
        <v>0</v>
      </c>
      <c r="Z132" s="955"/>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0</v>
      </c>
      <c r="R133" s="597">
        <f t="shared" si="41"/>
        <v>0</v>
      </c>
      <c r="S133" s="250">
        <f t="shared" si="42"/>
        <v>0</v>
      </c>
      <c r="T133" s="858">
        <f t="shared" si="43"/>
        <v>0</v>
      </c>
      <c r="U133" s="2908">
        <f t="shared" si="37"/>
        <v>0</v>
      </c>
      <c r="V133" s="2908">
        <f t="shared" si="38"/>
        <v>0</v>
      </c>
      <c r="W133" s="955"/>
      <c r="X133" s="2908">
        <f t="shared" si="39"/>
        <v>0</v>
      </c>
      <c r="Y133" s="2908">
        <f t="shared" si="40"/>
        <v>0</v>
      </c>
      <c r="Z133" s="955"/>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0</v>
      </c>
      <c r="R134" s="597">
        <f t="shared" si="41"/>
        <v>0</v>
      </c>
      <c r="S134" s="250">
        <f t="shared" si="42"/>
        <v>0</v>
      </c>
      <c r="T134" s="858">
        <f t="shared" si="43"/>
        <v>0</v>
      </c>
      <c r="U134" s="2908">
        <f t="shared" si="37"/>
        <v>0</v>
      </c>
      <c r="V134" s="2908">
        <f t="shared" si="38"/>
        <v>0</v>
      </c>
      <c r="W134" s="955"/>
      <c r="X134" s="2908">
        <f t="shared" si="39"/>
        <v>0</v>
      </c>
      <c r="Y134" s="2908">
        <f t="shared" si="40"/>
        <v>0</v>
      </c>
      <c r="Z134" s="955"/>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0</v>
      </c>
      <c r="R135" s="597">
        <f t="shared" si="41"/>
        <v>0</v>
      </c>
      <c r="S135" s="250">
        <f t="shared" si="42"/>
        <v>0</v>
      </c>
      <c r="T135" s="858">
        <f t="shared" si="43"/>
        <v>0</v>
      </c>
      <c r="U135" s="2908">
        <f t="shared" si="37"/>
        <v>0</v>
      </c>
      <c r="V135" s="2908">
        <f t="shared" si="38"/>
        <v>0</v>
      </c>
      <c r="W135" s="955"/>
      <c r="X135" s="2908">
        <f t="shared" si="39"/>
        <v>0</v>
      </c>
      <c r="Y135" s="2908">
        <f t="shared" si="40"/>
        <v>0</v>
      </c>
      <c r="Z135" s="955"/>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0</v>
      </c>
      <c r="R136" s="597">
        <f t="shared" si="41"/>
        <v>0</v>
      </c>
      <c r="S136" s="250">
        <f t="shared" si="42"/>
        <v>0</v>
      </c>
      <c r="T136" s="858">
        <f t="shared" si="43"/>
        <v>0</v>
      </c>
      <c r="U136" s="2908">
        <f t="shared" si="37"/>
        <v>0</v>
      </c>
      <c r="V136" s="2908">
        <f t="shared" si="38"/>
        <v>0</v>
      </c>
      <c r="W136" s="955"/>
      <c r="X136" s="2908">
        <f t="shared" si="39"/>
        <v>0</v>
      </c>
      <c r="Y136" s="2908">
        <f t="shared" si="40"/>
        <v>0</v>
      </c>
      <c r="Z136" s="955"/>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0</v>
      </c>
      <c r="R137" s="597">
        <f t="shared" si="41"/>
        <v>0</v>
      </c>
      <c r="S137" s="250">
        <f t="shared" si="42"/>
        <v>0</v>
      </c>
      <c r="T137" s="858">
        <f t="shared" si="43"/>
        <v>0</v>
      </c>
      <c r="U137" s="2908">
        <f t="shared" si="37"/>
        <v>0</v>
      </c>
      <c r="V137" s="2908">
        <f t="shared" si="38"/>
        <v>0</v>
      </c>
      <c r="W137" s="955"/>
      <c r="X137" s="2908">
        <f t="shared" si="39"/>
        <v>0</v>
      </c>
      <c r="Y137" s="2908">
        <f t="shared" si="40"/>
        <v>0</v>
      </c>
      <c r="Z137" s="955"/>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0</v>
      </c>
      <c r="R138" s="597">
        <f t="shared" si="41"/>
        <v>0</v>
      </c>
      <c r="S138" s="250">
        <f t="shared" si="42"/>
        <v>0</v>
      </c>
      <c r="T138" s="858">
        <f t="shared" si="43"/>
        <v>0</v>
      </c>
      <c r="U138" s="2908">
        <f t="shared" si="37"/>
        <v>0</v>
      </c>
      <c r="V138" s="2908">
        <f t="shared" si="38"/>
        <v>0</v>
      </c>
      <c r="W138" s="955"/>
      <c r="X138" s="2908">
        <f t="shared" si="39"/>
        <v>0</v>
      </c>
      <c r="Y138" s="2908">
        <f t="shared" si="40"/>
        <v>0</v>
      </c>
      <c r="Z138" s="955"/>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0</v>
      </c>
      <c r="R139" s="597">
        <f t="shared" si="41"/>
        <v>0</v>
      </c>
      <c r="S139" s="250">
        <f t="shared" si="42"/>
        <v>0</v>
      </c>
      <c r="T139" s="858">
        <f t="shared" si="43"/>
        <v>0</v>
      </c>
      <c r="U139" s="2908">
        <f t="shared" si="37"/>
        <v>0</v>
      </c>
      <c r="V139" s="2908">
        <f t="shared" si="38"/>
        <v>0</v>
      </c>
      <c r="W139" s="955"/>
      <c r="X139" s="2908">
        <f t="shared" si="39"/>
        <v>0</v>
      </c>
      <c r="Y139" s="2908">
        <f t="shared" si="40"/>
        <v>0</v>
      </c>
      <c r="Z139" s="955"/>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0</v>
      </c>
      <c r="R140" s="597">
        <f t="shared" si="41"/>
        <v>0</v>
      </c>
      <c r="S140" s="250">
        <f t="shared" si="42"/>
        <v>0</v>
      </c>
      <c r="T140" s="858">
        <f t="shared" si="43"/>
        <v>0</v>
      </c>
      <c r="U140" s="2908">
        <f t="shared" si="37"/>
        <v>0</v>
      </c>
      <c r="V140" s="2908">
        <f t="shared" si="38"/>
        <v>0</v>
      </c>
      <c r="W140" s="955"/>
      <c r="X140" s="2908">
        <f t="shared" si="39"/>
        <v>0</v>
      </c>
      <c r="Y140" s="2908">
        <f t="shared" si="40"/>
        <v>0</v>
      </c>
      <c r="Z140" s="955"/>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0</v>
      </c>
      <c r="R141" s="597">
        <f t="shared" si="41"/>
        <v>0</v>
      </c>
      <c r="S141" s="250">
        <f t="shared" si="42"/>
        <v>0</v>
      </c>
      <c r="T141" s="858">
        <f t="shared" si="43"/>
        <v>0</v>
      </c>
      <c r="U141" s="2908">
        <f t="shared" si="37"/>
        <v>0</v>
      </c>
      <c r="V141" s="2908">
        <f t="shared" si="38"/>
        <v>0</v>
      </c>
      <c r="W141" s="955"/>
      <c r="X141" s="2908">
        <f t="shared" si="39"/>
        <v>0</v>
      </c>
      <c r="Y141" s="2908">
        <f t="shared" si="40"/>
        <v>0</v>
      </c>
      <c r="Z141" s="955"/>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0</v>
      </c>
      <c r="R142" s="597">
        <f t="shared" si="41"/>
        <v>0</v>
      </c>
      <c r="S142" s="250">
        <f t="shared" si="42"/>
        <v>0</v>
      </c>
      <c r="T142" s="858">
        <f t="shared" si="43"/>
        <v>0</v>
      </c>
      <c r="U142" s="2908">
        <f t="shared" si="37"/>
        <v>0</v>
      </c>
      <c r="V142" s="2908">
        <f t="shared" si="38"/>
        <v>0</v>
      </c>
      <c r="W142" s="955"/>
      <c r="X142" s="2908">
        <f t="shared" si="39"/>
        <v>0</v>
      </c>
      <c r="Y142" s="2908">
        <f t="shared" si="40"/>
        <v>0</v>
      </c>
      <c r="Z142" s="955"/>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0</v>
      </c>
      <c r="R143" s="597">
        <f t="shared" si="41"/>
        <v>0</v>
      </c>
      <c r="S143" s="250">
        <f t="shared" si="42"/>
        <v>0</v>
      </c>
      <c r="T143" s="858">
        <f t="shared" si="43"/>
        <v>0</v>
      </c>
      <c r="U143" s="2908">
        <f t="shared" si="37"/>
        <v>0</v>
      </c>
      <c r="V143" s="2908">
        <f t="shared" si="38"/>
        <v>0</v>
      </c>
      <c r="W143" s="955"/>
      <c r="X143" s="2908">
        <f t="shared" si="39"/>
        <v>0</v>
      </c>
      <c r="Y143" s="2908">
        <f t="shared" si="40"/>
        <v>0</v>
      </c>
      <c r="Z143" s="955"/>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0</v>
      </c>
      <c r="R144" s="597">
        <f t="shared" si="41"/>
        <v>0</v>
      </c>
      <c r="S144" s="250">
        <f t="shared" si="42"/>
        <v>0</v>
      </c>
      <c r="T144" s="858">
        <f t="shared" si="43"/>
        <v>0</v>
      </c>
      <c r="U144" s="2908">
        <f t="shared" si="37"/>
        <v>0</v>
      </c>
      <c r="V144" s="2908">
        <f t="shared" si="38"/>
        <v>0</v>
      </c>
      <c r="W144" s="955"/>
      <c r="X144" s="2908">
        <f t="shared" si="39"/>
        <v>0</v>
      </c>
      <c r="Y144" s="2908">
        <f t="shared" si="40"/>
        <v>0</v>
      </c>
      <c r="Z144" s="955"/>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0</v>
      </c>
      <c r="R145" s="597">
        <f t="shared" si="41"/>
        <v>0</v>
      </c>
      <c r="S145" s="250">
        <f t="shared" si="42"/>
        <v>0</v>
      </c>
      <c r="T145" s="858">
        <f t="shared" si="43"/>
        <v>0</v>
      </c>
      <c r="U145" s="2908">
        <f t="shared" si="37"/>
        <v>0</v>
      </c>
      <c r="V145" s="2908">
        <f t="shared" si="38"/>
        <v>0</v>
      </c>
      <c r="W145" s="955"/>
      <c r="X145" s="2908">
        <f t="shared" si="39"/>
        <v>0</v>
      </c>
      <c r="Y145" s="2908">
        <f t="shared" si="40"/>
        <v>0</v>
      </c>
      <c r="Z145" s="955"/>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0</v>
      </c>
      <c r="R146" s="597">
        <f t="shared" si="41"/>
        <v>0</v>
      </c>
      <c r="S146" s="250">
        <f t="shared" si="42"/>
        <v>0</v>
      </c>
      <c r="T146" s="858">
        <f t="shared" si="43"/>
        <v>0</v>
      </c>
      <c r="U146" s="2908">
        <f t="shared" si="37"/>
        <v>0</v>
      </c>
      <c r="V146" s="2908">
        <f t="shared" si="38"/>
        <v>0</v>
      </c>
      <c r="W146" s="955"/>
      <c r="X146" s="2908">
        <f t="shared" si="39"/>
        <v>0</v>
      </c>
      <c r="Y146" s="2908">
        <f t="shared" si="40"/>
        <v>0</v>
      </c>
      <c r="Z146" s="955"/>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0</v>
      </c>
      <c r="R147" s="597">
        <f t="shared" si="41"/>
        <v>0</v>
      </c>
      <c r="S147" s="250">
        <f t="shared" si="42"/>
        <v>0</v>
      </c>
      <c r="T147" s="858">
        <f t="shared" si="43"/>
        <v>0</v>
      </c>
      <c r="U147" s="2908">
        <f t="shared" si="37"/>
        <v>0</v>
      </c>
      <c r="V147" s="2908">
        <f t="shared" si="38"/>
        <v>0</v>
      </c>
      <c r="W147" s="955"/>
      <c r="X147" s="2908">
        <f t="shared" si="39"/>
        <v>0</v>
      </c>
      <c r="Y147" s="2908">
        <f t="shared" si="40"/>
        <v>0</v>
      </c>
      <c r="Z147" s="955"/>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0</v>
      </c>
      <c r="R148" s="597">
        <f t="shared" si="41"/>
        <v>0</v>
      </c>
      <c r="S148" s="250">
        <f t="shared" si="42"/>
        <v>0</v>
      </c>
      <c r="T148" s="858">
        <f t="shared" si="43"/>
        <v>0</v>
      </c>
      <c r="U148" s="2908">
        <f t="shared" si="37"/>
        <v>0</v>
      </c>
      <c r="V148" s="2908">
        <f t="shared" si="38"/>
        <v>0</v>
      </c>
      <c r="W148" s="955"/>
      <c r="X148" s="2908">
        <f t="shared" si="39"/>
        <v>0</v>
      </c>
      <c r="Y148" s="2908">
        <f t="shared" si="40"/>
        <v>0</v>
      </c>
      <c r="Z148" s="955"/>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0</v>
      </c>
      <c r="R149" s="597">
        <f t="shared" si="41"/>
        <v>0</v>
      </c>
      <c r="S149" s="250">
        <f t="shared" si="42"/>
        <v>0</v>
      </c>
      <c r="T149" s="858">
        <f t="shared" si="43"/>
        <v>0</v>
      </c>
      <c r="U149" s="2908">
        <f t="shared" si="37"/>
        <v>0</v>
      </c>
      <c r="V149" s="2908">
        <f t="shared" si="38"/>
        <v>0</v>
      </c>
      <c r="W149" s="955"/>
      <c r="X149" s="2908">
        <f t="shared" si="39"/>
        <v>0</v>
      </c>
      <c r="Y149" s="2908">
        <f t="shared" si="40"/>
        <v>0</v>
      </c>
      <c r="Z149" s="955"/>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0</v>
      </c>
      <c r="R150" s="597">
        <f t="shared" si="41"/>
        <v>0</v>
      </c>
      <c r="S150" s="250">
        <f t="shared" si="42"/>
        <v>0</v>
      </c>
      <c r="T150" s="858">
        <f t="shared" si="43"/>
        <v>0</v>
      </c>
      <c r="U150" s="2908">
        <f t="shared" si="37"/>
        <v>0</v>
      </c>
      <c r="V150" s="2908">
        <f t="shared" si="38"/>
        <v>0</v>
      </c>
      <c r="W150" s="955"/>
      <c r="X150" s="2908">
        <f t="shared" si="39"/>
        <v>0</v>
      </c>
      <c r="Y150" s="2908">
        <f t="shared" si="40"/>
        <v>0</v>
      </c>
      <c r="Z150" s="955"/>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0</v>
      </c>
      <c r="R151" s="597">
        <f t="shared" si="41"/>
        <v>0</v>
      </c>
      <c r="S151" s="250">
        <f t="shared" si="42"/>
        <v>0</v>
      </c>
      <c r="T151" s="858">
        <f t="shared" si="43"/>
        <v>0</v>
      </c>
      <c r="U151" s="2908">
        <f t="shared" si="37"/>
        <v>0</v>
      </c>
      <c r="V151" s="2908">
        <f t="shared" si="38"/>
        <v>0</v>
      </c>
      <c r="W151" s="955"/>
      <c r="X151" s="2908">
        <f t="shared" si="39"/>
        <v>0</v>
      </c>
      <c r="Y151" s="2908">
        <f t="shared" si="40"/>
        <v>0</v>
      </c>
      <c r="Z151" s="955"/>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0</v>
      </c>
      <c r="R152" s="597">
        <f t="shared" si="41"/>
        <v>0</v>
      </c>
      <c r="S152" s="250">
        <f t="shared" si="42"/>
        <v>0</v>
      </c>
      <c r="T152" s="858">
        <f t="shared" si="43"/>
        <v>0</v>
      </c>
      <c r="U152" s="2908">
        <f t="shared" si="37"/>
        <v>0</v>
      </c>
      <c r="V152" s="2908">
        <f t="shared" si="38"/>
        <v>0</v>
      </c>
      <c r="W152" s="955"/>
      <c r="X152" s="2908">
        <f t="shared" si="39"/>
        <v>0</v>
      </c>
      <c r="Y152" s="2908">
        <f t="shared" si="40"/>
        <v>0</v>
      </c>
      <c r="Z152" s="955"/>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0</v>
      </c>
      <c r="R153" s="597">
        <f t="shared" si="41"/>
        <v>0</v>
      </c>
      <c r="S153" s="250">
        <f t="shared" si="42"/>
        <v>0</v>
      </c>
      <c r="T153" s="858">
        <f t="shared" si="43"/>
        <v>0</v>
      </c>
      <c r="U153" s="2908">
        <f t="shared" si="37"/>
        <v>0</v>
      </c>
      <c r="V153" s="2908">
        <f t="shared" si="38"/>
        <v>0</v>
      </c>
      <c r="W153" s="955"/>
      <c r="X153" s="2908">
        <f t="shared" si="39"/>
        <v>0</v>
      </c>
      <c r="Y153" s="2908">
        <f t="shared" si="40"/>
        <v>0</v>
      </c>
      <c r="Z153" s="955"/>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0</v>
      </c>
      <c r="R154" s="597">
        <f t="shared" si="41"/>
        <v>0</v>
      </c>
      <c r="S154" s="250">
        <f t="shared" si="42"/>
        <v>0</v>
      </c>
      <c r="T154" s="858">
        <f t="shared" si="43"/>
        <v>0</v>
      </c>
      <c r="U154" s="2908">
        <f t="shared" si="37"/>
        <v>0</v>
      </c>
      <c r="V154" s="2908">
        <f t="shared" si="38"/>
        <v>0</v>
      </c>
      <c r="W154" s="955"/>
      <c r="X154" s="2908">
        <f t="shared" si="39"/>
        <v>0</v>
      </c>
      <c r="Y154" s="2908">
        <f t="shared" si="40"/>
        <v>0</v>
      </c>
      <c r="Z154" s="955"/>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0</v>
      </c>
      <c r="R155" s="597">
        <f t="shared" si="41"/>
        <v>0</v>
      </c>
      <c r="S155" s="250">
        <f t="shared" si="42"/>
        <v>0</v>
      </c>
      <c r="T155" s="858">
        <f t="shared" si="43"/>
        <v>0</v>
      </c>
      <c r="U155" s="2908">
        <f t="shared" si="37"/>
        <v>0</v>
      </c>
      <c r="V155" s="2908">
        <f t="shared" si="38"/>
        <v>0</v>
      </c>
      <c r="W155" s="955"/>
      <c r="X155" s="2908">
        <f t="shared" si="39"/>
        <v>0</v>
      </c>
      <c r="Y155" s="2908">
        <f t="shared" si="40"/>
        <v>0</v>
      </c>
      <c r="Z155" s="955"/>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v>
      </c>
      <c r="R156" s="597">
        <f t="shared" si="41"/>
        <v>0</v>
      </c>
      <c r="S156" s="250">
        <f t="shared" si="42"/>
        <v>0</v>
      </c>
      <c r="T156" s="858">
        <f t="shared" si="43"/>
        <v>0</v>
      </c>
      <c r="U156" s="2908">
        <f t="shared" ref="U156:U219" si="52">ROUND(W156*B156,0)</f>
        <v>0</v>
      </c>
      <c r="V156" s="2908">
        <f t="shared" ref="V156:V219" si="53">ROUND(W156*B156/10000,0)</f>
        <v>0</v>
      </c>
      <c r="W156" s="955"/>
      <c r="X156" s="2908">
        <f t="shared" ref="X156:X219" si="54">ROUND(Z156*B156,0)</f>
        <v>0</v>
      </c>
      <c r="Y156" s="2908">
        <f t="shared" ref="Y156:Y219" si="55">ROUND(Z156*B156/10000,0)</f>
        <v>0</v>
      </c>
      <c r="Z156" s="955"/>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0</v>
      </c>
      <c r="R157" s="597">
        <f t="shared" ref="R157:R220" si="56">IF(B157="",0,ROUND($R$27*C157*E157*G157*I157*K157*M157*O157*Q157,0))</f>
        <v>0</v>
      </c>
      <c r="S157" s="250">
        <f t="shared" ref="S157:S220" si="57">ROUND(R157*B157,0)</f>
        <v>0</v>
      </c>
      <c r="T157" s="858">
        <f t="shared" ref="T157:T220" si="58">ROUND(R157*B157/10000,0)</f>
        <v>0</v>
      </c>
      <c r="U157" s="2908">
        <f t="shared" si="52"/>
        <v>0</v>
      </c>
      <c r="V157" s="2908">
        <f t="shared" si="53"/>
        <v>0</v>
      </c>
      <c r="W157" s="955"/>
      <c r="X157" s="2908">
        <f t="shared" si="54"/>
        <v>0</v>
      </c>
      <c r="Y157" s="2908">
        <f t="shared" si="55"/>
        <v>0</v>
      </c>
      <c r="Z157" s="955"/>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0</v>
      </c>
      <c r="R158" s="597">
        <f t="shared" si="56"/>
        <v>0</v>
      </c>
      <c r="S158" s="250">
        <f t="shared" si="57"/>
        <v>0</v>
      </c>
      <c r="T158" s="858">
        <f t="shared" si="58"/>
        <v>0</v>
      </c>
      <c r="U158" s="2908">
        <f t="shared" si="52"/>
        <v>0</v>
      </c>
      <c r="V158" s="2908">
        <f t="shared" si="53"/>
        <v>0</v>
      </c>
      <c r="W158" s="955"/>
      <c r="X158" s="2908">
        <f t="shared" si="54"/>
        <v>0</v>
      </c>
      <c r="Y158" s="2908">
        <f t="shared" si="55"/>
        <v>0</v>
      </c>
      <c r="Z158" s="955"/>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0</v>
      </c>
      <c r="R159" s="597">
        <f t="shared" si="56"/>
        <v>0</v>
      </c>
      <c r="S159" s="250">
        <f t="shared" si="57"/>
        <v>0</v>
      </c>
      <c r="T159" s="858">
        <f t="shared" si="58"/>
        <v>0</v>
      </c>
      <c r="U159" s="2908">
        <f t="shared" si="52"/>
        <v>0</v>
      </c>
      <c r="V159" s="2908">
        <f t="shared" si="53"/>
        <v>0</v>
      </c>
      <c r="W159" s="955"/>
      <c r="X159" s="2908">
        <f t="shared" si="54"/>
        <v>0</v>
      </c>
      <c r="Y159" s="2908">
        <f t="shared" si="55"/>
        <v>0</v>
      </c>
      <c r="Z159" s="955"/>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0</v>
      </c>
      <c r="R160" s="597">
        <f t="shared" si="56"/>
        <v>0</v>
      </c>
      <c r="S160" s="250">
        <f t="shared" si="57"/>
        <v>0</v>
      </c>
      <c r="T160" s="858">
        <f t="shared" si="58"/>
        <v>0</v>
      </c>
      <c r="U160" s="2908">
        <f t="shared" si="52"/>
        <v>0</v>
      </c>
      <c r="V160" s="2908">
        <f t="shared" si="53"/>
        <v>0</v>
      </c>
      <c r="W160" s="955"/>
      <c r="X160" s="2908">
        <f t="shared" si="54"/>
        <v>0</v>
      </c>
      <c r="Y160" s="2908">
        <f t="shared" si="55"/>
        <v>0</v>
      </c>
      <c r="Z160" s="955"/>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0</v>
      </c>
      <c r="R161" s="597">
        <f t="shared" si="56"/>
        <v>0</v>
      </c>
      <c r="S161" s="250">
        <f t="shared" si="57"/>
        <v>0</v>
      </c>
      <c r="T161" s="858">
        <f t="shared" si="58"/>
        <v>0</v>
      </c>
      <c r="U161" s="2908">
        <f t="shared" si="52"/>
        <v>0</v>
      </c>
      <c r="V161" s="2908">
        <f t="shared" si="53"/>
        <v>0</v>
      </c>
      <c r="W161" s="955"/>
      <c r="X161" s="2908">
        <f t="shared" si="54"/>
        <v>0</v>
      </c>
      <c r="Y161" s="2908">
        <f t="shared" si="55"/>
        <v>0</v>
      </c>
      <c r="Z161" s="955"/>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0</v>
      </c>
      <c r="R162" s="597">
        <f t="shared" si="56"/>
        <v>0</v>
      </c>
      <c r="S162" s="250">
        <f t="shared" si="57"/>
        <v>0</v>
      </c>
      <c r="T162" s="858">
        <f t="shared" si="58"/>
        <v>0</v>
      </c>
      <c r="U162" s="2908">
        <f t="shared" si="52"/>
        <v>0</v>
      </c>
      <c r="V162" s="2908">
        <f t="shared" si="53"/>
        <v>0</v>
      </c>
      <c r="W162" s="955"/>
      <c r="X162" s="2908">
        <f t="shared" si="54"/>
        <v>0</v>
      </c>
      <c r="Y162" s="2908">
        <f t="shared" si="55"/>
        <v>0</v>
      </c>
      <c r="Z162" s="955"/>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0</v>
      </c>
      <c r="R163" s="597">
        <f t="shared" si="56"/>
        <v>0</v>
      </c>
      <c r="S163" s="250">
        <f t="shared" si="57"/>
        <v>0</v>
      </c>
      <c r="T163" s="858">
        <f t="shared" si="58"/>
        <v>0</v>
      </c>
      <c r="U163" s="2908">
        <f t="shared" si="52"/>
        <v>0</v>
      </c>
      <c r="V163" s="2908">
        <f t="shared" si="53"/>
        <v>0</v>
      </c>
      <c r="W163" s="955"/>
      <c r="X163" s="2908">
        <f t="shared" si="54"/>
        <v>0</v>
      </c>
      <c r="Y163" s="2908">
        <f t="shared" si="55"/>
        <v>0</v>
      </c>
      <c r="Z163" s="955"/>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0</v>
      </c>
      <c r="R164" s="597">
        <f t="shared" si="56"/>
        <v>0</v>
      </c>
      <c r="S164" s="250">
        <f t="shared" si="57"/>
        <v>0</v>
      </c>
      <c r="T164" s="858">
        <f t="shared" si="58"/>
        <v>0</v>
      </c>
      <c r="U164" s="2908">
        <f t="shared" si="52"/>
        <v>0</v>
      </c>
      <c r="V164" s="2908">
        <f t="shared" si="53"/>
        <v>0</v>
      </c>
      <c r="W164" s="955"/>
      <c r="X164" s="2908">
        <f t="shared" si="54"/>
        <v>0</v>
      </c>
      <c r="Y164" s="2908">
        <f t="shared" si="55"/>
        <v>0</v>
      </c>
      <c r="Z164" s="955"/>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0</v>
      </c>
      <c r="R165" s="597">
        <f t="shared" si="56"/>
        <v>0</v>
      </c>
      <c r="S165" s="250">
        <f t="shared" si="57"/>
        <v>0</v>
      </c>
      <c r="T165" s="858">
        <f t="shared" si="58"/>
        <v>0</v>
      </c>
      <c r="U165" s="2908">
        <f t="shared" si="52"/>
        <v>0</v>
      </c>
      <c r="V165" s="2908">
        <f t="shared" si="53"/>
        <v>0</v>
      </c>
      <c r="W165" s="955"/>
      <c r="X165" s="2908">
        <f t="shared" si="54"/>
        <v>0</v>
      </c>
      <c r="Y165" s="2908">
        <f t="shared" si="55"/>
        <v>0</v>
      </c>
      <c r="Z165" s="955"/>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0</v>
      </c>
      <c r="R166" s="597">
        <f t="shared" si="56"/>
        <v>0</v>
      </c>
      <c r="S166" s="250">
        <f t="shared" si="57"/>
        <v>0</v>
      </c>
      <c r="T166" s="858">
        <f t="shared" si="58"/>
        <v>0</v>
      </c>
      <c r="U166" s="2908">
        <f t="shared" si="52"/>
        <v>0</v>
      </c>
      <c r="V166" s="2908">
        <f t="shared" si="53"/>
        <v>0</v>
      </c>
      <c r="W166" s="955"/>
      <c r="X166" s="2908">
        <f t="shared" si="54"/>
        <v>0</v>
      </c>
      <c r="Y166" s="2908">
        <f t="shared" si="55"/>
        <v>0</v>
      </c>
      <c r="Z166" s="955"/>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0</v>
      </c>
      <c r="R167" s="597">
        <f t="shared" si="56"/>
        <v>0</v>
      </c>
      <c r="S167" s="250">
        <f t="shared" si="57"/>
        <v>0</v>
      </c>
      <c r="T167" s="858">
        <f t="shared" si="58"/>
        <v>0</v>
      </c>
      <c r="U167" s="2908">
        <f t="shared" si="52"/>
        <v>0</v>
      </c>
      <c r="V167" s="2908">
        <f t="shared" si="53"/>
        <v>0</v>
      </c>
      <c r="W167" s="955"/>
      <c r="X167" s="2908">
        <f t="shared" si="54"/>
        <v>0</v>
      </c>
      <c r="Y167" s="2908">
        <f t="shared" si="55"/>
        <v>0</v>
      </c>
      <c r="Z167" s="955"/>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0</v>
      </c>
      <c r="R168" s="597">
        <f t="shared" si="56"/>
        <v>0</v>
      </c>
      <c r="S168" s="250">
        <f t="shared" si="57"/>
        <v>0</v>
      </c>
      <c r="T168" s="858">
        <f t="shared" si="58"/>
        <v>0</v>
      </c>
      <c r="U168" s="2908">
        <f t="shared" si="52"/>
        <v>0</v>
      </c>
      <c r="V168" s="2908">
        <f t="shared" si="53"/>
        <v>0</v>
      </c>
      <c r="W168" s="955"/>
      <c r="X168" s="2908">
        <f t="shared" si="54"/>
        <v>0</v>
      </c>
      <c r="Y168" s="2908">
        <f t="shared" si="55"/>
        <v>0</v>
      </c>
      <c r="Z168" s="955"/>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0</v>
      </c>
      <c r="R169" s="597">
        <f t="shared" si="56"/>
        <v>0</v>
      </c>
      <c r="S169" s="250">
        <f t="shared" si="57"/>
        <v>0</v>
      </c>
      <c r="T169" s="858">
        <f t="shared" si="58"/>
        <v>0</v>
      </c>
      <c r="U169" s="2908">
        <f t="shared" si="52"/>
        <v>0</v>
      </c>
      <c r="V169" s="2908">
        <f t="shared" si="53"/>
        <v>0</v>
      </c>
      <c r="W169" s="955"/>
      <c r="X169" s="2908">
        <f t="shared" si="54"/>
        <v>0</v>
      </c>
      <c r="Y169" s="2908">
        <f t="shared" si="55"/>
        <v>0</v>
      </c>
      <c r="Z169" s="955"/>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0</v>
      </c>
      <c r="R170" s="597">
        <f t="shared" si="56"/>
        <v>0</v>
      </c>
      <c r="S170" s="250">
        <f t="shared" si="57"/>
        <v>0</v>
      </c>
      <c r="T170" s="858">
        <f t="shared" si="58"/>
        <v>0</v>
      </c>
      <c r="U170" s="2908">
        <f t="shared" si="52"/>
        <v>0</v>
      </c>
      <c r="V170" s="2908">
        <f t="shared" si="53"/>
        <v>0</v>
      </c>
      <c r="W170" s="955"/>
      <c r="X170" s="2908">
        <f t="shared" si="54"/>
        <v>0</v>
      </c>
      <c r="Y170" s="2908">
        <f t="shared" si="55"/>
        <v>0</v>
      </c>
      <c r="Z170" s="955"/>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0</v>
      </c>
      <c r="R171" s="597">
        <f t="shared" si="56"/>
        <v>0</v>
      </c>
      <c r="S171" s="250">
        <f t="shared" si="57"/>
        <v>0</v>
      </c>
      <c r="T171" s="858">
        <f t="shared" si="58"/>
        <v>0</v>
      </c>
      <c r="U171" s="2908">
        <f t="shared" si="52"/>
        <v>0</v>
      </c>
      <c r="V171" s="2908">
        <f t="shared" si="53"/>
        <v>0</v>
      </c>
      <c r="W171" s="955"/>
      <c r="X171" s="2908">
        <f t="shared" si="54"/>
        <v>0</v>
      </c>
      <c r="Y171" s="2908">
        <f t="shared" si="55"/>
        <v>0</v>
      </c>
      <c r="Z171" s="955"/>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0</v>
      </c>
      <c r="R172" s="597">
        <f t="shared" si="56"/>
        <v>0</v>
      </c>
      <c r="S172" s="250">
        <f t="shared" si="57"/>
        <v>0</v>
      </c>
      <c r="T172" s="858">
        <f t="shared" si="58"/>
        <v>0</v>
      </c>
      <c r="U172" s="2908">
        <f t="shared" si="52"/>
        <v>0</v>
      </c>
      <c r="V172" s="2908">
        <f t="shared" si="53"/>
        <v>0</v>
      </c>
      <c r="W172" s="955"/>
      <c r="X172" s="2908">
        <f t="shared" si="54"/>
        <v>0</v>
      </c>
      <c r="Y172" s="2908">
        <f t="shared" si="55"/>
        <v>0</v>
      </c>
      <c r="Z172" s="955"/>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0</v>
      </c>
      <c r="R173" s="597">
        <f t="shared" si="56"/>
        <v>0</v>
      </c>
      <c r="S173" s="250">
        <f t="shared" si="57"/>
        <v>0</v>
      </c>
      <c r="T173" s="858">
        <f t="shared" si="58"/>
        <v>0</v>
      </c>
      <c r="U173" s="2908">
        <f t="shared" si="52"/>
        <v>0</v>
      </c>
      <c r="V173" s="2908">
        <f t="shared" si="53"/>
        <v>0</v>
      </c>
      <c r="W173" s="955"/>
      <c r="X173" s="2908">
        <f t="shared" si="54"/>
        <v>0</v>
      </c>
      <c r="Y173" s="2908">
        <f t="shared" si="55"/>
        <v>0</v>
      </c>
      <c r="Z173" s="955"/>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0</v>
      </c>
      <c r="R174" s="597">
        <f t="shared" si="56"/>
        <v>0</v>
      </c>
      <c r="S174" s="250">
        <f t="shared" si="57"/>
        <v>0</v>
      </c>
      <c r="T174" s="858">
        <f t="shared" si="58"/>
        <v>0</v>
      </c>
      <c r="U174" s="2908">
        <f t="shared" si="52"/>
        <v>0</v>
      </c>
      <c r="V174" s="2908">
        <f t="shared" si="53"/>
        <v>0</v>
      </c>
      <c r="W174" s="955"/>
      <c r="X174" s="2908">
        <f t="shared" si="54"/>
        <v>0</v>
      </c>
      <c r="Y174" s="2908">
        <f t="shared" si="55"/>
        <v>0</v>
      </c>
      <c r="Z174" s="955"/>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0</v>
      </c>
      <c r="R175" s="597">
        <f t="shared" si="56"/>
        <v>0</v>
      </c>
      <c r="S175" s="250">
        <f t="shared" si="57"/>
        <v>0</v>
      </c>
      <c r="T175" s="858">
        <f t="shared" si="58"/>
        <v>0</v>
      </c>
      <c r="U175" s="2908">
        <f t="shared" si="52"/>
        <v>0</v>
      </c>
      <c r="V175" s="2908">
        <f t="shared" si="53"/>
        <v>0</v>
      </c>
      <c r="W175" s="955"/>
      <c r="X175" s="2908">
        <f t="shared" si="54"/>
        <v>0</v>
      </c>
      <c r="Y175" s="2908">
        <f t="shared" si="55"/>
        <v>0</v>
      </c>
      <c r="Z175" s="955"/>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0</v>
      </c>
      <c r="R176" s="597">
        <f t="shared" si="56"/>
        <v>0</v>
      </c>
      <c r="S176" s="250">
        <f t="shared" si="57"/>
        <v>0</v>
      </c>
      <c r="T176" s="858">
        <f t="shared" si="58"/>
        <v>0</v>
      </c>
      <c r="U176" s="2908">
        <f t="shared" si="52"/>
        <v>0</v>
      </c>
      <c r="V176" s="2908">
        <f t="shared" si="53"/>
        <v>0</v>
      </c>
      <c r="W176" s="955"/>
      <c r="X176" s="2908">
        <f t="shared" si="54"/>
        <v>0</v>
      </c>
      <c r="Y176" s="2908">
        <f t="shared" si="55"/>
        <v>0</v>
      </c>
      <c r="Z176" s="955"/>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0</v>
      </c>
      <c r="R177" s="597">
        <f t="shared" si="56"/>
        <v>0</v>
      </c>
      <c r="S177" s="250">
        <f t="shared" si="57"/>
        <v>0</v>
      </c>
      <c r="T177" s="858">
        <f t="shared" si="58"/>
        <v>0</v>
      </c>
      <c r="U177" s="2908">
        <f t="shared" si="52"/>
        <v>0</v>
      </c>
      <c r="V177" s="2908">
        <f t="shared" si="53"/>
        <v>0</v>
      </c>
      <c r="W177" s="955"/>
      <c r="X177" s="2908">
        <f t="shared" si="54"/>
        <v>0</v>
      </c>
      <c r="Y177" s="2908">
        <f t="shared" si="55"/>
        <v>0</v>
      </c>
      <c r="Z177" s="955"/>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0</v>
      </c>
      <c r="R178" s="597">
        <f t="shared" si="56"/>
        <v>0</v>
      </c>
      <c r="S178" s="250">
        <f t="shared" si="57"/>
        <v>0</v>
      </c>
      <c r="T178" s="858">
        <f t="shared" si="58"/>
        <v>0</v>
      </c>
      <c r="U178" s="2908">
        <f t="shared" si="52"/>
        <v>0</v>
      </c>
      <c r="V178" s="2908">
        <f t="shared" si="53"/>
        <v>0</v>
      </c>
      <c r="W178" s="955"/>
      <c r="X178" s="2908">
        <f t="shared" si="54"/>
        <v>0</v>
      </c>
      <c r="Y178" s="2908">
        <f t="shared" si="55"/>
        <v>0</v>
      </c>
      <c r="Z178" s="955"/>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0</v>
      </c>
      <c r="R179" s="597">
        <f t="shared" si="56"/>
        <v>0</v>
      </c>
      <c r="S179" s="250">
        <f t="shared" si="57"/>
        <v>0</v>
      </c>
      <c r="T179" s="858">
        <f t="shared" si="58"/>
        <v>0</v>
      </c>
      <c r="U179" s="2908">
        <f t="shared" si="52"/>
        <v>0</v>
      </c>
      <c r="V179" s="2908">
        <f t="shared" si="53"/>
        <v>0</v>
      </c>
      <c r="W179" s="955"/>
      <c r="X179" s="2908">
        <f t="shared" si="54"/>
        <v>0</v>
      </c>
      <c r="Y179" s="2908">
        <f t="shared" si="55"/>
        <v>0</v>
      </c>
      <c r="Z179" s="955"/>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0</v>
      </c>
      <c r="R180" s="597">
        <f t="shared" si="56"/>
        <v>0</v>
      </c>
      <c r="S180" s="250">
        <f t="shared" si="57"/>
        <v>0</v>
      </c>
      <c r="T180" s="858">
        <f t="shared" si="58"/>
        <v>0</v>
      </c>
      <c r="U180" s="2908">
        <f t="shared" si="52"/>
        <v>0</v>
      </c>
      <c r="V180" s="2908">
        <f t="shared" si="53"/>
        <v>0</v>
      </c>
      <c r="W180" s="955"/>
      <c r="X180" s="2908">
        <f t="shared" si="54"/>
        <v>0</v>
      </c>
      <c r="Y180" s="2908">
        <f t="shared" si="55"/>
        <v>0</v>
      </c>
      <c r="Z180" s="955"/>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0</v>
      </c>
      <c r="R181" s="597">
        <f t="shared" si="56"/>
        <v>0</v>
      </c>
      <c r="S181" s="250">
        <f t="shared" si="57"/>
        <v>0</v>
      </c>
      <c r="T181" s="858">
        <f t="shared" si="58"/>
        <v>0</v>
      </c>
      <c r="U181" s="2908">
        <f t="shared" si="52"/>
        <v>0</v>
      </c>
      <c r="V181" s="2908">
        <f t="shared" si="53"/>
        <v>0</v>
      </c>
      <c r="W181" s="955"/>
      <c r="X181" s="2908">
        <f t="shared" si="54"/>
        <v>0</v>
      </c>
      <c r="Y181" s="2908">
        <f t="shared" si="55"/>
        <v>0</v>
      </c>
      <c r="Z181" s="955"/>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0</v>
      </c>
      <c r="R182" s="597">
        <f t="shared" si="56"/>
        <v>0</v>
      </c>
      <c r="S182" s="250">
        <f t="shared" si="57"/>
        <v>0</v>
      </c>
      <c r="T182" s="858">
        <f t="shared" si="58"/>
        <v>0</v>
      </c>
      <c r="U182" s="2908">
        <f t="shared" si="52"/>
        <v>0</v>
      </c>
      <c r="V182" s="2908">
        <f t="shared" si="53"/>
        <v>0</v>
      </c>
      <c r="W182" s="955"/>
      <c r="X182" s="2908">
        <f t="shared" si="54"/>
        <v>0</v>
      </c>
      <c r="Y182" s="2908">
        <f t="shared" si="55"/>
        <v>0</v>
      </c>
      <c r="Z182" s="955"/>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0</v>
      </c>
      <c r="R183" s="597">
        <f t="shared" si="56"/>
        <v>0</v>
      </c>
      <c r="S183" s="250">
        <f t="shared" si="57"/>
        <v>0</v>
      </c>
      <c r="T183" s="858">
        <f t="shared" si="58"/>
        <v>0</v>
      </c>
      <c r="U183" s="2908">
        <f t="shared" si="52"/>
        <v>0</v>
      </c>
      <c r="V183" s="2908">
        <f t="shared" si="53"/>
        <v>0</v>
      </c>
      <c r="W183" s="955"/>
      <c r="X183" s="2908">
        <f t="shared" si="54"/>
        <v>0</v>
      </c>
      <c r="Y183" s="2908">
        <f t="shared" si="55"/>
        <v>0</v>
      </c>
      <c r="Z183" s="955"/>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0</v>
      </c>
      <c r="R184" s="597">
        <f t="shared" si="56"/>
        <v>0</v>
      </c>
      <c r="S184" s="250">
        <f t="shared" si="57"/>
        <v>0</v>
      </c>
      <c r="T184" s="858">
        <f t="shared" si="58"/>
        <v>0</v>
      </c>
      <c r="U184" s="2908">
        <f t="shared" si="52"/>
        <v>0</v>
      </c>
      <c r="V184" s="2908">
        <f t="shared" si="53"/>
        <v>0</v>
      </c>
      <c r="W184" s="955"/>
      <c r="X184" s="2908">
        <f t="shared" si="54"/>
        <v>0</v>
      </c>
      <c r="Y184" s="2908">
        <f t="shared" si="55"/>
        <v>0</v>
      </c>
      <c r="Z184" s="955"/>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0</v>
      </c>
      <c r="R185" s="597">
        <f t="shared" si="56"/>
        <v>0</v>
      </c>
      <c r="S185" s="250">
        <f t="shared" si="57"/>
        <v>0</v>
      </c>
      <c r="T185" s="858">
        <f t="shared" si="58"/>
        <v>0</v>
      </c>
      <c r="U185" s="2908">
        <f t="shared" si="52"/>
        <v>0</v>
      </c>
      <c r="V185" s="2908">
        <f t="shared" si="53"/>
        <v>0</v>
      </c>
      <c r="W185" s="955"/>
      <c r="X185" s="2908">
        <f t="shared" si="54"/>
        <v>0</v>
      </c>
      <c r="Y185" s="2908">
        <f t="shared" si="55"/>
        <v>0</v>
      </c>
      <c r="Z185" s="955"/>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0</v>
      </c>
      <c r="R186" s="597">
        <f t="shared" si="56"/>
        <v>0</v>
      </c>
      <c r="S186" s="250">
        <f t="shared" si="57"/>
        <v>0</v>
      </c>
      <c r="T186" s="858">
        <f t="shared" si="58"/>
        <v>0</v>
      </c>
      <c r="U186" s="2908">
        <f t="shared" si="52"/>
        <v>0</v>
      </c>
      <c r="V186" s="2908">
        <f t="shared" si="53"/>
        <v>0</v>
      </c>
      <c r="W186" s="955"/>
      <c r="X186" s="2908">
        <f t="shared" si="54"/>
        <v>0</v>
      </c>
      <c r="Y186" s="2908">
        <f t="shared" si="55"/>
        <v>0</v>
      </c>
      <c r="Z186" s="955"/>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0</v>
      </c>
      <c r="R187" s="597">
        <f t="shared" si="56"/>
        <v>0</v>
      </c>
      <c r="S187" s="250">
        <f t="shared" si="57"/>
        <v>0</v>
      </c>
      <c r="T187" s="858">
        <f t="shared" si="58"/>
        <v>0</v>
      </c>
      <c r="U187" s="2908">
        <f t="shared" si="52"/>
        <v>0</v>
      </c>
      <c r="V187" s="2908">
        <f t="shared" si="53"/>
        <v>0</v>
      </c>
      <c r="W187" s="955"/>
      <c r="X187" s="2908">
        <f t="shared" si="54"/>
        <v>0</v>
      </c>
      <c r="Y187" s="2908">
        <f t="shared" si="55"/>
        <v>0</v>
      </c>
      <c r="Z187" s="955"/>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0</v>
      </c>
      <c r="R188" s="597">
        <f t="shared" si="56"/>
        <v>0</v>
      </c>
      <c r="S188" s="250">
        <f t="shared" si="57"/>
        <v>0</v>
      </c>
      <c r="T188" s="858">
        <f t="shared" si="58"/>
        <v>0</v>
      </c>
      <c r="U188" s="2908">
        <f t="shared" si="52"/>
        <v>0</v>
      </c>
      <c r="V188" s="2908">
        <f t="shared" si="53"/>
        <v>0</v>
      </c>
      <c r="W188" s="955"/>
      <c r="X188" s="2908">
        <f t="shared" si="54"/>
        <v>0</v>
      </c>
      <c r="Y188" s="2908">
        <f t="shared" si="55"/>
        <v>0</v>
      </c>
      <c r="Z188" s="955"/>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0</v>
      </c>
      <c r="R189" s="597">
        <f t="shared" si="56"/>
        <v>0</v>
      </c>
      <c r="S189" s="250">
        <f t="shared" si="57"/>
        <v>0</v>
      </c>
      <c r="T189" s="858">
        <f t="shared" si="58"/>
        <v>0</v>
      </c>
      <c r="U189" s="2908">
        <f t="shared" si="52"/>
        <v>0</v>
      </c>
      <c r="V189" s="2908">
        <f t="shared" si="53"/>
        <v>0</v>
      </c>
      <c r="W189" s="955"/>
      <c r="X189" s="2908">
        <f t="shared" si="54"/>
        <v>0</v>
      </c>
      <c r="Y189" s="2908">
        <f t="shared" si="55"/>
        <v>0</v>
      </c>
      <c r="Z189" s="955"/>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0</v>
      </c>
      <c r="R190" s="597">
        <f t="shared" si="56"/>
        <v>0</v>
      </c>
      <c r="S190" s="250">
        <f t="shared" si="57"/>
        <v>0</v>
      </c>
      <c r="T190" s="858">
        <f t="shared" si="58"/>
        <v>0</v>
      </c>
      <c r="U190" s="2908">
        <f t="shared" si="52"/>
        <v>0</v>
      </c>
      <c r="V190" s="2908">
        <f t="shared" si="53"/>
        <v>0</v>
      </c>
      <c r="W190" s="955"/>
      <c r="X190" s="2908">
        <f t="shared" si="54"/>
        <v>0</v>
      </c>
      <c r="Y190" s="2908">
        <f t="shared" si="55"/>
        <v>0</v>
      </c>
      <c r="Z190" s="955"/>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0</v>
      </c>
      <c r="R191" s="597">
        <f t="shared" si="56"/>
        <v>0</v>
      </c>
      <c r="S191" s="250">
        <f t="shared" si="57"/>
        <v>0</v>
      </c>
      <c r="T191" s="858">
        <f t="shared" si="58"/>
        <v>0</v>
      </c>
      <c r="U191" s="2908">
        <f t="shared" si="52"/>
        <v>0</v>
      </c>
      <c r="V191" s="2908">
        <f t="shared" si="53"/>
        <v>0</v>
      </c>
      <c r="W191" s="955"/>
      <c r="X191" s="2908">
        <f t="shared" si="54"/>
        <v>0</v>
      </c>
      <c r="Y191" s="2908">
        <f t="shared" si="55"/>
        <v>0</v>
      </c>
      <c r="Z191" s="955"/>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0</v>
      </c>
      <c r="R192" s="597">
        <f t="shared" si="56"/>
        <v>0</v>
      </c>
      <c r="S192" s="250">
        <f t="shared" si="57"/>
        <v>0</v>
      </c>
      <c r="T192" s="858">
        <f t="shared" si="58"/>
        <v>0</v>
      </c>
      <c r="U192" s="2908">
        <f t="shared" si="52"/>
        <v>0</v>
      </c>
      <c r="V192" s="2908">
        <f t="shared" si="53"/>
        <v>0</v>
      </c>
      <c r="W192" s="955"/>
      <c r="X192" s="2908">
        <f t="shared" si="54"/>
        <v>0</v>
      </c>
      <c r="Y192" s="2908">
        <f t="shared" si="55"/>
        <v>0</v>
      </c>
      <c r="Z192" s="955"/>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0</v>
      </c>
      <c r="R193" s="597">
        <f t="shared" si="56"/>
        <v>0</v>
      </c>
      <c r="S193" s="250">
        <f t="shared" si="57"/>
        <v>0</v>
      </c>
      <c r="T193" s="858">
        <f t="shared" si="58"/>
        <v>0</v>
      </c>
      <c r="U193" s="2908">
        <f t="shared" si="52"/>
        <v>0</v>
      </c>
      <c r="V193" s="2908">
        <f t="shared" si="53"/>
        <v>0</v>
      </c>
      <c r="W193" s="955"/>
      <c r="X193" s="2908">
        <f t="shared" si="54"/>
        <v>0</v>
      </c>
      <c r="Y193" s="2908">
        <f t="shared" si="55"/>
        <v>0</v>
      </c>
      <c r="Z193" s="955"/>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0</v>
      </c>
      <c r="R194" s="597">
        <f t="shared" si="56"/>
        <v>0</v>
      </c>
      <c r="S194" s="250">
        <f t="shared" si="57"/>
        <v>0</v>
      </c>
      <c r="T194" s="858">
        <f t="shared" si="58"/>
        <v>0</v>
      </c>
      <c r="U194" s="2908">
        <f t="shared" si="52"/>
        <v>0</v>
      </c>
      <c r="V194" s="2908">
        <f t="shared" si="53"/>
        <v>0</v>
      </c>
      <c r="W194" s="955"/>
      <c r="X194" s="2908">
        <f t="shared" si="54"/>
        <v>0</v>
      </c>
      <c r="Y194" s="2908">
        <f t="shared" si="55"/>
        <v>0</v>
      </c>
      <c r="Z194" s="955"/>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0</v>
      </c>
      <c r="R195" s="597">
        <f t="shared" si="56"/>
        <v>0</v>
      </c>
      <c r="S195" s="250">
        <f t="shared" si="57"/>
        <v>0</v>
      </c>
      <c r="T195" s="858">
        <f t="shared" si="58"/>
        <v>0</v>
      </c>
      <c r="U195" s="2908">
        <f t="shared" si="52"/>
        <v>0</v>
      </c>
      <c r="V195" s="2908">
        <f t="shared" si="53"/>
        <v>0</v>
      </c>
      <c r="W195" s="955"/>
      <c r="X195" s="2908">
        <f t="shared" si="54"/>
        <v>0</v>
      </c>
      <c r="Y195" s="2908">
        <f t="shared" si="55"/>
        <v>0</v>
      </c>
      <c r="Z195" s="955"/>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0</v>
      </c>
      <c r="R196" s="597">
        <f t="shared" si="56"/>
        <v>0</v>
      </c>
      <c r="S196" s="250">
        <f t="shared" si="57"/>
        <v>0</v>
      </c>
      <c r="T196" s="858">
        <f t="shared" si="58"/>
        <v>0</v>
      </c>
      <c r="U196" s="2908">
        <f t="shared" si="52"/>
        <v>0</v>
      </c>
      <c r="V196" s="2908">
        <f t="shared" si="53"/>
        <v>0</v>
      </c>
      <c r="W196" s="955"/>
      <c r="X196" s="2908">
        <f t="shared" si="54"/>
        <v>0</v>
      </c>
      <c r="Y196" s="2908">
        <f t="shared" si="55"/>
        <v>0</v>
      </c>
      <c r="Z196" s="955"/>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0</v>
      </c>
      <c r="R197" s="597">
        <f t="shared" si="56"/>
        <v>0</v>
      </c>
      <c r="S197" s="250">
        <f t="shared" si="57"/>
        <v>0</v>
      </c>
      <c r="T197" s="858">
        <f t="shared" si="58"/>
        <v>0</v>
      </c>
      <c r="U197" s="2908">
        <f t="shared" si="52"/>
        <v>0</v>
      </c>
      <c r="V197" s="2908">
        <f t="shared" si="53"/>
        <v>0</v>
      </c>
      <c r="W197" s="955"/>
      <c r="X197" s="2908">
        <f t="shared" si="54"/>
        <v>0</v>
      </c>
      <c r="Y197" s="2908">
        <f t="shared" si="55"/>
        <v>0</v>
      </c>
      <c r="Z197" s="955"/>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0</v>
      </c>
      <c r="R198" s="597">
        <f t="shared" si="56"/>
        <v>0</v>
      </c>
      <c r="S198" s="250">
        <f t="shared" si="57"/>
        <v>0</v>
      </c>
      <c r="T198" s="858">
        <f t="shared" si="58"/>
        <v>0</v>
      </c>
      <c r="U198" s="2908">
        <f t="shared" si="52"/>
        <v>0</v>
      </c>
      <c r="V198" s="2908">
        <f t="shared" si="53"/>
        <v>0</v>
      </c>
      <c r="W198" s="955"/>
      <c r="X198" s="2908">
        <f t="shared" si="54"/>
        <v>0</v>
      </c>
      <c r="Y198" s="2908">
        <f t="shared" si="55"/>
        <v>0</v>
      </c>
      <c r="Z198" s="955"/>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0</v>
      </c>
      <c r="R199" s="597">
        <f t="shared" si="56"/>
        <v>0</v>
      </c>
      <c r="S199" s="250">
        <f t="shared" si="57"/>
        <v>0</v>
      </c>
      <c r="T199" s="858">
        <f t="shared" si="58"/>
        <v>0</v>
      </c>
      <c r="U199" s="2908">
        <f t="shared" si="52"/>
        <v>0</v>
      </c>
      <c r="V199" s="2908">
        <f t="shared" si="53"/>
        <v>0</v>
      </c>
      <c r="W199" s="955"/>
      <c r="X199" s="2908">
        <f t="shared" si="54"/>
        <v>0</v>
      </c>
      <c r="Y199" s="2908">
        <f t="shared" si="55"/>
        <v>0</v>
      </c>
      <c r="Z199" s="955"/>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0</v>
      </c>
      <c r="R200" s="597">
        <f t="shared" si="56"/>
        <v>0</v>
      </c>
      <c r="S200" s="250">
        <f t="shared" si="57"/>
        <v>0</v>
      </c>
      <c r="T200" s="858">
        <f t="shared" si="58"/>
        <v>0</v>
      </c>
      <c r="U200" s="2908">
        <f t="shared" si="52"/>
        <v>0</v>
      </c>
      <c r="V200" s="2908">
        <f t="shared" si="53"/>
        <v>0</v>
      </c>
      <c r="W200" s="955"/>
      <c r="X200" s="2908">
        <f t="shared" si="54"/>
        <v>0</v>
      </c>
      <c r="Y200" s="2908">
        <f t="shared" si="55"/>
        <v>0</v>
      </c>
      <c r="Z200" s="955"/>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0</v>
      </c>
      <c r="R201" s="597">
        <f t="shared" si="56"/>
        <v>0</v>
      </c>
      <c r="S201" s="250">
        <f t="shared" si="57"/>
        <v>0</v>
      </c>
      <c r="T201" s="858">
        <f t="shared" si="58"/>
        <v>0</v>
      </c>
      <c r="U201" s="2908">
        <f t="shared" si="52"/>
        <v>0</v>
      </c>
      <c r="V201" s="2908">
        <f t="shared" si="53"/>
        <v>0</v>
      </c>
      <c r="W201" s="955"/>
      <c r="X201" s="2908">
        <f t="shared" si="54"/>
        <v>0</v>
      </c>
      <c r="Y201" s="2908">
        <f t="shared" si="55"/>
        <v>0</v>
      </c>
      <c r="Z201" s="955"/>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0</v>
      </c>
      <c r="R202" s="597">
        <f t="shared" si="56"/>
        <v>0</v>
      </c>
      <c r="S202" s="250">
        <f t="shared" si="57"/>
        <v>0</v>
      </c>
      <c r="T202" s="858">
        <f t="shared" si="58"/>
        <v>0</v>
      </c>
      <c r="U202" s="2908">
        <f t="shared" si="52"/>
        <v>0</v>
      </c>
      <c r="V202" s="2908">
        <f t="shared" si="53"/>
        <v>0</v>
      </c>
      <c r="W202" s="955"/>
      <c r="X202" s="2908">
        <f t="shared" si="54"/>
        <v>0</v>
      </c>
      <c r="Y202" s="2908">
        <f t="shared" si="55"/>
        <v>0</v>
      </c>
      <c r="Z202" s="955"/>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0</v>
      </c>
      <c r="R203" s="597">
        <f t="shared" si="56"/>
        <v>0</v>
      </c>
      <c r="S203" s="250">
        <f t="shared" si="57"/>
        <v>0</v>
      </c>
      <c r="T203" s="858">
        <f t="shared" si="58"/>
        <v>0</v>
      </c>
      <c r="U203" s="2908">
        <f t="shared" si="52"/>
        <v>0</v>
      </c>
      <c r="V203" s="2908">
        <f t="shared" si="53"/>
        <v>0</v>
      </c>
      <c r="W203" s="955"/>
      <c r="X203" s="2908">
        <f t="shared" si="54"/>
        <v>0</v>
      </c>
      <c r="Y203" s="2908">
        <f t="shared" si="55"/>
        <v>0</v>
      </c>
      <c r="Z203" s="955"/>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0</v>
      </c>
      <c r="R204" s="597">
        <f t="shared" si="56"/>
        <v>0</v>
      </c>
      <c r="S204" s="250">
        <f t="shared" si="57"/>
        <v>0</v>
      </c>
      <c r="T204" s="858">
        <f t="shared" si="58"/>
        <v>0</v>
      </c>
      <c r="U204" s="2908">
        <f t="shared" si="52"/>
        <v>0</v>
      </c>
      <c r="V204" s="2908">
        <f t="shared" si="53"/>
        <v>0</v>
      </c>
      <c r="W204" s="955"/>
      <c r="X204" s="2908">
        <f t="shared" si="54"/>
        <v>0</v>
      </c>
      <c r="Y204" s="2908">
        <f t="shared" si="55"/>
        <v>0</v>
      </c>
      <c r="Z204" s="955"/>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0</v>
      </c>
      <c r="R205" s="597">
        <f t="shared" si="56"/>
        <v>0</v>
      </c>
      <c r="S205" s="250">
        <f t="shared" si="57"/>
        <v>0</v>
      </c>
      <c r="T205" s="858">
        <f t="shared" si="58"/>
        <v>0</v>
      </c>
      <c r="U205" s="2908">
        <f t="shared" si="52"/>
        <v>0</v>
      </c>
      <c r="V205" s="2908">
        <f t="shared" si="53"/>
        <v>0</v>
      </c>
      <c r="W205" s="955"/>
      <c r="X205" s="2908">
        <f t="shared" si="54"/>
        <v>0</v>
      </c>
      <c r="Y205" s="2908">
        <f t="shared" si="55"/>
        <v>0</v>
      </c>
      <c r="Z205" s="955"/>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0</v>
      </c>
      <c r="R206" s="597">
        <f t="shared" si="56"/>
        <v>0</v>
      </c>
      <c r="S206" s="250">
        <f t="shared" si="57"/>
        <v>0</v>
      </c>
      <c r="T206" s="858">
        <f t="shared" si="58"/>
        <v>0</v>
      </c>
      <c r="U206" s="2908">
        <f t="shared" si="52"/>
        <v>0</v>
      </c>
      <c r="V206" s="2908">
        <f t="shared" si="53"/>
        <v>0</v>
      </c>
      <c r="W206" s="955"/>
      <c r="X206" s="2908">
        <f t="shared" si="54"/>
        <v>0</v>
      </c>
      <c r="Y206" s="2908">
        <f t="shared" si="55"/>
        <v>0</v>
      </c>
      <c r="Z206" s="955"/>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0</v>
      </c>
      <c r="R207" s="597">
        <f t="shared" si="56"/>
        <v>0</v>
      </c>
      <c r="S207" s="250">
        <f t="shared" si="57"/>
        <v>0</v>
      </c>
      <c r="T207" s="858">
        <f t="shared" si="58"/>
        <v>0</v>
      </c>
      <c r="U207" s="2908">
        <f t="shared" si="52"/>
        <v>0</v>
      </c>
      <c r="V207" s="2908">
        <f t="shared" si="53"/>
        <v>0</v>
      </c>
      <c r="W207" s="955"/>
      <c r="X207" s="2908">
        <f t="shared" si="54"/>
        <v>0</v>
      </c>
      <c r="Y207" s="2908">
        <f t="shared" si="55"/>
        <v>0</v>
      </c>
      <c r="Z207" s="955"/>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0</v>
      </c>
      <c r="R208" s="597">
        <f t="shared" si="56"/>
        <v>0</v>
      </c>
      <c r="S208" s="250">
        <f t="shared" si="57"/>
        <v>0</v>
      </c>
      <c r="T208" s="858">
        <f t="shared" si="58"/>
        <v>0</v>
      </c>
      <c r="U208" s="2908">
        <f t="shared" si="52"/>
        <v>0</v>
      </c>
      <c r="V208" s="2908">
        <f t="shared" si="53"/>
        <v>0</v>
      </c>
      <c r="W208" s="955"/>
      <c r="X208" s="2908">
        <f t="shared" si="54"/>
        <v>0</v>
      </c>
      <c r="Y208" s="2908">
        <f t="shared" si="55"/>
        <v>0</v>
      </c>
      <c r="Z208" s="955"/>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0</v>
      </c>
      <c r="R209" s="597">
        <f t="shared" si="56"/>
        <v>0</v>
      </c>
      <c r="S209" s="250">
        <f t="shared" si="57"/>
        <v>0</v>
      </c>
      <c r="T209" s="858">
        <f t="shared" si="58"/>
        <v>0</v>
      </c>
      <c r="U209" s="2908">
        <f t="shared" si="52"/>
        <v>0</v>
      </c>
      <c r="V209" s="2908">
        <f t="shared" si="53"/>
        <v>0</v>
      </c>
      <c r="W209" s="955"/>
      <c r="X209" s="2908">
        <f t="shared" si="54"/>
        <v>0</v>
      </c>
      <c r="Y209" s="2908">
        <f t="shared" si="55"/>
        <v>0</v>
      </c>
      <c r="Z209" s="955"/>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0</v>
      </c>
      <c r="R210" s="597">
        <f t="shared" si="56"/>
        <v>0</v>
      </c>
      <c r="S210" s="250">
        <f t="shared" si="57"/>
        <v>0</v>
      </c>
      <c r="T210" s="858">
        <f t="shared" si="58"/>
        <v>0</v>
      </c>
      <c r="U210" s="2908">
        <f t="shared" si="52"/>
        <v>0</v>
      </c>
      <c r="V210" s="2908">
        <f t="shared" si="53"/>
        <v>0</v>
      </c>
      <c r="W210" s="955"/>
      <c r="X210" s="2908">
        <f t="shared" si="54"/>
        <v>0</v>
      </c>
      <c r="Y210" s="2908">
        <f t="shared" si="55"/>
        <v>0</v>
      </c>
      <c r="Z210" s="955"/>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0</v>
      </c>
      <c r="R211" s="597">
        <f t="shared" si="56"/>
        <v>0</v>
      </c>
      <c r="S211" s="250">
        <f t="shared" si="57"/>
        <v>0</v>
      </c>
      <c r="T211" s="858">
        <f t="shared" si="58"/>
        <v>0</v>
      </c>
      <c r="U211" s="2908">
        <f t="shared" si="52"/>
        <v>0</v>
      </c>
      <c r="V211" s="2908">
        <f t="shared" si="53"/>
        <v>0</v>
      </c>
      <c r="W211" s="955"/>
      <c r="X211" s="2908">
        <f t="shared" si="54"/>
        <v>0</v>
      </c>
      <c r="Y211" s="2908">
        <f t="shared" si="55"/>
        <v>0</v>
      </c>
      <c r="Z211" s="955"/>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0</v>
      </c>
      <c r="R212" s="597">
        <f t="shared" si="56"/>
        <v>0</v>
      </c>
      <c r="S212" s="250">
        <f t="shared" si="57"/>
        <v>0</v>
      </c>
      <c r="T212" s="858">
        <f t="shared" si="58"/>
        <v>0</v>
      </c>
      <c r="U212" s="2908">
        <f t="shared" si="52"/>
        <v>0</v>
      </c>
      <c r="V212" s="2908">
        <f t="shared" si="53"/>
        <v>0</v>
      </c>
      <c r="W212" s="955"/>
      <c r="X212" s="2908">
        <f t="shared" si="54"/>
        <v>0</v>
      </c>
      <c r="Y212" s="2908">
        <f t="shared" si="55"/>
        <v>0</v>
      </c>
      <c r="Z212" s="955"/>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0</v>
      </c>
      <c r="R213" s="597">
        <f t="shared" si="56"/>
        <v>0</v>
      </c>
      <c r="S213" s="250">
        <f t="shared" si="57"/>
        <v>0</v>
      </c>
      <c r="T213" s="858">
        <f t="shared" si="58"/>
        <v>0</v>
      </c>
      <c r="U213" s="2908">
        <f t="shared" si="52"/>
        <v>0</v>
      </c>
      <c r="V213" s="2908">
        <f t="shared" si="53"/>
        <v>0</v>
      </c>
      <c r="W213" s="955"/>
      <c r="X213" s="2908">
        <f t="shared" si="54"/>
        <v>0</v>
      </c>
      <c r="Y213" s="2908">
        <f t="shared" si="55"/>
        <v>0</v>
      </c>
      <c r="Z213" s="955"/>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0</v>
      </c>
      <c r="R214" s="597">
        <f t="shared" si="56"/>
        <v>0</v>
      </c>
      <c r="S214" s="250">
        <f t="shared" si="57"/>
        <v>0</v>
      </c>
      <c r="T214" s="858">
        <f t="shared" si="58"/>
        <v>0</v>
      </c>
      <c r="U214" s="2908">
        <f t="shared" si="52"/>
        <v>0</v>
      </c>
      <c r="V214" s="2908">
        <f t="shared" si="53"/>
        <v>0</v>
      </c>
      <c r="W214" s="955"/>
      <c r="X214" s="2908">
        <f t="shared" si="54"/>
        <v>0</v>
      </c>
      <c r="Y214" s="2908">
        <f t="shared" si="55"/>
        <v>0</v>
      </c>
      <c r="Z214" s="955"/>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0</v>
      </c>
      <c r="R215" s="597">
        <f t="shared" si="56"/>
        <v>0</v>
      </c>
      <c r="S215" s="250">
        <f t="shared" si="57"/>
        <v>0</v>
      </c>
      <c r="T215" s="858">
        <f t="shared" si="58"/>
        <v>0</v>
      </c>
      <c r="U215" s="2908">
        <f t="shared" si="52"/>
        <v>0</v>
      </c>
      <c r="V215" s="2908">
        <f t="shared" si="53"/>
        <v>0</v>
      </c>
      <c r="W215" s="955"/>
      <c r="X215" s="2908">
        <f t="shared" si="54"/>
        <v>0</v>
      </c>
      <c r="Y215" s="2908">
        <f t="shared" si="55"/>
        <v>0</v>
      </c>
      <c r="Z215" s="955"/>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0</v>
      </c>
      <c r="R216" s="597">
        <f t="shared" si="56"/>
        <v>0</v>
      </c>
      <c r="S216" s="250">
        <f t="shared" si="57"/>
        <v>0</v>
      </c>
      <c r="T216" s="858">
        <f t="shared" si="58"/>
        <v>0</v>
      </c>
      <c r="U216" s="2908">
        <f t="shared" si="52"/>
        <v>0</v>
      </c>
      <c r="V216" s="2908">
        <f t="shared" si="53"/>
        <v>0</v>
      </c>
      <c r="W216" s="955"/>
      <c r="X216" s="2908">
        <f t="shared" si="54"/>
        <v>0</v>
      </c>
      <c r="Y216" s="2908">
        <f t="shared" si="55"/>
        <v>0</v>
      </c>
      <c r="Z216" s="955"/>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0</v>
      </c>
      <c r="R217" s="597">
        <f t="shared" si="56"/>
        <v>0</v>
      </c>
      <c r="S217" s="250">
        <f t="shared" si="57"/>
        <v>0</v>
      </c>
      <c r="T217" s="858">
        <f t="shared" si="58"/>
        <v>0</v>
      </c>
      <c r="U217" s="2908">
        <f t="shared" si="52"/>
        <v>0</v>
      </c>
      <c r="V217" s="2908">
        <f t="shared" si="53"/>
        <v>0</v>
      </c>
      <c r="W217" s="955"/>
      <c r="X217" s="2908">
        <f t="shared" si="54"/>
        <v>0</v>
      </c>
      <c r="Y217" s="2908">
        <f t="shared" si="55"/>
        <v>0</v>
      </c>
      <c r="Z217" s="955"/>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0</v>
      </c>
      <c r="R218" s="597">
        <f t="shared" si="56"/>
        <v>0</v>
      </c>
      <c r="S218" s="250">
        <f t="shared" si="57"/>
        <v>0</v>
      </c>
      <c r="T218" s="858">
        <f t="shared" si="58"/>
        <v>0</v>
      </c>
      <c r="U218" s="2908">
        <f t="shared" si="52"/>
        <v>0</v>
      </c>
      <c r="V218" s="2908">
        <f t="shared" si="53"/>
        <v>0</v>
      </c>
      <c r="W218" s="955"/>
      <c r="X218" s="2908">
        <f t="shared" si="54"/>
        <v>0</v>
      </c>
      <c r="Y218" s="2908">
        <f t="shared" si="55"/>
        <v>0</v>
      </c>
      <c r="Z218" s="955"/>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0</v>
      </c>
      <c r="R219" s="597">
        <f t="shared" si="56"/>
        <v>0</v>
      </c>
      <c r="S219" s="250">
        <f t="shared" si="57"/>
        <v>0</v>
      </c>
      <c r="T219" s="858">
        <f t="shared" si="58"/>
        <v>0</v>
      </c>
      <c r="U219" s="2908">
        <f t="shared" si="52"/>
        <v>0</v>
      </c>
      <c r="V219" s="2908">
        <f t="shared" si="53"/>
        <v>0</v>
      </c>
      <c r="W219" s="955"/>
      <c r="X219" s="2908">
        <f t="shared" si="54"/>
        <v>0</v>
      </c>
      <c r="Y219" s="2908">
        <f t="shared" si="55"/>
        <v>0</v>
      </c>
      <c r="Z219" s="955"/>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v>
      </c>
      <c r="R220" s="597">
        <f t="shared" si="56"/>
        <v>0</v>
      </c>
      <c r="S220" s="250">
        <f t="shared" si="57"/>
        <v>0</v>
      </c>
      <c r="T220" s="858">
        <f t="shared" si="58"/>
        <v>0</v>
      </c>
      <c r="U220" s="2908">
        <f t="shared" ref="U220:U283" si="67">ROUND(W220*B220,0)</f>
        <v>0</v>
      </c>
      <c r="V220" s="2908">
        <f t="shared" ref="V220:V283" si="68">ROUND(W220*B220/10000,0)</f>
        <v>0</v>
      </c>
      <c r="W220" s="955"/>
      <c r="X220" s="2908">
        <f t="shared" ref="X220:X283" si="69">ROUND(Z220*B220,0)</f>
        <v>0</v>
      </c>
      <c r="Y220" s="2908">
        <f t="shared" ref="Y220:Y283" si="70">ROUND(Z220*B220/10000,0)</f>
        <v>0</v>
      </c>
      <c r="Z220" s="955"/>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0</v>
      </c>
      <c r="R221" s="597">
        <f t="shared" ref="R221:R284" si="71">IF(B221="",0,ROUND($R$27*C221*E221*G221*I221*K221*M221*O221*Q221,0))</f>
        <v>0</v>
      </c>
      <c r="S221" s="250">
        <f t="shared" ref="S221:S284" si="72">ROUND(R221*B221,0)</f>
        <v>0</v>
      </c>
      <c r="T221" s="858">
        <f t="shared" ref="T221:T284" si="73">ROUND(R221*B221/10000,0)</f>
        <v>0</v>
      </c>
      <c r="U221" s="2908">
        <f t="shared" si="67"/>
        <v>0</v>
      </c>
      <c r="V221" s="2908">
        <f t="shared" si="68"/>
        <v>0</v>
      </c>
      <c r="W221" s="955"/>
      <c r="X221" s="2908">
        <f t="shared" si="69"/>
        <v>0</v>
      </c>
      <c r="Y221" s="2908">
        <f t="shared" si="70"/>
        <v>0</v>
      </c>
      <c r="Z221" s="955"/>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0</v>
      </c>
      <c r="R222" s="597">
        <f t="shared" si="71"/>
        <v>0</v>
      </c>
      <c r="S222" s="250">
        <f t="shared" si="72"/>
        <v>0</v>
      </c>
      <c r="T222" s="858">
        <f t="shared" si="73"/>
        <v>0</v>
      </c>
      <c r="U222" s="2908">
        <f t="shared" si="67"/>
        <v>0</v>
      </c>
      <c r="V222" s="2908">
        <f t="shared" si="68"/>
        <v>0</v>
      </c>
      <c r="W222" s="955"/>
      <c r="X222" s="2908">
        <f t="shared" si="69"/>
        <v>0</v>
      </c>
      <c r="Y222" s="2908">
        <f t="shared" si="70"/>
        <v>0</v>
      </c>
      <c r="Z222" s="955"/>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0</v>
      </c>
      <c r="R223" s="597">
        <f t="shared" si="71"/>
        <v>0</v>
      </c>
      <c r="S223" s="250">
        <f t="shared" si="72"/>
        <v>0</v>
      </c>
      <c r="T223" s="858">
        <f t="shared" si="73"/>
        <v>0</v>
      </c>
      <c r="U223" s="2908">
        <f t="shared" si="67"/>
        <v>0</v>
      </c>
      <c r="V223" s="2908">
        <f t="shared" si="68"/>
        <v>0</v>
      </c>
      <c r="W223" s="955"/>
      <c r="X223" s="2908">
        <f t="shared" si="69"/>
        <v>0</v>
      </c>
      <c r="Y223" s="2908">
        <f t="shared" si="70"/>
        <v>0</v>
      </c>
      <c r="Z223" s="955"/>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0</v>
      </c>
      <c r="R224" s="597">
        <f t="shared" si="71"/>
        <v>0</v>
      </c>
      <c r="S224" s="250">
        <f t="shared" si="72"/>
        <v>0</v>
      </c>
      <c r="T224" s="858">
        <f t="shared" si="73"/>
        <v>0</v>
      </c>
      <c r="U224" s="2908">
        <f t="shared" si="67"/>
        <v>0</v>
      </c>
      <c r="V224" s="2908">
        <f t="shared" si="68"/>
        <v>0</v>
      </c>
      <c r="W224" s="955"/>
      <c r="X224" s="2908">
        <f t="shared" si="69"/>
        <v>0</v>
      </c>
      <c r="Y224" s="2908">
        <f t="shared" si="70"/>
        <v>0</v>
      </c>
      <c r="Z224" s="955"/>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0</v>
      </c>
      <c r="R225" s="597">
        <f t="shared" si="71"/>
        <v>0</v>
      </c>
      <c r="S225" s="250">
        <f t="shared" si="72"/>
        <v>0</v>
      </c>
      <c r="T225" s="858">
        <f t="shared" si="73"/>
        <v>0</v>
      </c>
      <c r="U225" s="2908">
        <f t="shared" si="67"/>
        <v>0</v>
      </c>
      <c r="V225" s="2908">
        <f t="shared" si="68"/>
        <v>0</v>
      </c>
      <c r="W225" s="955"/>
      <c r="X225" s="2908">
        <f t="shared" si="69"/>
        <v>0</v>
      </c>
      <c r="Y225" s="2908">
        <f t="shared" si="70"/>
        <v>0</v>
      </c>
      <c r="Z225" s="955"/>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0</v>
      </c>
      <c r="R226" s="597">
        <f t="shared" si="71"/>
        <v>0</v>
      </c>
      <c r="S226" s="250">
        <f t="shared" si="72"/>
        <v>0</v>
      </c>
      <c r="T226" s="858">
        <f t="shared" si="73"/>
        <v>0</v>
      </c>
      <c r="U226" s="2908">
        <f t="shared" si="67"/>
        <v>0</v>
      </c>
      <c r="V226" s="2908">
        <f t="shared" si="68"/>
        <v>0</v>
      </c>
      <c r="W226" s="955"/>
      <c r="X226" s="2908">
        <f t="shared" si="69"/>
        <v>0</v>
      </c>
      <c r="Y226" s="2908">
        <f t="shared" si="70"/>
        <v>0</v>
      </c>
      <c r="Z226" s="955"/>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0</v>
      </c>
      <c r="R227" s="597">
        <f t="shared" si="71"/>
        <v>0</v>
      </c>
      <c r="S227" s="250">
        <f t="shared" si="72"/>
        <v>0</v>
      </c>
      <c r="T227" s="858">
        <f t="shared" si="73"/>
        <v>0</v>
      </c>
      <c r="U227" s="2908">
        <f t="shared" si="67"/>
        <v>0</v>
      </c>
      <c r="V227" s="2908">
        <f t="shared" si="68"/>
        <v>0</v>
      </c>
      <c r="W227" s="955"/>
      <c r="X227" s="2908">
        <f t="shared" si="69"/>
        <v>0</v>
      </c>
      <c r="Y227" s="2908">
        <f t="shared" si="70"/>
        <v>0</v>
      </c>
      <c r="Z227" s="955"/>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0</v>
      </c>
      <c r="R228" s="597">
        <f t="shared" si="71"/>
        <v>0</v>
      </c>
      <c r="S228" s="250">
        <f t="shared" si="72"/>
        <v>0</v>
      </c>
      <c r="T228" s="858">
        <f t="shared" si="73"/>
        <v>0</v>
      </c>
      <c r="U228" s="2908">
        <f t="shared" si="67"/>
        <v>0</v>
      </c>
      <c r="V228" s="2908">
        <f t="shared" si="68"/>
        <v>0</v>
      </c>
      <c r="W228" s="955"/>
      <c r="X228" s="2908">
        <f t="shared" si="69"/>
        <v>0</v>
      </c>
      <c r="Y228" s="2908">
        <f t="shared" si="70"/>
        <v>0</v>
      </c>
      <c r="Z228" s="955"/>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0</v>
      </c>
      <c r="R229" s="597">
        <f t="shared" si="71"/>
        <v>0</v>
      </c>
      <c r="S229" s="250">
        <f t="shared" si="72"/>
        <v>0</v>
      </c>
      <c r="T229" s="858">
        <f t="shared" si="73"/>
        <v>0</v>
      </c>
      <c r="U229" s="2908">
        <f t="shared" si="67"/>
        <v>0</v>
      </c>
      <c r="V229" s="2908">
        <f t="shared" si="68"/>
        <v>0</v>
      </c>
      <c r="W229" s="955"/>
      <c r="X229" s="2908">
        <f t="shared" si="69"/>
        <v>0</v>
      </c>
      <c r="Y229" s="2908">
        <f t="shared" si="70"/>
        <v>0</v>
      </c>
      <c r="Z229" s="955"/>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0</v>
      </c>
      <c r="R230" s="597">
        <f t="shared" si="71"/>
        <v>0</v>
      </c>
      <c r="S230" s="250">
        <f t="shared" si="72"/>
        <v>0</v>
      </c>
      <c r="T230" s="858">
        <f t="shared" si="73"/>
        <v>0</v>
      </c>
      <c r="U230" s="2908">
        <f t="shared" si="67"/>
        <v>0</v>
      </c>
      <c r="V230" s="2908">
        <f t="shared" si="68"/>
        <v>0</v>
      </c>
      <c r="W230" s="955"/>
      <c r="X230" s="2908">
        <f t="shared" si="69"/>
        <v>0</v>
      </c>
      <c r="Y230" s="2908">
        <f t="shared" si="70"/>
        <v>0</v>
      </c>
      <c r="Z230" s="955"/>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0</v>
      </c>
      <c r="R231" s="597">
        <f t="shared" si="71"/>
        <v>0</v>
      </c>
      <c r="S231" s="250">
        <f t="shared" si="72"/>
        <v>0</v>
      </c>
      <c r="T231" s="858">
        <f t="shared" si="73"/>
        <v>0</v>
      </c>
      <c r="U231" s="2908">
        <f t="shared" si="67"/>
        <v>0</v>
      </c>
      <c r="V231" s="2908">
        <f t="shared" si="68"/>
        <v>0</v>
      </c>
      <c r="W231" s="955"/>
      <c r="X231" s="2908">
        <f t="shared" si="69"/>
        <v>0</v>
      </c>
      <c r="Y231" s="2908">
        <f t="shared" si="70"/>
        <v>0</v>
      </c>
      <c r="Z231" s="955"/>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0</v>
      </c>
      <c r="R232" s="597">
        <f t="shared" si="71"/>
        <v>0</v>
      </c>
      <c r="S232" s="250">
        <f t="shared" si="72"/>
        <v>0</v>
      </c>
      <c r="T232" s="858">
        <f t="shared" si="73"/>
        <v>0</v>
      </c>
      <c r="U232" s="2908">
        <f t="shared" si="67"/>
        <v>0</v>
      </c>
      <c r="V232" s="2908">
        <f t="shared" si="68"/>
        <v>0</v>
      </c>
      <c r="W232" s="955"/>
      <c r="X232" s="2908">
        <f t="shared" si="69"/>
        <v>0</v>
      </c>
      <c r="Y232" s="2908">
        <f t="shared" si="70"/>
        <v>0</v>
      </c>
      <c r="Z232" s="955"/>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0</v>
      </c>
      <c r="R233" s="597">
        <f t="shared" si="71"/>
        <v>0</v>
      </c>
      <c r="S233" s="250">
        <f t="shared" si="72"/>
        <v>0</v>
      </c>
      <c r="T233" s="858">
        <f t="shared" si="73"/>
        <v>0</v>
      </c>
      <c r="U233" s="2908">
        <f t="shared" si="67"/>
        <v>0</v>
      </c>
      <c r="V233" s="2908">
        <f t="shared" si="68"/>
        <v>0</v>
      </c>
      <c r="W233" s="955"/>
      <c r="X233" s="2908">
        <f t="shared" si="69"/>
        <v>0</v>
      </c>
      <c r="Y233" s="2908">
        <f t="shared" si="70"/>
        <v>0</v>
      </c>
      <c r="Z233" s="955"/>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0</v>
      </c>
      <c r="R234" s="597">
        <f t="shared" si="71"/>
        <v>0</v>
      </c>
      <c r="S234" s="250">
        <f t="shared" si="72"/>
        <v>0</v>
      </c>
      <c r="T234" s="858">
        <f t="shared" si="73"/>
        <v>0</v>
      </c>
      <c r="U234" s="2908">
        <f t="shared" si="67"/>
        <v>0</v>
      </c>
      <c r="V234" s="2908">
        <f t="shared" si="68"/>
        <v>0</v>
      </c>
      <c r="W234" s="955"/>
      <c r="X234" s="2908">
        <f t="shared" si="69"/>
        <v>0</v>
      </c>
      <c r="Y234" s="2908">
        <f t="shared" si="70"/>
        <v>0</v>
      </c>
      <c r="Z234" s="955"/>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0</v>
      </c>
      <c r="R235" s="597">
        <f t="shared" si="71"/>
        <v>0</v>
      </c>
      <c r="S235" s="250">
        <f t="shared" si="72"/>
        <v>0</v>
      </c>
      <c r="T235" s="858">
        <f t="shared" si="73"/>
        <v>0</v>
      </c>
      <c r="U235" s="2908">
        <f t="shared" si="67"/>
        <v>0</v>
      </c>
      <c r="V235" s="2908">
        <f t="shared" si="68"/>
        <v>0</v>
      </c>
      <c r="W235" s="955"/>
      <c r="X235" s="2908">
        <f t="shared" si="69"/>
        <v>0</v>
      </c>
      <c r="Y235" s="2908">
        <f t="shared" si="70"/>
        <v>0</v>
      </c>
      <c r="Z235" s="955"/>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0</v>
      </c>
      <c r="R236" s="597">
        <f t="shared" si="71"/>
        <v>0</v>
      </c>
      <c r="S236" s="250">
        <f t="shared" si="72"/>
        <v>0</v>
      </c>
      <c r="T236" s="858">
        <f t="shared" si="73"/>
        <v>0</v>
      </c>
      <c r="U236" s="2908">
        <f t="shared" si="67"/>
        <v>0</v>
      </c>
      <c r="V236" s="2908">
        <f t="shared" si="68"/>
        <v>0</v>
      </c>
      <c r="W236" s="955"/>
      <c r="X236" s="2908">
        <f t="shared" si="69"/>
        <v>0</v>
      </c>
      <c r="Y236" s="2908">
        <f t="shared" si="70"/>
        <v>0</v>
      </c>
      <c r="Z236" s="955"/>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0</v>
      </c>
      <c r="R237" s="597">
        <f t="shared" si="71"/>
        <v>0</v>
      </c>
      <c r="S237" s="250">
        <f t="shared" si="72"/>
        <v>0</v>
      </c>
      <c r="T237" s="858">
        <f t="shared" si="73"/>
        <v>0</v>
      </c>
      <c r="U237" s="2908">
        <f t="shared" si="67"/>
        <v>0</v>
      </c>
      <c r="V237" s="2908">
        <f t="shared" si="68"/>
        <v>0</v>
      </c>
      <c r="W237" s="955"/>
      <c r="X237" s="2908">
        <f t="shared" si="69"/>
        <v>0</v>
      </c>
      <c r="Y237" s="2908">
        <f t="shared" si="70"/>
        <v>0</v>
      </c>
      <c r="Z237" s="955"/>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0</v>
      </c>
      <c r="R238" s="597">
        <f t="shared" si="71"/>
        <v>0</v>
      </c>
      <c r="S238" s="250">
        <f t="shared" si="72"/>
        <v>0</v>
      </c>
      <c r="T238" s="858">
        <f t="shared" si="73"/>
        <v>0</v>
      </c>
      <c r="U238" s="2908">
        <f t="shared" si="67"/>
        <v>0</v>
      </c>
      <c r="V238" s="2908">
        <f t="shared" si="68"/>
        <v>0</v>
      </c>
      <c r="W238" s="955"/>
      <c r="X238" s="2908">
        <f t="shared" si="69"/>
        <v>0</v>
      </c>
      <c r="Y238" s="2908">
        <f t="shared" si="70"/>
        <v>0</v>
      </c>
      <c r="Z238" s="955"/>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0</v>
      </c>
      <c r="R239" s="597">
        <f t="shared" si="71"/>
        <v>0</v>
      </c>
      <c r="S239" s="250">
        <f t="shared" si="72"/>
        <v>0</v>
      </c>
      <c r="T239" s="858">
        <f t="shared" si="73"/>
        <v>0</v>
      </c>
      <c r="U239" s="2908">
        <f t="shared" si="67"/>
        <v>0</v>
      </c>
      <c r="V239" s="2908">
        <f t="shared" si="68"/>
        <v>0</v>
      </c>
      <c r="W239" s="955"/>
      <c r="X239" s="2908">
        <f t="shared" si="69"/>
        <v>0</v>
      </c>
      <c r="Y239" s="2908">
        <f t="shared" si="70"/>
        <v>0</v>
      </c>
      <c r="Z239" s="955"/>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0</v>
      </c>
      <c r="R240" s="597">
        <f t="shared" si="71"/>
        <v>0</v>
      </c>
      <c r="S240" s="250">
        <f t="shared" si="72"/>
        <v>0</v>
      </c>
      <c r="T240" s="858">
        <f t="shared" si="73"/>
        <v>0</v>
      </c>
      <c r="U240" s="2908">
        <f t="shared" si="67"/>
        <v>0</v>
      </c>
      <c r="V240" s="2908">
        <f t="shared" si="68"/>
        <v>0</v>
      </c>
      <c r="W240" s="955"/>
      <c r="X240" s="2908">
        <f t="shared" si="69"/>
        <v>0</v>
      </c>
      <c r="Y240" s="2908">
        <f t="shared" si="70"/>
        <v>0</v>
      </c>
      <c r="Z240" s="955"/>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0</v>
      </c>
      <c r="R241" s="597">
        <f t="shared" si="71"/>
        <v>0</v>
      </c>
      <c r="S241" s="250">
        <f t="shared" si="72"/>
        <v>0</v>
      </c>
      <c r="T241" s="858">
        <f t="shared" si="73"/>
        <v>0</v>
      </c>
      <c r="U241" s="2908">
        <f t="shared" si="67"/>
        <v>0</v>
      </c>
      <c r="V241" s="2908">
        <f t="shared" si="68"/>
        <v>0</v>
      </c>
      <c r="W241" s="955"/>
      <c r="X241" s="2908">
        <f t="shared" si="69"/>
        <v>0</v>
      </c>
      <c r="Y241" s="2908">
        <f t="shared" si="70"/>
        <v>0</v>
      </c>
      <c r="Z241" s="955"/>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0</v>
      </c>
      <c r="R242" s="597">
        <f t="shared" si="71"/>
        <v>0</v>
      </c>
      <c r="S242" s="250">
        <f t="shared" si="72"/>
        <v>0</v>
      </c>
      <c r="T242" s="858">
        <f t="shared" si="73"/>
        <v>0</v>
      </c>
      <c r="U242" s="2908">
        <f t="shared" si="67"/>
        <v>0</v>
      </c>
      <c r="V242" s="2908">
        <f t="shared" si="68"/>
        <v>0</v>
      </c>
      <c r="W242" s="955"/>
      <c r="X242" s="2908">
        <f t="shared" si="69"/>
        <v>0</v>
      </c>
      <c r="Y242" s="2908">
        <f t="shared" si="70"/>
        <v>0</v>
      </c>
      <c r="Z242" s="955"/>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0</v>
      </c>
      <c r="R243" s="597">
        <f t="shared" si="71"/>
        <v>0</v>
      </c>
      <c r="S243" s="250">
        <f t="shared" si="72"/>
        <v>0</v>
      </c>
      <c r="T243" s="858">
        <f t="shared" si="73"/>
        <v>0</v>
      </c>
      <c r="U243" s="2908">
        <f t="shared" si="67"/>
        <v>0</v>
      </c>
      <c r="V243" s="2908">
        <f t="shared" si="68"/>
        <v>0</v>
      </c>
      <c r="W243" s="955"/>
      <c r="X243" s="2908">
        <f t="shared" si="69"/>
        <v>0</v>
      </c>
      <c r="Y243" s="2908">
        <f t="shared" si="70"/>
        <v>0</v>
      </c>
      <c r="Z243" s="955"/>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0</v>
      </c>
      <c r="R244" s="597">
        <f t="shared" si="71"/>
        <v>0</v>
      </c>
      <c r="S244" s="250">
        <f t="shared" si="72"/>
        <v>0</v>
      </c>
      <c r="T244" s="858">
        <f t="shared" si="73"/>
        <v>0</v>
      </c>
      <c r="U244" s="2908">
        <f t="shared" si="67"/>
        <v>0</v>
      </c>
      <c r="V244" s="2908">
        <f t="shared" si="68"/>
        <v>0</v>
      </c>
      <c r="W244" s="955"/>
      <c r="X244" s="2908">
        <f t="shared" si="69"/>
        <v>0</v>
      </c>
      <c r="Y244" s="2908">
        <f t="shared" si="70"/>
        <v>0</v>
      </c>
      <c r="Z244" s="955"/>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0</v>
      </c>
      <c r="R245" s="597">
        <f t="shared" si="71"/>
        <v>0</v>
      </c>
      <c r="S245" s="250">
        <f t="shared" si="72"/>
        <v>0</v>
      </c>
      <c r="T245" s="858">
        <f t="shared" si="73"/>
        <v>0</v>
      </c>
      <c r="U245" s="2908">
        <f t="shared" si="67"/>
        <v>0</v>
      </c>
      <c r="V245" s="2908">
        <f t="shared" si="68"/>
        <v>0</v>
      </c>
      <c r="W245" s="955"/>
      <c r="X245" s="2908">
        <f t="shared" si="69"/>
        <v>0</v>
      </c>
      <c r="Y245" s="2908">
        <f t="shared" si="70"/>
        <v>0</v>
      </c>
      <c r="Z245" s="955"/>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0</v>
      </c>
      <c r="R246" s="597">
        <f t="shared" si="71"/>
        <v>0</v>
      </c>
      <c r="S246" s="250">
        <f t="shared" si="72"/>
        <v>0</v>
      </c>
      <c r="T246" s="858">
        <f t="shared" si="73"/>
        <v>0</v>
      </c>
      <c r="U246" s="2908">
        <f t="shared" si="67"/>
        <v>0</v>
      </c>
      <c r="V246" s="2908">
        <f t="shared" si="68"/>
        <v>0</v>
      </c>
      <c r="W246" s="955"/>
      <c r="X246" s="2908">
        <f t="shared" si="69"/>
        <v>0</v>
      </c>
      <c r="Y246" s="2908">
        <f t="shared" si="70"/>
        <v>0</v>
      </c>
      <c r="Z246" s="955"/>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0</v>
      </c>
      <c r="R247" s="597">
        <f t="shared" si="71"/>
        <v>0</v>
      </c>
      <c r="S247" s="250">
        <f t="shared" si="72"/>
        <v>0</v>
      </c>
      <c r="T247" s="858">
        <f t="shared" si="73"/>
        <v>0</v>
      </c>
      <c r="U247" s="2908">
        <f t="shared" si="67"/>
        <v>0</v>
      </c>
      <c r="V247" s="2908">
        <f t="shared" si="68"/>
        <v>0</v>
      </c>
      <c r="W247" s="955"/>
      <c r="X247" s="2908">
        <f t="shared" si="69"/>
        <v>0</v>
      </c>
      <c r="Y247" s="2908">
        <f t="shared" si="70"/>
        <v>0</v>
      </c>
      <c r="Z247" s="955"/>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0</v>
      </c>
      <c r="R248" s="597">
        <f t="shared" si="71"/>
        <v>0</v>
      </c>
      <c r="S248" s="250">
        <f t="shared" si="72"/>
        <v>0</v>
      </c>
      <c r="T248" s="858">
        <f t="shared" si="73"/>
        <v>0</v>
      </c>
      <c r="U248" s="2908">
        <f t="shared" si="67"/>
        <v>0</v>
      </c>
      <c r="V248" s="2908">
        <f t="shared" si="68"/>
        <v>0</v>
      </c>
      <c r="W248" s="955"/>
      <c r="X248" s="2908">
        <f t="shared" si="69"/>
        <v>0</v>
      </c>
      <c r="Y248" s="2908">
        <f t="shared" si="70"/>
        <v>0</v>
      </c>
      <c r="Z248" s="955"/>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0</v>
      </c>
      <c r="R249" s="597">
        <f t="shared" si="71"/>
        <v>0</v>
      </c>
      <c r="S249" s="250">
        <f t="shared" si="72"/>
        <v>0</v>
      </c>
      <c r="T249" s="858">
        <f t="shared" si="73"/>
        <v>0</v>
      </c>
      <c r="U249" s="2908">
        <f t="shared" si="67"/>
        <v>0</v>
      </c>
      <c r="V249" s="2908">
        <f t="shared" si="68"/>
        <v>0</v>
      </c>
      <c r="W249" s="955"/>
      <c r="X249" s="2908">
        <f t="shared" si="69"/>
        <v>0</v>
      </c>
      <c r="Y249" s="2908">
        <f t="shared" si="70"/>
        <v>0</v>
      </c>
      <c r="Z249" s="955"/>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0</v>
      </c>
      <c r="R250" s="597">
        <f t="shared" si="71"/>
        <v>0</v>
      </c>
      <c r="S250" s="250">
        <f t="shared" si="72"/>
        <v>0</v>
      </c>
      <c r="T250" s="858">
        <f t="shared" si="73"/>
        <v>0</v>
      </c>
      <c r="U250" s="2908">
        <f t="shared" si="67"/>
        <v>0</v>
      </c>
      <c r="V250" s="2908">
        <f t="shared" si="68"/>
        <v>0</v>
      </c>
      <c r="W250" s="955"/>
      <c r="X250" s="2908">
        <f t="shared" si="69"/>
        <v>0</v>
      </c>
      <c r="Y250" s="2908">
        <f t="shared" si="70"/>
        <v>0</v>
      </c>
      <c r="Z250" s="955"/>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0</v>
      </c>
      <c r="R251" s="597">
        <f t="shared" si="71"/>
        <v>0</v>
      </c>
      <c r="S251" s="250">
        <f t="shared" si="72"/>
        <v>0</v>
      </c>
      <c r="T251" s="858">
        <f t="shared" si="73"/>
        <v>0</v>
      </c>
      <c r="U251" s="2908">
        <f t="shared" si="67"/>
        <v>0</v>
      </c>
      <c r="V251" s="2908">
        <f t="shared" si="68"/>
        <v>0</v>
      </c>
      <c r="W251" s="955"/>
      <c r="X251" s="2908">
        <f t="shared" si="69"/>
        <v>0</v>
      </c>
      <c r="Y251" s="2908">
        <f t="shared" si="70"/>
        <v>0</v>
      </c>
      <c r="Z251" s="955"/>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0</v>
      </c>
      <c r="R252" s="597">
        <f t="shared" si="71"/>
        <v>0</v>
      </c>
      <c r="S252" s="250">
        <f t="shared" si="72"/>
        <v>0</v>
      </c>
      <c r="T252" s="858">
        <f t="shared" si="73"/>
        <v>0</v>
      </c>
      <c r="U252" s="2908">
        <f t="shared" si="67"/>
        <v>0</v>
      </c>
      <c r="V252" s="2908">
        <f t="shared" si="68"/>
        <v>0</v>
      </c>
      <c r="W252" s="955"/>
      <c r="X252" s="2908">
        <f t="shared" si="69"/>
        <v>0</v>
      </c>
      <c r="Y252" s="2908">
        <f t="shared" si="70"/>
        <v>0</v>
      </c>
      <c r="Z252" s="955"/>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0</v>
      </c>
      <c r="R253" s="597">
        <f t="shared" si="71"/>
        <v>0</v>
      </c>
      <c r="S253" s="250">
        <f t="shared" si="72"/>
        <v>0</v>
      </c>
      <c r="T253" s="858">
        <f t="shared" si="73"/>
        <v>0</v>
      </c>
      <c r="U253" s="2908">
        <f t="shared" si="67"/>
        <v>0</v>
      </c>
      <c r="V253" s="2908">
        <f t="shared" si="68"/>
        <v>0</v>
      </c>
      <c r="W253" s="955"/>
      <c r="X253" s="2908">
        <f t="shared" si="69"/>
        <v>0</v>
      </c>
      <c r="Y253" s="2908">
        <f t="shared" si="70"/>
        <v>0</v>
      </c>
      <c r="Z253" s="955"/>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0</v>
      </c>
      <c r="R254" s="597">
        <f t="shared" si="71"/>
        <v>0</v>
      </c>
      <c r="S254" s="250">
        <f t="shared" si="72"/>
        <v>0</v>
      </c>
      <c r="T254" s="858">
        <f t="shared" si="73"/>
        <v>0</v>
      </c>
      <c r="U254" s="2908">
        <f t="shared" si="67"/>
        <v>0</v>
      </c>
      <c r="V254" s="2908">
        <f t="shared" si="68"/>
        <v>0</v>
      </c>
      <c r="W254" s="955"/>
      <c r="X254" s="2908">
        <f t="shared" si="69"/>
        <v>0</v>
      </c>
      <c r="Y254" s="2908">
        <f t="shared" si="70"/>
        <v>0</v>
      </c>
      <c r="Z254" s="955"/>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0</v>
      </c>
      <c r="R255" s="597">
        <f t="shared" si="71"/>
        <v>0</v>
      </c>
      <c r="S255" s="250">
        <f t="shared" si="72"/>
        <v>0</v>
      </c>
      <c r="T255" s="858">
        <f t="shared" si="73"/>
        <v>0</v>
      </c>
      <c r="U255" s="2908">
        <f t="shared" si="67"/>
        <v>0</v>
      </c>
      <c r="V255" s="2908">
        <f t="shared" si="68"/>
        <v>0</v>
      </c>
      <c r="W255" s="955"/>
      <c r="X255" s="2908">
        <f t="shared" si="69"/>
        <v>0</v>
      </c>
      <c r="Y255" s="2908">
        <f t="shared" si="70"/>
        <v>0</v>
      </c>
      <c r="Z255" s="955"/>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0</v>
      </c>
      <c r="R256" s="597">
        <f t="shared" si="71"/>
        <v>0</v>
      </c>
      <c r="S256" s="250">
        <f t="shared" si="72"/>
        <v>0</v>
      </c>
      <c r="T256" s="858">
        <f t="shared" si="73"/>
        <v>0</v>
      </c>
      <c r="U256" s="2908">
        <f t="shared" si="67"/>
        <v>0</v>
      </c>
      <c r="V256" s="2908">
        <f t="shared" si="68"/>
        <v>0</v>
      </c>
      <c r="W256" s="955"/>
      <c r="X256" s="2908">
        <f t="shared" si="69"/>
        <v>0</v>
      </c>
      <c r="Y256" s="2908">
        <f t="shared" si="70"/>
        <v>0</v>
      </c>
      <c r="Z256" s="955"/>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0</v>
      </c>
      <c r="R257" s="597">
        <f t="shared" si="71"/>
        <v>0</v>
      </c>
      <c r="S257" s="250">
        <f t="shared" si="72"/>
        <v>0</v>
      </c>
      <c r="T257" s="858">
        <f t="shared" si="73"/>
        <v>0</v>
      </c>
      <c r="U257" s="2908">
        <f t="shared" si="67"/>
        <v>0</v>
      </c>
      <c r="V257" s="2908">
        <f t="shared" si="68"/>
        <v>0</v>
      </c>
      <c r="W257" s="955"/>
      <c r="X257" s="2908">
        <f t="shared" si="69"/>
        <v>0</v>
      </c>
      <c r="Y257" s="2908">
        <f t="shared" si="70"/>
        <v>0</v>
      </c>
      <c r="Z257" s="955"/>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0</v>
      </c>
      <c r="R258" s="597">
        <f t="shared" si="71"/>
        <v>0</v>
      </c>
      <c r="S258" s="250">
        <f t="shared" si="72"/>
        <v>0</v>
      </c>
      <c r="T258" s="858">
        <f t="shared" si="73"/>
        <v>0</v>
      </c>
      <c r="U258" s="2908">
        <f t="shared" si="67"/>
        <v>0</v>
      </c>
      <c r="V258" s="2908">
        <f t="shared" si="68"/>
        <v>0</v>
      </c>
      <c r="W258" s="955"/>
      <c r="X258" s="2908">
        <f t="shared" si="69"/>
        <v>0</v>
      </c>
      <c r="Y258" s="2908">
        <f t="shared" si="70"/>
        <v>0</v>
      </c>
      <c r="Z258" s="955"/>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0</v>
      </c>
      <c r="R259" s="597">
        <f t="shared" si="71"/>
        <v>0</v>
      </c>
      <c r="S259" s="250">
        <f t="shared" si="72"/>
        <v>0</v>
      </c>
      <c r="T259" s="858">
        <f t="shared" si="73"/>
        <v>0</v>
      </c>
      <c r="U259" s="2908">
        <f t="shared" si="67"/>
        <v>0</v>
      </c>
      <c r="V259" s="2908">
        <f t="shared" si="68"/>
        <v>0</v>
      </c>
      <c r="W259" s="955"/>
      <c r="X259" s="2908">
        <f t="shared" si="69"/>
        <v>0</v>
      </c>
      <c r="Y259" s="2908">
        <f t="shared" si="70"/>
        <v>0</v>
      </c>
      <c r="Z259" s="955"/>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0</v>
      </c>
      <c r="R260" s="597">
        <f t="shared" si="71"/>
        <v>0</v>
      </c>
      <c r="S260" s="250">
        <f t="shared" si="72"/>
        <v>0</v>
      </c>
      <c r="T260" s="858">
        <f t="shared" si="73"/>
        <v>0</v>
      </c>
      <c r="U260" s="2908">
        <f t="shared" si="67"/>
        <v>0</v>
      </c>
      <c r="V260" s="2908">
        <f t="shared" si="68"/>
        <v>0</v>
      </c>
      <c r="W260" s="955"/>
      <c r="X260" s="2908">
        <f t="shared" si="69"/>
        <v>0</v>
      </c>
      <c r="Y260" s="2908">
        <f t="shared" si="70"/>
        <v>0</v>
      </c>
      <c r="Z260" s="955"/>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0</v>
      </c>
      <c r="R261" s="597">
        <f t="shared" si="71"/>
        <v>0</v>
      </c>
      <c r="S261" s="250">
        <f t="shared" si="72"/>
        <v>0</v>
      </c>
      <c r="T261" s="858">
        <f t="shared" si="73"/>
        <v>0</v>
      </c>
      <c r="U261" s="2908">
        <f t="shared" si="67"/>
        <v>0</v>
      </c>
      <c r="V261" s="2908">
        <f t="shared" si="68"/>
        <v>0</v>
      </c>
      <c r="W261" s="955"/>
      <c r="X261" s="2908">
        <f t="shared" si="69"/>
        <v>0</v>
      </c>
      <c r="Y261" s="2908">
        <f t="shared" si="70"/>
        <v>0</v>
      </c>
      <c r="Z261" s="955"/>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0</v>
      </c>
      <c r="R262" s="597">
        <f t="shared" si="71"/>
        <v>0</v>
      </c>
      <c r="S262" s="250">
        <f t="shared" si="72"/>
        <v>0</v>
      </c>
      <c r="T262" s="858">
        <f t="shared" si="73"/>
        <v>0</v>
      </c>
      <c r="U262" s="2908">
        <f t="shared" si="67"/>
        <v>0</v>
      </c>
      <c r="V262" s="2908">
        <f t="shared" si="68"/>
        <v>0</v>
      </c>
      <c r="W262" s="955"/>
      <c r="X262" s="2908">
        <f t="shared" si="69"/>
        <v>0</v>
      </c>
      <c r="Y262" s="2908">
        <f t="shared" si="70"/>
        <v>0</v>
      </c>
      <c r="Z262" s="955"/>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0</v>
      </c>
      <c r="R263" s="597">
        <f t="shared" si="71"/>
        <v>0</v>
      </c>
      <c r="S263" s="250">
        <f t="shared" si="72"/>
        <v>0</v>
      </c>
      <c r="T263" s="858">
        <f t="shared" si="73"/>
        <v>0</v>
      </c>
      <c r="U263" s="2908">
        <f t="shared" si="67"/>
        <v>0</v>
      </c>
      <c r="V263" s="2908">
        <f t="shared" si="68"/>
        <v>0</v>
      </c>
      <c r="W263" s="955"/>
      <c r="X263" s="2908">
        <f t="shared" si="69"/>
        <v>0</v>
      </c>
      <c r="Y263" s="2908">
        <f t="shared" si="70"/>
        <v>0</v>
      </c>
      <c r="Z263" s="955"/>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0</v>
      </c>
      <c r="R264" s="597">
        <f t="shared" si="71"/>
        <v>0</v>
      </c>
      <c r="S264" s="250">
        <f t="shared" si="72"/>
        <v>0</v>
      </c>
      <c r="T264" s="858">
        <f t="shared" si="73"/>
        <v>0</v>
      </c>
      <c r="U264" s="2908">
        <f t="shared" si="67"/>
        <v>0</v>
      </c>
      <c r="V264" s="2908">
        <f t="shared" si="68"/>
        <v>0</v>
      </c>
      <c r="W264" s="955"/>
      <c r="X264" s="2908">
        <f t="shared" si="69"/>
        <v>0</v>
      </c>
      <c r="Y264" s="2908">
        <f t="shared" si="70"/>
        <v>0</v>
      </c>
      <c r="Z264" s="955"/>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0</v>
      </c>
      <c r="R265" s="597">
        <f t="shared" si="71"/>
        <v>0</v>
      </c>
      <c r="S265" s="250">
        <f t="shared" si="72"/>
        <v>0</v>
      </c>
      <c r="T265" s="858">
        <f t="shared" si="73"/>
        <v>0</v>
      </c>
      <c r="U265" s="2908">
        <f t="shared" si="67"/>
        <v>0</v>
      </c>
      <c r="V265" s="2908">
        <f t="shared" si="68"/>
        <v>0</v>
      </c>
      <c r="W265" s="955"/>
      <c r="X265" s="2908">
        <f t="shared" si="69"/>
        <v>0</v>
      </c>
      <c r="Y265" s="2908">
        <f t="shared" si="70"/>
        <v>0</v>
      </c>
      <c r="Z265" s="955"/>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0</v>
      </c>
      <c r="R266" s="597">
        <f t="shared" si="71"/>
        <v>0</v>
      </c>
      <c r="S266" s="250">
        <f t="shared" si="72"/>
        <v>0</v>
      </c>
      <c r="T266" s="858">
        <f t="shared" si="73"/>
        <v>0</v>
      </c>
      <c r="U266" s="2908">
        <f t="shared" si="67"/>
        <v>0</v>
      </c>
      <c r="V266" s="2908">
        <f t="shared" si="68"/>
        <v>0</v>
      </c>
      <c r="W266" s="955"/>
      <c r="X266" s="2908">
        <f t="shared" si="69"/>
        <v>0</v>
      </c>
      <c r="Y266" s="2908">
        <f t="shared" si="70"/>
        <v>0</v>
      </c>
      <c r="Z266" s="955"/>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0</v>
      </c>
      <c r="R267" s="597">
        <f t="shared" si="71"/>
        <v>0</v>
      </c>
      <c r="S267" s="250">
        <f t="shared" si="72"/>
        <v>0</v>
      </c>
      <c r="T267" s="858">
        <f t="shared" si="73"/>
        <v>0</v>
      </c>
      <c r="U267" s="2908">
        <f t="shared" si="67"/>
        <v>0</v>
      </c>
      <c r="V267" s="2908">
        <f t="shared" si="68"/>
        <v>0</v>
      </c>
      <c r="W267" s="955"/>
      <c r="X267" s="2908">
        <f t="shared" si="69"/>
        <v>0</v>
      </c>
      <c r="Y267" s="2908">
        <f t="shared" si="70"/>
        <v>0</v>
      </c>
      <c r="Z267" s="955"/>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0</v>
      </c>
      <c r="R268" s="597">
        <f t="shared" si="71"/>
        <v>0</v>
      </c>
      <c r="S268" s="250">
        <f t="shared" si="72"/>
        <v>0</v>
      </c>
      <c r="T268" s="858">
        <f t="shared" si="73"/>
        <v>0</v>
      </c>
      <c r="U268" s="2908">
        <f t="shared" si="67"/>
        <v>0</v>
      </c>
      <c r="V268" s="2908">
        <f t="shared" si="68"/>
        <v>0</v>
      </c>
      <c r="W268" s="955"/>
      <c r="X268" s="2908">
        <f t="shared" si="69"/>
        <v>0</v>
      </c>
      <c r="Y268" s="2908">
        <f t="shared" si="70"/>
        <v>0</v>
      </c>
      <c r="Z268" s="955"/>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0</v>
      </c>
      <c r="R269" s="597">
        <f t="shared" si="71"/>
        <v>0</v>
      </c>
      <c r="S269" s="250">
        <f t="shared" si="72"/>
        <v>0</v>
      </c>
      <c r="T269" s="858">
        <f t="shared" si="73"/>
        <v>0</v>
      </c>
      <c r="U269" s="2908">
        <f t="shared" si="67"/>
        <v>0</v>
      </c>
      <c r="V269" s="2908">
        <f t="shared" si="68"/>
        <v>0</v>
      </c>
      <c r="W269" s="955"/>
      <c r="X269" s="2908">
        <f t="shared" si="69"/>
        <v>0</v>
      </c>
      <c r="Y269" s="2908">
        <f t="shared" si="70"/>
        <v>0</v>
      </c>
      <c r="Z269" s="955"/>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0</v>
      </c>
      <c r="R270" s="597">
        <f t="shared" si="71"/>
        <v>0</v>
      </c>
      <c r="S270" s="250">
        <f t="shared" si="72"/>
        <v>0</v>
      </c>
      <c r="T270" s="858">
        <f t="shared" si="73"/>
        <v>0</v>
      </c>
      <c r="U270" s="2908">
        <f t="shared" si="67"/>
        <v>0</v>
      </c>
      <c r="V270" s="2908">
        <f t="shared" si="68"/>
        <v>0</v>
      </c>
      <c r="W270" s="955"/>
      <c r="X270" s="2908">
        <f t="shared" si="69"/>
        <v>0</v>
      </c>
      <c r="Y270" s="2908">
        <f t="shared" si="70"/>
        <v>0</v>
      </c>
      <c r="Z270" s="955"/>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0</v>
      </c>
      <c r="R271" s="597">
        <f t="shared" si="71"/>
        <v>0</v>
      </c>
      <c r="S271" s="250">
        <f t="shared" si="72"/>
        <v>0</v>
      </c>
      <c r="T271" s="858">
        <f t="shared" si="73"/>
        <v>0</v>
      </c>
      <c r="U271" s="2908">
        <f t="shared" si="67"/>
        <v>0</v>
      </c>
      <c r="V271" s="2908">
        <f t="shared" si="68"/>
        <v>0</v>
      </c>
      <c r="W271" s="955"/>
      <c r="X271" s="2908">
        <f t="shared" si="69"/>
        <v>0</v>
      </c>
      <c r="Y271" s="2908">
        <f t="shared" si="70"/>
        <v>0</v>
      </c>
      <c r="Z271" s="955"/>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0</v>
      </c>
      <c r="R272" s="597">
        <f t="shared" si="71"/>
        <v>0</v>
      </c>
      <c r="S272" s="250">
        <f t="shared" si="72"/>
        <v>0</v>
      </c>
      <c r="T272" s="858">
        <f t="shared" si="73"/>
        <v>0</v>
      </c>
      <c r="U272" s="2908">
        <f t="shared" si="67"/>
        <v>0</v>
      </c>
      <c r="V272" s="2908">
        <f t="shared" si="68"/>
        <v>0</v>
      </c>
      <c r="W272" s="955"/>
      <c r="X272" s="2908">
        <f t="shared" si="69"/>
        <v>0</v>
      </c>
      <c r="Y272" s="2908">
        <f t="shared" si="70"/>
        <v>0</v>
      </c>
      <c r="Z272" s="955"/>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0</v>
      </c>
      <c r="R273" s="597">
        <f t="shared" si="71"/>
        <v>0</v>
      </c>
      <c r="S273" s="250">
        <f t="shared" si="72"/>
        <v>0</v>
      </c>
      <c r="T273" s="858">
        <f t="shared" si="73"/>
        <v>0</v>
      </c>
      <c r="U273" s="2908">
        <f t="shared" si="67"/>
        <v>0</v>
      </c>
      <c r="V273" s="2908">
        <f t="shared" si="68"/>
        <v>0</v>
      </c>
      <c r="W273" s="955"/>
      <c r="X273" s="2908">
        <f t="shared" si="69"/>
        <v>0</v>
      </c>
      <c r="Y273" s="2908">
        <f t="shared" si="70"/>
        <v>0</v>
      </c>
      <c r="Z273" s="955"/>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0</v>
      </c>
      <c r="R274" s="597">
        <f t="shared" si="71"/>
        <v>0</v>
      </c>
      <c r="S274" s="250">
        <f t="shared" si="72"/>
        <v>0</v>
      </c>
      <c r="T274" s="858">
        <f t="shared" si="73"/>
        <v>0</v>
      </c>
      <c r="U274" s="2908">
        <f t="shared" si="67"/>
        <v>0</v>
      </c>
      <c r="V274" s="2908">
        <f t="shared" si="68"/>
        <v>0</v>
      </c>
      <c r="W274" s="955"/>
      <c r="X274" s="2908">
        <f t="shared" si="69"/>
        <v>0</v>
      </c>
      <c r="Y274" s="2908">
        <f t="shared" si="70"/>
        <v>0</v>
      </c>
      <c r="Z274" s="955"/>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0</v>
      </c>
      <c r="R275" s="597">
        <f t="shared" si="71"/>
        <v>0</v>
      </c>
      <c r="S275" s="250">
        <f t="shared" si="72"/>
        <v>0</v>
      </c>
      <c r="T275" s="858">
        <f t="shared" si="73"/>
        <v>0</v>
      </c>
      <c r="U275" s="2908">
        <f t="shared" si="67"/>
        <v>0</v>
      </c>
      <c r="V275" s="2908">
        <f t="shared" si="68"/>
        <v>0</v>
      </c>
      <c r="W275" s="955"/>
      <c r="X275" s="2908">
        <f t="shared" si="69"/>
        <v>0</v>
      </c>
      <c r="Y275" s="2908">
        <f t="shared" si="70"/>
        <v>0</v>
      </c>
      <c r="Z275" s="955"/>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0</v>
      </c>
      <c r="R276" s="597">
        <f t="shared" si="71"/>
        <v>0</v>
      </c>
      <c r="S276" s="250">
        <f t="shared" si="72"/>
        <v>0</v>
      </c>
      <c r="T276" s="858">
        <f t="shared" si="73"/>
        <v>0</v>
      </c>
      <c r="U276" s="2908">
        <f t="shared" si="67"/>
        <v>0</v>
      </c>
      <c r="V276" s="2908">
        <f t="shared" si="68"/>
        <v>0</v>
      </c>
      <c r="W276" s="955"/>
      <c r="X276" s="2908">
        <f t="shared" si="69"/>
        <v>0</v>
      </c>
      <c r="Y276" s="2908">
        <f t="shared" si="70"/>
        <v>0</v>
      </c>
      <c r="Z276" s="955"/>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0</v>
      </c>
      <c r="R277" s="597">
        <f t="shared" si="71"/>
        <v>0</v>
      </c>
      <c r="S277" s="250">
        <f t="shared" si="72"/>
        <v>0</v>
      </c>
      <c r="T277" s="858">
        <f t="shared" si="73"/>
        <v>0</v>
      </c>
      <c r="U277" s="2908">
        <f t="shared" si="67"/>
        <v>0</v>
      </c>
      <c r="V277" s="2908">
        <f t="shared" si="68"/>
        <v>0</v>
      </c>
      <c r="W277" s="955"/>
      <c r="X277" s="2908">
        <f t="shared" si="69"/>
        <v>0</v>
      </c>
      <c r="Y277" s="2908">
        <f t="shared" si="70"/>
        <v>0</v>
      </c>
      <c r="Z277" s="955"/>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0</v>
      </c>
      <c r="R278" s="597">
        <f t="shared" si="71"/>
        <v>0</v>
      </c>
      <c r="S278" s="250">
        <f t="shared" si="72"/>
        <v>0</v>
      </c>
      <c r="T278" s="858">
        <f t="shared" si="73"/>
        <v>0</v>
      </c>
      <c r="U278" s="2908">
        <f t="shared" si="67"/>
        <v>0</v>
      </c>
      <c r="V278" s="2908">
        <f t="shared" si="68"/>
        <v>0</v>
      </c>
      <c r="W278" s="955"/>
      <c r="X278" s="2908">
        <f t="shared" si="69"/>
        <v>0</v>
      </c>
      <c r="Y278" s="2908">
        <f t="shared" si="70"/>
        <v>0</v>
      </c>
      <c r="Z278" s="955"/>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0</v>
      </c>
      <c r="R279" s="597">
        <f t="shared" si="71"/>
        <v>0</v>
      </c>
      <c r="S279" s="250">
        <f t="shared" si="72"/>
        <v>0</v>
      </c>
      <c r="T279" s="858">
        <f t="shared" si="73"/>
        <v>0</v>
      </c>
      <c r="U279" s="2908">
        <f t="shared" si="67"/>
        <v>0</v>
      </c>
      <c r="V279" s="2908">
        <f t="shared" si="68"/>
        <v>0</v>
      </c>
      <c r="W279" s="955"/>
      <c r="X279" s="2908">
        <f t="shared" si="69"/>
        <v>0</v>
      </c>
      <c r="Y279" s="2908">
        <f t="shared" si="70"/>
        <v>0</v>
      </c>
      <c r="Z279" s="955"/>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0</v>
      </c>
      <c r="R280" s="597">
        <f t="shared" si="71"/>
        <v>0</v>
      </c>
      <c r="S280" s="250">
        <f t="shared" si="72"/>
        <v>0</v>
      </c>
      <c r="T280" s="858">
        <f t="shared" si="73"/>
        <v>0</v>
      </c>
      <c r="U280" s="2908">
        <f t="shared" si="67"/>
        <v>0</v>
      </c>
      <c r="V280" s="2908">
        <f t="shared" si="68"/>
        <v>0</v>
      </c>
      <c r="W280" s="955"/>
      <c r="X280" s="2908">
        <f t="shared" si="69"/>
        <v>0</v>
      </c>
      <c r="Y280" s="2908">
        <f t="shared" si="70"/>
        <v>0</v>
      </c>
      <c r="Z280" s="955"/>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0</v>
      </c>
      <c r="R281" s="597">
        <f t="shared" si="71"/>
        <v>0</v>
      </c>
      <c r="S281" s="250">
        <f t="shared" si="72"/>
        <v>0</v>
      </c>
      <c r="T281" s="858">
        <f t="shared" si="73"/>
        <v>0</v>
      </c>
      <c r="U281" s="2908">
        <f t="shared" si="67"/>
        <v>0</v>
      </c>
      <c r="V281" s="2908">
        <f t="shared" si="68"/>
        <v>0</v>
      </c>
      <c r="W281" s="955"/>
      <c r="X281" s="2908">
        <f t="shared" si="69"/>
        <v>0</v>
      </c>
      <c r="Y281" s="2908">
        <f t="shared" si="70"/>
        <v>0</v>
      </c>
      <c r="Z281" s="955"/>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0</v>
      </c>
      <c r="R282" s="597">
        <f t="shared" si="71"/>
        <v>0</v>
      </c>
      <c r="S282" s="250">
        <f t="shared" si="72"/>
        <v>0</v>
      </c>
      <c r="T282" s="858">
        <f t="shared" si="73"/>
        <v>0</v>
      </c>
      <c r="U282" s="2908">
        <f t="shared" si="67"/>
        <v>0</v>
      </c>
      <c r="V282" s="2908">
        <f t="shared" si="68"/>
        <v>0</v>
      </c>
      <c r="W282" s="955"/>
      <c r="X282" s="2908">
        <f t="shared" si="69"/>
        <v>0</v>
      </c>
      <c r="Y282" s="2908">
        <f t="shared" si="70"/>
        <v>0</v>
      </c>
      <c r="Z282" s="955"/>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0</v>
      </c>
      <c r="R283" s="597">
        <f t="shared" si="71"/>
        <v>0</v>
      </c>
      <c r="S283" s="250">
        <f t="shared" si="72"/>
        <v>0</v>
      </c>
      <c r="T283" s="858">
        <f t="shared" si="73"/>
        <v>0</v>
      </c>
      <c r="U283" s="2908">
        <f t="shared" si="67"/>
        <v>0</v>
      </c>
      <c r="V283" s="2908">
        <f t="shared" si="68"/>
        <v>0</v>
      </c>
      <c r="W283" s="955"/>
      <c r="X283" s="2908">
        <f t="shared" si="69"/>
        <v>0</v>
      </c>
      <c r="Y283" s="2908">
        <f t="shared" si="70"/>
        <v>0</v>
      </c>
      <c r="Z283" s="955"/>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v>
      </c>
      <c r="R284" s="597">
        <f t="shared" si="71"/>
        <v>0</v>
      </c>
      <c r="S284" s="250">
        <f t="shared" si="72"/>
        <v>0</v>
      </c>
      <c r="T284" s="858">
        <f t="shared" si="73"/>
        <v>0</v>
      </c>
      <c r="U284" s="2908">
        <f t="shared" ref="U284:U347" si="82">ROUND(W284*B284,0)</f>
        <v>0</v>
      </c>
      <c r="V284" s="2908">
        <f t="shared" ref="V284:V347" si="83">ROUND(W284*B284/10000,0)</f>
        <v>0</v>
      </c>
      <c r="W284" s="955"/>
      <c r="X284" s="2908">
        <f t="shared" ref="X284:X347" si="84">ROUND(Z284*B284,0)</f>
        <v>0</v>
      </c>
      <c r="Y284" s="2908">
        <f t="shared" ref="Y284:Y347" si="85">ROUND(Z284*B284/10000,0)</f>
        <v>0</v>
      </c>
      <c r="Z284" s="955"/>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0</v>
      </c>
      <c r="R285" s="597">
        <f t="shared" ref="R285:R348" si="86">IF(B285="",0,ROUND($R$27*C285*E285*G285*I285*K285*M285*O285*Q285,0))</f>
        <v>0</v>
      </c>
      <c r="S285" s="250">
        <f t="shared" ref="S285:S348" si="87">ROUND(R285*B285,0)</f>
        <v>0</v>
      </c>
      <c r="T285" s="858">
        <f t="shared" ref="T285:T348" si="88">ROUND(R285*B285/10000,0)</f>
        <v>0</v>
      </c>
      <c r="U285" s="2908">
        <f t="shared" si="82"/>
        <v>0</v>
      </c>
      <c r="V285" s="2908">
        <f t="shared" si="83"/>
        <v>0</v>
      </c>
      <c r="W285" s="955"/>
      <c r="X285" s="2908">
        <f t="shared" si="84"/>
        <v>0</v>
      </c>
      <c r="Y285" s="2908">
        <f t="shared" si="85"/>
        <v>0</v>
      </c>
      <c r="Z285" s="955"/>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0</v>
      </c>
      <c r="R286" s="597">
        <f t="shared" si="86"/>
        <v>0</v>
      </c>
      <c r="S286" s="250">
        <f t="shared" si="87"/>
        <v>0</v>
      </c>
      <c r="T286" s="858">
        <f t="shared" si="88"/>
        <v>0</v>
      </c>
      <c r="U286" s="2908">
        <f t="shared" si="82"/>
        <v>0</v>
      </c>
      <c r="V286" s="2908">
        <f t="shared" si="83"/>
        <v>0</v>
      </c>
      <c r="W286" s="955"/>
      <c r="X286" s="2908">
        <f t="shared" si="84"/>
        <v>0</v>
      </c>
      <c r="Y286" s="2908">
        <f t="shared" si="85"/>
        <v>0</v>
      </c>
      <c r="Z286" s="955"/>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0</v>
      </c>
      <c r="R287" s="597">
        <f t="shared" si="86"/>
        <v>0</v>
      </c>
      <c r="S287" s="250">
        <f t="shared" si="87"/>
        <v>0</v>
      </c>
      <c r="T287" s="858">
        <f t="shared" si="88"/>
        <v>0</v>
      </c>
      <c r="U287" s="2908">
        <f t="shared" si="82"/>
        <v>0</v>
      </c>
      <c r="V287" s="2908">
        <f t="shared" si="83"/>
        <v>0</v>
      </c>
      <c r="W287" s="955"/>
      <c r="X287" s="2908">
        <f t="shared" si="84"/>
        <v>0</v>
      </c>
      <c r="Y287" s="2908">
        <f t="shared" si="85"/>
        <v>0</v>
      </c>
      <c r="Z287" s="955"/>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0</v>
      </c>
      <c r="R288" s="597">
        <f t="shared" si="86"/>
        <v>0</v>
      </c>
      <c r="S288" s="250">
        <f t="shared" si="87"/>
        <v>0</v>
      </c>
      <c r="T288" s="858">
        <f t="shared" si="88"/>
        <v>0</v>
      </c>
      <c r="U288" s="2908">
        <f t="shared" si="82"/>
        <v>0</v>
      </c>
      <c r="V288" s="2908">
        <f t="shared" si="83"/>
        <v>0</v>
      </c>
      <c r="W288" s="955"/>
      <c r="X288" s="2908">
        <f t="shared" si="84"/>
        <v>0</v>
      </c>
      <c r="Y288" s="2908">
        <f t="shared" si="85"/>
        <v>0</v>
      </c>
      <c r="Z288" s="955"/>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0</v>
      </c>
      <c r="R289" s="597">
        <f t="shared" si="86"/>
        <v>0</v>
      </c>
      <c r="S289" s="250">
        <f t="shared" si="87"/>
        <v>0</v>
      </c>
      <c r="T289" s="858">
        <f t="shared" si="88"/>
        <v>0</v>
      </c>
      <c r="U289" s="2908">
        <f t="shared" si="82"/>
        <v>0</v>
      </c>
      <c r="V289" s="2908">
        <f t="shared" si="83"/>
        <v>0</v>
      </c>
      <c r="W289" s="955"/>
      <c r="X289" s="2908">
        <f t="shared" si="84"/>
        <v>0</v>
      </c>
      <c r="Y289" s="2908">
        <f t="shared" si="85"/>
        <v>0</v>
      </c>
      <c r="Z289" s="955"/>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0</v>
      </c>
      <c r="R290" s="597">
        <f t="shared" si="86"/>
        <v>0</v>
      </c>
      <c r="S290" s="250">
        <f t="shared" si="87"/>
        <v>0</v>
      </c>
      <c r="T290" s="858">
        <f t="shared" si="88"/>
        <v>0</v>
      </c>
      <c r="U290" s="2908">
        <f t="shared" si="82"/>
        <v>0</v>
      </c>
      <c r="V290" s="2908">
        <f t="shared" si="83"/>
        <v>0</v>
      </c>
      <c r="W290" s="955"/>
      <c r="X290" s="2908">
        <f t="shared" si="84"/>
        <v>0</v>
      </c>
      <c r="Y290" s="2908">
        <f t="shared" si="85"/>
        <v>0</v>
      </c>
      <c r="Z290" s="955"/>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0</v>
      </c>
      <c r="R291" s="597">
        <f t="shared" si="86"/>
        <v>0</v>
      </c>
      <c r="S291" s="250">
        <f t="shared" si="87"/>
        <v>0</v>
      </c>
      <c r="T291" s="858">
        <f t="shared" si="88"/>
        <v>0</v>
      </c>
      <c r="U291" s="2908">
        <f t="shared" si="82"/>
        <v>0</v>
      </c>
      <c r="V291" s="2908">
        <f t="shared" si="83"/>
        <v>0</v>
      </c>
      <c r="W291" s="955"/>
      <c r="X291" s="2908">
        <f t="shared" si="84"/>
        <v>0</v>
      </c>
      <c r="Y291" s="2908">
        <f t="shared" si="85"/>
        <v>0</v>
      </c>
      <c r="Z291" s="955"/>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0</v>
      </c>
      <c r="R292" s="597">
        <f t="shared" si="86"/>
        <v>0</v>
      </c>
      <c r="S292" s="250">
        <f t="shared" si="87"/>
        <v>0</v>
      </c>
      <c r="T292" s="858">
        <f t="shared" si="88"/>
        <v>0</v>
      </c>
      <c r="U292" s="2908">
        <f t="shared" si="82"/>
        <v>0</v>
      </c>
      <c r="V292" s="2908">
        <f t="shared" si="83"/>
        <v>0</v>
      </c>
      <c r="W292" s="955"/>
      <c r="X292" s="2908">
        <f t="shared" si="84"/>
        <v>0</v>
      </c>
      <c r="Y292" s="2908">
        <f t="shared" si="85"/>
        <v>0</v>
      </c>
      <c r="Z292" s="955"/>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0</v>
      </c>
      <c r="R293" s="597">
        <f t="shared" si="86"/>
        <v>0</v>
      </c>
      <c r="S293" s="250">
        <f t="shared" si="87"/>
        <v>0</v>
      </c>
      <c r="T293" s="858">
        <f t="shared" si="88"/>
        <v>0</v>
      </c>
      <c r="U293" s="2908">
        <f t="shared" si="82"/>
        <v>0</v>
      </c>
      <c r="V293" s="2908">
        <f t="shared" si="83"/>
        <v>0</v>
      </c>
      <c r="W293" s="955"/>
      <c r="X293" s="2908">
        <f t="shared" si="84"/>
        <v>0</v>
      </c>
      <c r="Y293" s="2908">
        <f t="shared" si="85"/>
        <v>0</v>
      </c>
      <c r="Z293" s="955"/>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0</v>
      </c>
      <c r="R294" s="597">
        <f t="shared" si="86"/>
        <v>0</v>
      </c>
      <c r="S294" s="250">
        <f t="shared" si="87"/>
        <v>0</v>
      </c>
      <c r="T294" s="858">
        <f t="shared" si="88"/>
        <v>0</v>
      </c>
      <c r="U294" s="2908">
        <f t="shared" si="82"/>
        <v>0</v>
      </c>
      <c r="V294" s="2908">
        <f t="shared" si="83"/>
        <v>0</v>
      </c>
      <c r="W294" s="955"/>
      <c r="X294" s="2908">
        <f t="shared" si="84"/>
        <v>0</v>
      </c>
      <c r="Y294" s="2908">
        <f t="shared" si="85"/>
        <v>0</v>
      </c>
      <c r="Z294" s="955"/>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0</v>
      </c>
      <c r="R295" s="597">
        <f t="shared" si="86"/>
        <v>0</v>
      </c>
      <c r="S295" s="250">
        <f t="shared" si="87"/>
        <v>0</v>
      </c>
      <c r="T295" s="858">
        <f t="shared" si="88"/>
        <v>0</v>
      </c>
      <c r="U295" s="2908">
        <f t="shared" si="82"/>
        <v>0</v>
      </c>
      <c r="V295" s="2908">
        <f t="shared" si="83"/>
        <v>0</v>
      </c>
      <c r="W295" s="955"/>
      <c r="X295" s="2908">
        <f t="shared" si="84"/>
        <v>0</v>
      </c>
      <c r="Y295" s="2908">
        <f t="shared" si="85"/>
        <v>0</v>
      </c>
      <c r="Z295" s="955"/>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0</v>
      </c>
      <c r="R296" s="597">
        <f t="shared" si="86"/>
        <v>0</v>
      </c>
      <c r="S296" s="250">
        <f t="shared" si="87"/>
        <v>0</v>
      </c>
      <c r="T296" s="858">
        <f t="shared" si="88"/>
        <v>0</v>
      </c>
      <c r="U296" s="2908">
        <f t="shared" si="82"/>
        <v>0</v>
      </c>
      <c r="V296" s="2908">
        <f t="shared" si="83"/>
        <v>0</v>
      </c>
      <c r="W296" s="955"/>
      <c r="X296" s="2908">
        <f t="shared" si="84"/>
        <v>0</v>
      </c>
      <c r="Y296" s="2908">
        <f t="shared" si="85"/>
        <v>0</v>
      </c>
      <c r="Z296" s="955"/>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0</v>
      </c>
      <c r="R297" s="597">
        <f t="shared" si="86"/>
        <v>0</v>
      </c>
      <c r="S297" s="250">
        <f t="shared" si="87"/>
        <v>0</v>
      </c>
      <c r="T297" s="858">
        <f t="shared" si="88"/>
        <v>0</v>
      </c>
      <c r="U297" s="2908">
        <f t="shared" si="82"/>
        <v>0</v>
      </c>
      <c r="V297" s="2908">
        <f t="shared" si="83"/>
        <v>0</v>
      </c>
      <c r="W297" s="955"/>
      <c r="X297" s="2908">
        <f t="shared" si="84"/>
        <v>0</v>
      </c>
      <c r="Y297" s="2908">
        <f t="shared" si="85"/>
        <v>0</v>
      </c>
      <c r="Z297" s="955"/>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0</v>
      </c>
      <c r="R298" s="597">
        <f t="shared" si="86"/>
        <v>0</v>
      </c>
      <c r="S298" s="250">
        <f t="shared" si="87"/>
        <v>0</v>
      </c>
      <c r="T298" s="858">
        <f t="shared" si="88"/>
        <v>0</v>
      </c>
      <c r="U298" s="2908">
        <f t="shared" si="82"/>
        <v>0</v>
      </c>
      <c r="V298" s="2908">
        <f t="shared" si="83"/>
        <v>0</v>
      </c>
      <c r="W298" s="955"/>
      <c r="X298" s="2908">
        <f t="shared" si="84"/>
        <v>0</v>
      </c>
      <c r="Y298" s="2908">
        <f t="shared" si="85"/>
        <v>0</v>
      </c>
      <c r="Z298" s="955"/>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0</v>
      </c>
      <c r="R299" s="597">
        <f t="shared" si="86"/>
        <v>0</v>
      </c>
      <c r="S299" s="250">
        <f t="shared" si="87"/>
        <v>0</v>
      </c>
      <c r="T299" s="858">
        <f t="shared" si="88"/>
        <v>0</v>
      </c>
      <c r="U299" s="2908">
        <f t="shared" si="82"/>
        <v>0</v>
      </c>
      <c r="V299" s="2908">
        <f t="shared" si="83"/>
        <v>0</v>
      </c>
      <c r="W299" s="955"/>
      <c r="X299" s="2908">
        <f t="shared" si="84"/>
        <v>0</v>
      </c>
      <c r="Y299" s="2908">
        <f t="shared" si="85"/>
        <v>0</v>
      </c>
      <c r="Z299" s="955"/>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0</v>
      </c>
      <c r="R300" s="597">
        <f t="shared" si="86"/>
        <v>0</v>
      </c>
      <c r="S300" s="250">
        <f t="shared" si="87"/>
        <v>0</v>
      </c>
      <c r="T300" s="858">
        <f t="shared" si="88"/>
        <v>0</v>
      </c>
      <c r="U300" s="2908">
        <f t="shared" si="82"/>
        <v>0</v>
      </c>
      <c r="V300" s="2908">
        <f t="shared" si="83"/>
        <v>0</v>
      </c>
      <c r="W300" s="955"/>
      <c r="X300" s="2908">
        <f t="shared" si="84"/>
        <v>0</v>
      </c>
      <c r="Y300" s="2908">
        <f t="shared" si="85"/>
        <v>0</v>
      </c>
      <c r="Z300" s="955"/>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0</v>
      </c>
      <c r="R301" s="597">
        <f t="shared" si="86"/>
        <v>0</v>
      </c>
      <c r="S301" s="250">
        <f t="shared" si="87"/>
        <v>0</v>
      </c>
      <c r="T301" s="858">
        <f t="shared" si="88"/>
        <v>0</v>
      </c>
      <c r="U301" s="2908">
        <f t="shared" si="82"/>
        <v>0</v>
      </c>
      <c r="V301" s="2908">
        <f t="shared" si="83"/>
        <v>0</v>
      </c>
      <c r="W301" s="955"/>
      <c r="X301" s="2908">
        <f t="shared" si="84"/>
        <v>0</v>
      </c>
      <c r="Y301" s="2908">
        <f t="shared" si="85"/>
        <v>0</v>
      </c>
      <c r="Z301" s="955"/>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0</v>
      </c>
      <c r="R302" s="597">
        <f t="shared" si="86"/>
        <v>0</v>
      </c>
      <c r="S302" s="250">
        <f t="shared" si="87"/>
        <v>0</v>
      </c>
      <c r="T302" s="858">
        <f t="shared" si="88"/>
        <v>0</v>
      </c>
      <c r="U302" s="2908">
        <f t="shared" si="82"/>
        <v>0</v>
      </c>
      <c r="V302" s="2908">
        <f t="shared" si="83"/>
        <v>0</v>
      </c>
      <c r="W302" s="955"/>
      <c r="X302" s="2908">
        <f t="shared" si="84"/>
        <v>0</v>
      </c>
      <c r="Y302" s="2908">
        <f t="shared" si="85"/>
        <v>0</v>
      </c>
      <c r="Z302" s="955"/>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0</v>
      </c>
      <c r="R303" s="597">
        <f t="shared" si="86"/>
        <v>0</v>
      </c>
      <c r="S303" s="250">
        <f t="shared" si="87"/>
        <v>0</v>
      </c>
      <c r="T303" s="858">
        <f t="shared" si="88"/>
        <v>0</v>
      </c>
      <c r="U303" s="2908">
        <f t="shared" si="82"/>
        <v>0</v>
      </c>
      <c r="V303" s="2908">
        <f t="shared" si="83"/>
        <v>0</v>
      </c>
      <c r="W303" s="955"/>
      <c r="X303" s="2908">
        <f t="shared" si="84"/>
        <v>0</v>
      </c>
      <c r="Y303" s="2908">
        <f t="shared" si="85"/>
        <v>0</v>
      </c>
      <c r="Z303" s="955"/>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0</v>
      </c>
      <c r="R304" s="597">
        <f t="shared" si="86"/>
        <v>0</v>
      </c>
      <c r="S304" s="250">
        <f t="shared" si="87"/>
        <v>0</v>
      </c>
      <c r="T304" s="858">
        <f t="shared" si="88"/>
        <v>0</v>
      </c>
      <c r="U304" s="2908">
        <f t="shared" si="82"/>
        <v>0</v>
      </c>
      <c r="V304" s="2908">
        <f t="shared" si="83"/>
        <v>0</v>
      </c>
      <c r="W304" s="955"/>
      <c r="X304" s="2908">
        <f t="shared" si="84"/>
        <v>0</v>
      </c>
      <c r="Y304" s="2908">
        <f t="shared" si="85"/>
        <v>0</v>
      </c>
      <c r="Z304" s="955"/>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0</v>
      </c>
      <c r="R305" s="597">
        <f t="shared" si="86"/>
        <v>0</v>
      </c>
      <c r="S305" s="250">
        <f t="shared" si="87"/>
        <v>0</v>
      </c>
      <c r="T305" s="858">
        <f t="shared" si="88"/>
        <v>0</v>
      </c>
      <c r="U305" s="2908">
        <f t="shared" si="82"/>
        <v>0</v>
      </c>
      <c r="V305" s="2908">
        <f t="shared" si="83"/>
        <v>0</v>
      </c>
      <c r="W305" s="955"/>
      <c r="X305" s="2908">
        <f t="shared" si="84"/>
        <v>0</v>
      </c>
      <c r="Y305" s="2908">
        <f t="shared" si="85"/>
        <v>0</v>
      </c>
      <c r="Z305" s="955"/>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0</v>
      </c>
      <c r="R306" s="597">
        <f t="shared" si="86"/>
        <v>0</v>
      </c>
      <c r="S306" s="250">
        <f t="shared" si="87"/>
        <v>0</v>
      </c>
      <c r="T306" s="858">
        <f t="shared" si="88"/>
        <v>0</v>
      </c>
      <c r="U306" s="2908">
        <f t="shared" si="82"/>
        <v>0</v>
      </c>
      <c r="V306" s="2908">
        <f t="shared" si="83"/>
        <v>0</v>
      </c>
      <c r="W306" s="955"/>
      <c r="X306" s="2908">
        <f t="shared" si="84"/>
        <v>0</v>
      </c>
      <c r="Y306" s="2908">
        <f t="shared" si="85"/>
        <v>0</v>
      </c>
      <c r="Z306" s="955"/>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0</v>
      </c>
      <c r="R307" s="597">
        <f t="shared" si="86"/>
        <v>0</v>
      </c>
      <c r="S307" s="250">
        <f t="shared" si="87"/>
        <v>0</v>
      </c>
      <c r="T307" s="858">
        <f t="shared" si="88"/>
        <v>0</v>
      </c>
      <c r="U307" s="2908">
        <f t="shared" si="82"/>
        <v>0</v>
      </c>
      <c r="V307" s="2908">
        <f t="shared" si="83"/>
        <v>0</v>
      </c>
      <c r="W307" s="955"/>
      <c r="X307" s="2908">
        <f t="shared" si="84"/>
        <v>0</v>
      </c>
      <c r="Y307" s="2908">
        <f t="shared" si="85"/>
        <v>0</v>
      </c>
      <c r="Z307" s="955"/>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0</v>
      </c>
      <c r="R308" s="597">
        <f t="shared" si="86"/>
        <v>0</v>
      </c>
      <c r="S308" s="250">
        <f t="shared" si="87"/>
        <v>0</v>
      </c>
      <c r="T308" s="858">
        <f t="shared" si="88"/>
        <v>0</v>
      </c>
      <c r="U308" s="2908">
        <f t="shared" si="82"/>
        <v>0</v>
      </c>
      <c r="V308" s="2908">
        <f t="shared" si="83"/>
        <v>0</v>
      </c>
      <c r="W308" s="955"/>
      <c r="X308" s="2908">
        <f t="shared" si="84"/>
        <v>0</v>
      </c>
      <c r="Y308" s="2908">
        <f t="shared" si="85"/>
        <v>0</v>
      </c>
      <c r="Z308" s="955"/>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0</v>
      </c>
      <c r="R309" s="597">
        <f t="shared" si="86"/>
        <v>0</v>
      </c>
      <c r="S309" s="250">
        <f t="shared" si="87"/>
        <v>0</v>
      </c>
      <c r="T309" s="858">
        <f t="shared" si="88"/>
        <v>0</v>
      </c>
      <c r="U309" s="2908">
        <f t="shared" si="82"/>
        <v>0</v>
      </c>
      <c r="V309" s="2908">
        <f t="shared" si="83"/>
        <v>0</v>
      </c>
      <c r="W309" s="955"/>
      <c r="X309" s="2908">
        <f t="shared" si="84"/>
        <v>0</v>
      </c>
      <c r="Y309" s="2908">
        <f t="shared" si="85"/>
        <v>0</v>
      </c>
      <c r="Z309" s="955"/>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0</v>
      </c>
      <c r="R310" s="597">
        <f t="shared" si="86"/>
        <v>0</v>
      </c>
      <c r="S310" s="250">
        <f t="shared" si="87"/>
        <v>0</v>
      </c>
      <c r="T310" s="858">
        <f t="shared" si="88"/>
        <v>0</v>
      </c>
      <c r="U310" s="2908">
        <f t="shared" si="82"/>
        <v>0</v>
      </c>
      <c r="V310" s="2908">
        <f t="shared" si="83"/>
        <v>0</v>
      </c>
      <c r="W310" s="955"/>
      <c r="X310" s="2908">
        <f t="shared" si="84"/>
        <v>0</v>
      </c>
      <c r="Y310" s="2908">
        <f t="shared" si="85"/>
        <v>0</v>
      </c>
      <c r="Z310" s="955"/>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0</v>
      </c>
      <c r="R311" s="597">
        <f t="shared" si="86"/>
        <v>0</v>
      </c>
      <c r="S311" s="250">
        <f t="shared" si="87"/>
        <v>0</v>
      </c>
      <c r="T311" s="858">
        <f t="shared" si="88"/>
        <v>0</v>
      </c>
      <c r="U311" s="2908">
        <f t="shared" si="82"/>
        <v>0</v>
      </c>
      <c r="V311" s="2908">
        <f t="shared" si="83"/>
        <v>0</v>
      </c>
      <c r="W311" s="955"/>
      <c r="X311" s="2908">
        <f t="shared" si="84"/>
        <v>0</v>
      </c>
      <c r="Y311" s="2908">
        <f t="shared" si="85"/>
        <v>0</v>
      </c>
      <c r="Z311" s="955"/>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0</v>
      </c>
      <c r="R312" s="597">
        <f t="shared" si="86"/>
        <v>0</v>
      </c>
      <c r="S312" s="250">
        <f t="shared" si="87"/>
        <v>0</v>
      </c>
      <c r="T312" s="858">
        <f t="shared" si="88"/>
        <v>0</v>
      </c>
      <c r="U312" s="2908">
        <f t="shared" si="82"/>
        <v>0</v>
      </c>
      <c r="V312" s="2908">
        <f t="shared" si="83"/>
        <v>0</v>
      </c>
      <c r="W312" s="955"/>
      <c r="X312" s="2908">
        <f t="shared" si="84"/>
        <v>0</v>
      </c>
      <c r="Y312" s="2908">
        <f t="shared" si="85"/>
        <v>0</v>
      </c>
      <c r="Z312" s="955"/>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0</v>
      </c>
      <c r="R313" s="597">
        <f t="shared" si="86"/>
        <v>0</v>
      </c>
      <c r="S313" s="250">
        <f t="shared" si="87"/>
        <v>0</v>
      </c>
      <c r="T313" s="858">
        <f t="shared" si="88"/>
        <v>0</v>
      </c>
      <c r="U313" s="2908">
        <f t="shared" si="82"/>
        <v>0</v>
      </c>
      <c r="V313" s="2908">
        <f t="shared" si="83"/>
        <v>0</v>
      </c>
      <c r="W313" s="955"/>
      <c r="X313" s="2908">
        <f t="shared" si="84"/>
        <v>0</v>
      </c>
      <c r="Y313" s="2908">
        <f t="shared" si="85"/>
        <v>0</v>
      </c>
      <c r="Z313" s="955"/>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0</v>
      </c>
      <c r="R314" s="597">
        <f t="shared" si="86"/>
        <v>0</v>
      </c>
      <c r="S314" s="250">
        <f t="shared" si="87"/>
        <v>0</v>
      </c>
      <c r="T314" s="858">
        <f t="shared" si="88"/>
        <v>0</v>
      </c>
      <c r="U314" s="2908">
        <f t="shared" si="82"/>
        <v>0</v>
      </c>
      <c r="V314" s="2908">
        <f t="shared" si="83"/>
        <v>0</v>
      </c>
      <c r="W314" s="955"/>
      <c r="X314" s="2908">
        <f t="shared" si="84"/>
        <v>0</v>
      </c>
      <c r="Y314" s="2908">
        <f t="shared" si="85"/>
        <v>0</v>
      </c>
      <c r="Z314" s="955"/>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0</v>
      </c>
      <c r="R315" s="597">
        <f t="shared" si="86"/>
        <v>0</v>
      </c>
      <c r="S315" s="250">
        <f t="shared" si="87"/>
        <v>0</v>
      </c>
      <c r="T315" s="858">
        <f t="shared" si="88"/>
        <v>0</v>
      </c>
      <c r="U315" s="2908">
        <f t="shared" si="82"/>
        <v>0</v>
      </c>
      <c r="V315" s="2908">
        <f t="shared" si="83"/>
        <v>0</v>
      </c>
      <c r="W315" s="955"/>
      <c r="X315" s="2908">
        <f t="shared" si="84"/>
        <v>0</v>
      </c>
      <c r="Y315" s="2908">
        <f t="shared" si="85"/>
        <v>0</v>
      </c>
      <c r="Z315" s="955"/>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0</v>
      </c>
      <c r="R316" s="597">
        <f t="shared" si="86"/>
        <v>0</v>
      </c>
      <c r="S316" s="250">
        <f t="shared" si="87"/>
        <v>0</v>
      </c>
      <c r="T316" s="858">
        <f t="shared" si="88"/>
        <v>0</v>
      </c>
      <c r="U316" s="2908">
        <f t="shared" si="82"/>
        <v>0</v>
      </c>
      <c r="V316" s="2908">
        <f t="shared" si="83"/>
        <v>0</v>
      </c>
      <c r="W316" s="955"/>
      <c r="X316" s="2908">
        <f t="shared" si="84"/>
        <v>0</v>
      </c>
      <c r="Y316" s="2908">
        <f t="shared" si="85"/>
        <v>0</v>
      </c>
      <c r="Z316" s="955"/>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0</v>
      </c>
      <c r="R317" s="597">
        <f t="shared" si="86"/>
        <v>0</v>
      </c>
      <c r="S317" s="250">
        <f t="shared" si="87"/>
        <v>0</v>
      </c>
      <c r="T317" s="858">
        <f t="shared" si="88"/>
        <v>0</v>
      </c>
      <c r="U317" s="2908">
        <f t="shared" si="82"/>
        <v>0</v>
      </c>
      <c r="V317" s="2908">
        <f t="shared" si="83"/>
        <v>0</v>
      </c>
      <c r="W317" s="955"/>
      <c r="X317" s="2908">
        <f t="shared" si="84"/>
        <v>0</v>
      </c>
      <c r="Y317" s="2908">
        <f t="shared" si="85"/>
        <v>0</v>
      </c>
      <c r="Z317" s="955"/>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0</v>
      </c>
      <c r="R318" s="597">
        <f t="shared" si="86"/>
        <v>0</v>
      </c>
      <c r="S318" s="250">
        <f t="shared" si="87"/>
        <v>0</v>
      </c>
      <c r="T318" s="858">
        <f t="shared" si="88"/>
        <v>0</v>
      </c>
      <c r="U318" s="2908">
        <f t="shared" si="82"/>
        <v>0</v>
      </c>
      <c r="V318" s="2908">
        <f t="shared" si="83"/>
        <v>0</v>
      </c>
      <c r="W318" s="955"/>
      <c r="X318" s="2908">
        <f t="shared" si="84"/>
        <v>0</v>
      </c>
      <c r="Y318" s="2908">
        <f t="shared" si="85"/>
        <v>0</v>
      </c>
      <c r="Z318" s="955"/>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0</v>
      </c>
      <c r="R319" s="597">
        <f t="shared" si="86"/>
        <v>0</v>
      </c>
      <c r="S319" s="250">
        <f t="shared" si="87"/>
        <v>0</v>
      </c>
      <c r="T319" s="858">
        <f t="shared" si="88"/>
        <v>0</v>
      </c>
      <c r="U319" s="2908">
        <f t="shared" si="82"/>
        <v>0</v>
      </c>
      <c r="V319" s="2908">
        <f t="shared" si="83"/>
        <v>0</v>
      </c>
      <c r="W319" s="955"/>
      <c r="X319" s="2908">
        <f t="shared" si="84"/>
        <v>0</v>
      </c>
      <c r="Y319" s="2908">
        <f t="shared" si="85"/>
        <v>0</v>
      </c>
      <c r="Z319" s="955"/>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0</v>
      </c>
      <c r="R320" s="597">
        <f t="shared" si="86"/>
        <v>0</v>
      </c>
      <c r="S320" s="250">
        <f t="shared" si="87"/>
        <v>0</v>
      </c>
      <c r="T320" s="858">
        <f t="shared" si="88"/>
        <v>0</v>
      </c>
      <c r="U320" s="2908">
        <f t="shared" si="82"/>
        <v>0</v>
      </c>
      <c r="V320" s="2908">
        <f t="shared" si="83"/>
        <v>0</v>
      </c>
      <c r="W320" s="955"/>
      <c r="X320" s="2908">
        <f t="shared" si="84"/>
        <v>0</v>
      </c>
      <c r="Y320" s="2908">
        <f t="shared" si="85"/>
        <v>0</v>
      </c>
      <c r="Z320" s="955"/>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0</v>
      </c>
      <c r="R321" s="597">
        <f t="shared" si="86"/>
        <v>0</v>
      </c>
      <c r="S321" s="250">
        <f t="shared" si="87"/>
        <v>0</v>
      </c>
      <c r="T321" s="858">
        <f t="shared" si="88"/>
        <v>0</v>
      </c>
      <c r="U321" s="2908">
        <f t="shared" si="82"/>
        <v>0</v>
      </c>
      <c r="V321" s="2908">
        <f t="shared" si="83"/>
        <v>0</v>
      </c>
      <c r="W321" s="955"/>
      <c r="X321" s="2908">
        <f t="shared" si="84"/>
        <v>0</v>
      </c>
      <c r="Y321" s="2908">
        <f t="shared" si="85"/>
        <v>0</v>
      </c>
      <c r="Z321" s="955"/>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0</v>
      </c>
      <c r="R322" s="597">
        <f t="shared" si="86"/>
        <v>0</v>
      </c>
      <c r="S322" s="250">
        <f t="shared" si="87"/>
        <v>0</v>
      </c>
      <c r="T322" s="858">
        <f t="shared" si="88"/>
        <v>0</v>
      </c>
      <c r="U322" s="2908">
        <f t="shared" si="82"/>
        <v>0</v>
      </c>
      <c r="V322" s="2908">
        <f t="shared" si="83"/>
        <v>0</v>
      </c>
      <c r="W322" s="955"/>
      <c r="X322" s="2908">
        <f t="shared" si="84"/>
        <v>0</v>
      </c>
      <c r="Y322" s="2908">
        <f t="shared" si="85"/>
        <v>0</v>
      </c>
      <c r="Z322" s="955"/>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0</v>
      </c>
      <c r="R323" s="597">
        <f t="shared" si="86"/>
        <v>0</v>
      </c>
      <c r="S323" s="250">
        <f t="shared" si="87"/>
        <v>0</v>
      </c>
      <c r="T323" s="858">
        <f t="shared" si="88"/>
        <v>0</v>
      </c>
      <c r="U323" s="2908">
        <f t="shared" si="82"/>
        <v>0</v>
      </c>
      <c r="V323" s="2908">
        <f t="shared" si="83"/>
        <v>0</v>
      </c>
      <c r="W323" s="955"/>
      <c r="X323" s="2908">
        <f t="shared" si="84"/>
        <v>0</v>
      </c>
      <c r="Y323" s="2908">
        <f t="shared" si="85"/>
        <v>0</v>
      </c>
      <c r="Z323" s="955"/>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0</v>
      </c>
      <c r="R324" s="597">
        <f t="shared" si="86"/>
        <v>0</v>
      </c>
      <c r="S324" s="250">
        <f t="shared" si="87"/>
        <v>0</v>
      </c>
      <c r="T324" s="858">
        <f t="shared" si="88"/>
        <v>0</v>
      </c>
      <c r="U324" s="2908">
        <f t="shared" si="82"/>
        <v>0</v>
      </c>
      <c r="V324" s="2908">
        <f t="shared" si="83"/>
        <v>0</v>
      </c>
      <c r="W324" s="955"/>
      <c r="X324" s="2908">
        <f t="shared" si="84"/>
        <v>0</v>
      </c>
      <c r="Y324" s="2908">
        <f t="shared" si="85"/>
        <v>0</v>
      </c>
      <c r="Z324" s="955"/>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0</v>
      </c>
      <c r="R325" s="597">
        <f t="shared" si="86"/>
        <v>0</v>
      </c>
      <c r="S325" s="250">
        <f t="shared" si="87"/>
        <v>0</v>
      </c>
      <c r="T325" s="858">
        <f t="shared" si="88"/>
        <v>0</v>
      </c>
      <c r="U325" s="2908">
        <f t="shared" si="82"/>
        <v>0</v>
      </c>
      <c r="V325" s="2908">
        <f t="shared" si="83"/>
        <v>0</v>
      </c>
      <c r="W325" s="955"/>
      <c r="X325" s="2908">
        <f t="shared" si="84"/>
        <v>0</v>
      </c>
      <c r="Y325" s="2908">
        <f t="shared" si="85"/>
        <v>0</v>
      </c>
      <c r="Z325" s="955"/>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0</v>
      </c>
      <c r="R326" s="597">
        <f t="shared" si="86"/>
        <v>0</v>
      </c>
      <c r="S326" s="250">
        <f t="shared" si="87"/>
        <v>0</v>
      </c>
      <c r="T326" s="858">
        <f t="shared" si="88"/>
        <v>0</v>
      </c>
      <c r="U326" s="2908">
        <f t="shared" si="82"/>
        <v>0</v>
      </c>
      <c r="V326" s="2908">
        <f t="shared" si="83"/>
        <v>0</v>
      </c>
      <c r="W326" s="955"/>
      <c r="X326" s="2908">
        <f t="shared" si="84"/>
        <v>0</v>
      </c>
      <c r="Y326" s="2908">
        <f t="shared" si="85"/>
        <v>0</v>
      </c>
      <c r="Z326" s="955"/>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0</v>
      </c>
      <c r="R327" s="597">
        <f t="shared" si="86"/>
        <v>0</v>
      </c>
      <c r="S327" s="250">
        <f t="shared" si="87"/>
        <v>0</v>
      </c>
      <c r="T327" s="858">
        <f t="shared" si="88"/>
        <v>0</v>
      </c>
      <c r="U327" s="2908">
        <f t="shared" si="82"/>
        <v>0</v>
      </c>
      <c r="V327" s="2908">
        <f t="shared" si="83"/>
        <v>0</v>
      </c>
      <c r="W327" s="955"/>
      <c r="X327" s="2908">
        <f t="shared" si="84"/>
        <v>0</v>
      </c>
      <c r="Y327" s="2908">
        <f t="shared" si="85"/>
        <v>0</v>
      </c>
      <c r="Z327" s="955"/>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0</v>
      </c>
      <c r="R328" s="597">
        <f t="shared" si="86"/>
        <v>0</v>
      </c>
      <c r="S328" s="250">
        <f t="shared" si="87"/>
        <v>0</v>
      </c>
      <c r="T328" s="858">
        <f t="shared" si="88"/>
        <v>0</v>
      </c>
      <c r="U328" s="2908">
        <f t="shared" si="82"/>
        <v>0</v>
      </c>
      <c r="V328" s="2908">
        <f t="shared" si="83"/>
        <v>0</v>
      </c>
      <c r="W328" s="955"/>
      <c r="X328" s="2908">
        <f t="shared" si="84"/>
        <v>0</v>
      </c>
      <c r="Y328" s="2908">
        <f t="shared" si="85"/>
        <v>0</v>
      </c>
      <c r="Z328" s="955"/>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0</v>
      </c>
      <c r="R329" s="597">
        <f t="shared" si="86"/>
        <v>0</v>
      </c>
      <c r="S329" s="250">
        <f t="shared" si="87"/>
        <v>0</v>
      </c>
      <c r="T329" s="858">
        <f t="shared" si="88"/>
        <v>0</v>
      </c>
      <c r="U329" s="2908">
        <f t="shared" si="82"/>
        <v>0</v>
      </c>
      <c r="V329" s="2908">
        <f t="shared" si="83"/>
        <v>0</v>
      </c>
      <c r="W329" s="955"/>
      <c r="X329" s="2908">
        <f t="shared" si="84"/>
        <v>0</v>
      </c>
      <c r="Y329" s="2908">
        <f t="shared" si="85"/>
        <v>0</v>
      </c>
      <c r="Z329" s="955"/>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0</v>
      </c>
      <c r="R330" s="597">
        <f t="shared" si="86"/>
        <v>0</v>
      </c>
      <c r="S330" s="250">
        <f t="shared" si="87"/>
        <v>0</v>
      </c>
      <c r="T330" s="858">
        <f t="shared" si="88"/>
        <v>0</v>
      </c>
      <c r="U330" s="2908">
        <f t="shared" si="82"/>
        <v>0</v>
      </c>
      <c r="V330" s="2908">
        <f t="shared" si="83"/>
        <v>0</v>
      </c>
      <c r="W330" s="955"/>
      <c r="X330" s="2908">
        <f t="shared" si="84"/>
        <v>0</v>
      </c>
      <c r="Y330" s="2908">
        <f t="shared" si="85"/>
        <v>0</v>
      </c>
      <c r="Z330" s="955"/>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0</v>
      </c>
      <c r="R331" s="597">
        <f t="shared" si="86"/>
        <v>0</v>
      </c>
      <c r="S331" s="250">
        <f t="shared" si="87"/>
        <v>0</v>
      </c>
      <c r="T331" s="858">
        <f t="shared" si="88"/>
        <v>0</v>
      </c>
      <c r="U331" s="2908">
        <f t="shared" si="82"/>
        <v>0</v>
      </c>
      <c r="V331" s="2908">
        <f t="shared" si="83"/>
        <v>0</v>
      </c>
      <c r="W331" s="955"/>
      <c r="X331" s="2908">
        <f t="shared" si="84"/>
        <v>0</v>
      </c>
      <c r="Y331" s="2908">
        <f t="shared" si="85"/>
        <v>0</v>
      </c>
      <c r="Z331" s="955"/>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0</v>
      </c>
      <c r="R332" s="597">
        <f t="shared" si="86"/>
        <v>0</v>
      </c>
      <c r="S332" s="250">
        <f t="shared" si="87"/>
        <v>0</v>
      </c>
      <c r="T332" s="858">
        <f t="shared" si="88"/>
        <v>0</v>
      </c>
      <c r="U332" s="2908">
        <f t="shared" si="82"/>
        <v>0</v>
      </c>
      <c r="V332" s="2908">
        <f t="shared" si="83"/>
        <v>0</v>
      </c>
      <c r="W332" s="955"/>
      <c r="X332" s="2908">
        <f t="shared" si="84"/>
        <v>0</v>
      </c>
      <c r="Y332" s="2908">
        <f t="shared" si="85"/>
        <v>0</v>
      </c>
      <c r="Z332" s="955"/>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0</v>
      </c>
      <c r="R333" s="597">
        <f t="shared" si="86"/>
        <v>0</v>
      </c>
      <c r="S333" s="250">
        <f t="shared" si="87"/>
        <v>0</v>
      </c>
      <c r="T333" s="858">
        <f t="shared" si="88"/>
        <v>0</v>
      </c>
      <c r="U333" s="2908">
        <f t="shared" si="82"/>
        <v>0</v>
      </c>
      <c r="V333" s="2908">
        <f t="shared" si="83"/>
        <v>0</v>
      </c>
      <c r="W333" s="955"/>
      <c r="X333" s="2908">
        <f t="shared" si="84"/>
        <v>0</v>
      </c>
      <c r="Y333" s="2908">
        <f t="shared" si="85"/>
        <v>0</v>
      </c>
      <c r="Z333" s="955"/>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0</v>
      </c>
      <c r="R334" s="597">
        <f t="shared" si="86"/>
        <v>0</v>
      </c>
      <c r="S334" s="250">
        <f t="shared" si="87"/>
        <v>0</v>
      </c>
      <c r="T334" s="858">
        <f t="shared" si="88"/>
        <v>0</v>
      </c>
      <c r="U334" s="2908">
        <f t="shared" si="82"/>
        <v>0</v>
      </c>
      <c r="V334" s="2908">
        <f t="shared" si="83"/>
        <v>0</v>
      </c>
      <c r="W334" s="955"/>
      <c r="X334" s="2908">
        <f t="shared" si="84"/>
        <v>0</v>
      </c>
      <c r="Y334" s="2908">
        <f t="shared" si="85"/>
        <v>0</v>
      </c>
      <c r="Z334" s="955"/>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0</v>
      </c>
      <c r="R335" s="597">
        <f t="shared" si="86"/>
        <v>0</v>
      </c>
      <c r="S335" s="250">
        <f t="shared" si="87"/>
        <v>0</v>
      </c>
      <c r="T335" s="858">
        <f t="shared" si="88"/>
        <v>0</v>
      </c>
      <c r="U335" s="2908">
        <f t="shared" si="82"/>
        <v>0</v>
      </c>
      <c r="V335" s="2908">
        <f t="shared" si="83"/>
        <v>0</v>
      </c>
      <c r="W335" s="955"/>
      <c r="X335" s="2908">
        <f t="shared" si="84"/>
        <v>0</v>
      </c>
      <c r="Y335" s="2908">
        <f t="shared" si="85"/>
        <v>0</v>
      </c>
      <c r="Z335" s="955"/>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0</v>
      </c>
      <c r="R336" s="597">
        <f t="shared" si="86"/>
        <v>0</v>
      </c>
      <c r="S336" s="250">
        <f t="shared" si="87"/>
        <v>0</v>
      </c>
      <c r="T336" s="858">
        <f t="shared" si="88"/>
        <v>0</v>
      </c>
      <c r="U336" s="2908">
        <f t="shared" si="82"/>
        <v>0</v>
      </c>
      <c r="V336" s="2908">
        <f t="shared" si="83"/>
        <v>0</v>
      </c>
      <c r="W336" s="955"/>
      <c r="X336" s="2908">
        <f t="shared" si="84"/>
        <v>0</v>
      </c>
      <c r="Y336" s="2908">
        <f t="shared" si="85"/>
        <v>0</v>
      </c>
      <c r="Z336" s="955"/>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0</v>
      </c>
      <c r="R337" s="597">
        <f t="shared" si="86"/>
        <v>0</v>
      </c>
      <c r="S337" s="250">
        <f t="shared" si="87"/>
        <v>0</v>
      </c>
      <c r="T337" s="858">
        <f t="shared" si="88"/>
        <v>0</v>
      </c>
      <c r="U337" s="2908">
        <f t="shared" si="82"/>
        <v>0</v>
      </c>
      <c r="V337" s="2908">
        <f t="shared" si="83"/>
        <v>0</v>
      </c>
      <c r="W337" s="955"/>
      <c r="X337" s="2908">
        <f t="shared" si="84"/>
        <v>0</v>
      </c>
      <c r="Y337" s="2908">
        <f t="shared" si="85"/>
        <v>0</v>
      </c>
      <c r="Z337" s="955"/>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0</v>
      </c>
      <c r="R338" s="597">
        <f t="shared" si="86"/>
        <v>0</v>
      </c>
      <c r="S338" s="250">
        <f t="shared" si="87"/>
        <v>0</v>
      </c>
      <c r="T338" s="858">
        <f t="shared" si="88"/>
        <v>0</v>
      </c>
      <c r="U338" s="2908">
        <f t="shared" si="82"/>
        <v>0</v>
      </c>
      <c r="V338" s="2908">
        <f t="shared" si="83"/>
        <v>0</v>
      </c>
      <c r="W338" s="955"/>
      <c r="X338" s="2908">
        <f t="shared" si="84"/>
        <v>0</v>
      </c>
      <c r="Y338" s="2908">
        <f t="shared" si="85"/>
        <v>0</v>
      </c>
      <c r="Z338" s="955"/>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0</v>
      </c>
      <c r="R339" s="597">
        <f t="shared" si="86"/>
        <v>0</v>
      </c>
      <c r="S339" s="250">
        <f t="shared" si="87"/>
        <v>0</v>
      </c>
      <c r="T339" s="858">
        <f t="shared" si="88"/>
        <v>0</v>
      </c>
      <c r="U339" s="2908">
        <f t="shared" si="82"/>
        <v>0</v>
      </c>
      <c r="V339" s="2908">
        <f t="shared" si="83"/>
        <v>0</v>
      </c>
      <c r="W339" s="955"/>
      <c r="X339" s="2908">
        <f t="shared" si="84"/>
        <v>0</v>
      </c>
      <c r="Y339" s="2908">
        <f t="shared" si="85"/>
        <v>0</v>
      </c>
      <c r="Z339" s="955"/>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0</v>
      </c>
      <c r="R340" s="597">
        <f t="shared" si="86"/>
        <v>0</v>
      </c>
      <c r="S340" s="250">
        <f t="shared" si="87"/>
        <v>0</v>
      </c>
      <c r="T340" s="858">
        <f t="shared" si="88"/>
        <v>0</v>
      </c>
      <c r="U340" s="2908">
        <f t="shared" si="82"/>
        <v>0</v>
      </c>
      <c r="V340" s="2908">
        <f t="shared" si="83"/>
        <v>0</v>
      </c>
      <c r="W340" s="955"/>
      <c r="X340" s="2908">
        <f t="shared" si="84"/>
        <v>0</v>
      </c>
      <c r="Y340" s="2908">
        <f t="shared" si="85"/>
        <v>0</v>
      </c>
      <c r="Z340" s="955"/>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0</v>
      </c>
      <c r="R341" s="597">
        <f t="shared" si="86"/>
        <v>0</v>
      </c>
      <c r="S341" s="250">
        <f t="shared" si="87"/>
        <v>0</v>
      </c>
      <c r="T341" s="858">
        <f t="shared" si="88"/>
        <v>0</v>
      </c>
      <c r="U341" s="2908">
        <f t="shared" si="82"/>
        <v>0</v>
      </c>
      <c r="V341" s="2908">
        <f t="shared" si="83"/>
        <v>0</v>
      </c>
      <c r="W341" s="955"/>
      <c r="X341" s="2908">
        <f t="shared" si="84"/>
        <v>0</v>
      </c>
      <c r="Y341" s="2908">
        <f t="shared" si="85"/>
        <v>0</v>
      </c>
      <c r="Z341" s="955"/>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0</v>
      </c>
      <c r="R342" s="597">
        <f t="shared" si="86"/>
        <v>0</v>
      </c>
      <c r="S342" s="250">
        <f t="shared" si="87"/>
        <v>0</v>
      </c>
      <c r="T342" s="858">
        <f t="shared" si="88"/>
        <v>0</v>
      </c>
      <c r="U342" s="2908">
        <f t="shared" si="82"/>
        <v>0</v>
      </c>
      <c r="V342" s="2908">
        <f t="shared" si="83"/>
        <v>0</v>
      </c>
      <c r="W342" s="955"/>
      <c r="X342" s="2908">
        <f t="shared" si="84"/>
        <v>0</v>
      </c>
      <c r="Y342" s="2908">
        <f t="shared" si="85"/>
        <v>0</v>
      </c>
      <c r="Z342" s="955"/>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0</v>
      </c>
      <c r="R343" s="597">
        <f t="shared" si="86"/>
        <v>0</v>
      </c>
      <c r="S343" s="250">
        <f t="shared" si="87"/>
        <v>0</v>
      </c>
      <c r="T343" s="858">
        <f t="shared" si="88"/>
        <v>0</v>
      </c>
      <c r="U343" s="2908">
        <f t="shared" si="82"/>
        <v>0</v>
      </c>
      <c r="V343" s="2908">
        <f t="shared" si="83"/>
        <v>0</v>
      </c>
      <c r="W343" s="955"/>
      <c r="X343" s="2908">
        <f t="shared" si="84"/>
        <v>0</v>
      </c>
      <c r="Y343" s="2908">
        <f t="shared" si="85"/>
        <v>0</v>
      </c>
      <c r="Z343" s="955"/>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0</v>
      </c>
      <c r="R344" s="597">
        <f t="shared" si="86"/>
        <v>0</v>
      </c>
      <c r="S344" s="250">
        <f t="shared" si="87"/>
        <v>0</v>
      </c>
      <c r="T344" s="858">
        <f t="shared" si="88"/>
        <v>0</v>
      </c>
      <c r="U344" s="2908">
        <f t="shared" si="82"/>
        <v>0</v>
      </c>
      <c r="V344" s="2908">
        <f t="shared" si="83"/>
        <v>0</v>
      </c>
      <c r="W344" s="955"/>
      <c r="X344" s="2908">
        <f t="shared" si="84"/>
        <v>0</v>
      </c>
      <c r="Y344" s="2908">
        <f t="shared" si="85"/>
        <v>0</v>
      </c>
      <c r="Z344" s="955"/>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0</v>
      </c>
      <c r="R345" s="597">
        <f t="shared" si="86"/>
        <v>0</v>
      </c>
      <c r="S345" s="250">
        <f t="shared" si="87"/>
        <v>0</v>
      </c>
      <c r="T345" s="858">
        <f t="shared" si="88"/>
        <v>0</v>
      </c>
      <c r="U345" s="2908">
        <f t="shared" si="82"/>
        <v>0</v>
      </c>
      <c r="V345" s="2908">
        <f t="shared" si="83"/>
        <v>0</v>
      </c>
      <c r="W345" s="955"/>
      <c r="X345" s="2908">
        <f t="shared" si="84"/>
        <v>0</v>
      </c>
      <c r="Y345" s="2908">
        <f t="shared" si="85"/>
        <v>0</v>
      </c>
      <c r="Z345" s="955"/>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0</v>
      </c>
      <c r="R346" s="597">
        <f t="shared" si="86"/>
        <v>0</v>
      </c>
      <c r="S346" s="250">
        <f t="shared" si="87"/>
        <v>0</v>
      </c>
      <c r="T346" s="858">
        <f t="shared" si="88"/>
        <v>0</v>
      </c>
      <c r="U346" s="2908">
        <f t="shared" si="82"/>
        <v>0</v>
      </c>
      <c r="V346" s="2908">
        <f t="shared" si="83"/>
        <v>0</v>
      </c>
      <c r="W346" s="955"/>
      <c r="X346" s="2908">
        <f t="shared" si="84"/>
        <v>0</v>
      </c>
      <c r="Y346" s="2908">
        <f t="shared" si="85"/>
        <v>0</v>
      </c>
      <c r="Z346" s="955"/>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0</v>
      </c>
      <c r="R347" s="597">
        <f t="shared" si="86"/>
        <v>0</v>
      </c>
      <c r="S347" s="250">
        <f t="shared" si="87"/>
        <v>0</v>
      </c>
      <c r="T347" s="858">
        <f t="shared" si="88"/>
        <v>0</v>
      </c>
      <c r="U347" s="2908">
        <f t="shared" si="82"/>
        <v>0</v>
      </c>
      <c r="V347" s="2908">
        <f t="shared" si="83"/>
        <v>0</v>
      </c>
      <c r="W347" s="955"/>
      <c r="X347" s="2908">
        <f t="shared" si="84"/>
        <v>0</v>
      </c>
      <c r="Y347" s="2908">
        <f t="shared" si="85"/>
        <v>0</v>
      </c>
      <c r="Z347" s="955"/>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v>
      </c>
      <c r="R348" s="597">
        <f t="shared" si="86"/>
        <v>0</v>
      </c>
      <c r="S348" s="250">
        <f t="shared" si="87"/>
        <v>0</v>
      </c>
      <c r="T348" s="858">
        <f t="shared" si="88"/>
        <v>0</v>
      </c>
      <c r="U348" s="2908">
        <f t="shared" ref="U348:U411" si="97">ROUND(W348*B348,0)</f>
        <v>0</v>
      </c>
      <c r="V348" s="2908">
        <f t="shared" ref="V348:V411" si="98">ROUND(W348*B348/10000,0)</f>
        <v>0</v>
      </c>
      <c r="W348" s="955"/>
      <c r="X348" s="2908">
        <f t="shared" ref="X348:X411" si="99">ROUND(Z348*B348,0)</f>
        <v>0</v>
      </c>
      <c r="Y348" s="2908">
        <f t="shared" ref="Y348:Y411" si="100">ROUND(Z348*B348/10000,0)</f>
        <v>0</v>
      </c>
      <c r="Z348" s="955"/>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0</v>
      </c>
      <c r="R349" s="597">
        <f t="shared" ref="R349:R412" si="101">IF(B349="",0,ROUND($R$27*C349*E349*G349*I349*K349*M349*O349*Q349,0))</f>
        <v>0</v>
      </c>
      <c r="S349" s="250">
        <f t="shared" ref="S349:S412" si="102">ROUND(R349*B349,0)</f>
        <v>0</v>
      </c>
      <c r="T349" s="858">
        <f t="shared" ref="T349:T412" si="103">ROUND(R349*B349/10000,0)</f>
        <v>0</v>
      </c>
      <c r="U349" s="2908">
        <f t="shared" si="97"/>
        <v>0</v>
      </c>
      <c r="V349" s="2908">
        <f t="shared" si="98"/>
        <v>0</v>
      </c>
      <c r="W349" s="955"/>
      <c r="X349" s="2908">
        <f t="shared" si="99"/>
        <v>0</v>
      </c>
      <c r="Y349" s="2908">
        <f t="shared" si="100"/>
        <v>0</v>
      </c>
      <c r="Z349" s="955"/>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0</v>
      </c>
      <c r="R350" s="597">
        <f t="shared" si="101"/>
        <v>0</v>
      </c>
      <c r="S350" s="250">
        <f t="shared" si="102"/>
        <v>0</v>
      </c>
      <c r="T350" s="858">
        <f t="shared" si="103"/>
        <v>0</v>
      </c>
      <c r="U350" s="2908">
        <f t="shared" si="97"/>
        <v>0</v>
      </c>
      <c r="V350" s="2908">
        <f t="shared" si="98"/>
        <v>0</v>
      </c>
      <c r="W350" s="955"/>
      <c r="X350" s="2908">
        <f t="shared" si="99"/>
        <v>0</v>
      </c>
      <c r="Y350" s="2908">
        <f t="shared" si="100"/>
        <v>0</v>
      </c>
      <c r="Z350" s="955"/>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0</v>
      </c>
      <c r="R351" s="597">
        <f t="shared" si="101"/>
        <v>0</v>
      </c>
      <c r="S351" s="250">
        <f t="shared" si="102"/>
        <v>0</v>
      </c>
      <c r="T351" s="858">
        <f t="shared" si="103"/>
        <v>0</v>
      </c>
      <c r="U351" s="2908">
        <f t="shared" si="97"/>
        <v>0</v>
      </c>
      <c r="V351" s="2908">
        <f t="shared" si="98"/>
        <v>0</v>
      </c>
      <c r="W351" s="955"/>
      <c r="X351" s="2908">
        <f t="shared" si="99"/>
        <v>0</v>
      </c>
      <c r="Y351" s="2908">
        <f t="shared" si="100"/>
        <v>0</v>
      </c>
      <c r="Z351" s="955"/>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0</v>
      </c>
      <c r="R352" s="597">
        <f t="shared" si="101"/>
        <v>0</v>
      </c>
      <c r="S352" s="250">
        <f t="shared" si="102"/>
        <v>0</v>
      </c>
      <c r="T352" s="858">
        <f t="shared" si="103"/>
        <v>0</v>
      </c>
      <c r="U352" s="2908">
        <f t="shared" si="97"/>
        <v>0</v>
      </c>
      <c r="V352" s="2908">
        <f t="shared" si="98"/>
        <v>0</v>
      </c>
      <c r="W352" s="955"/>
      <c r="X352" s="2908">
        <f t="shared" si="99"/>
        <v>0</v>
      </c>
      <c r="Y352" s="2908">
        <f t="shared" si="100"/>
        <v>0</v>
      </c>
      <c r="Z352" s="955"/>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0</v>
      </c>
      <c r="R353" s="597">
        <f t="shared" si="101"/>
        <v>0</v>
      </c>
      <c r="S353" s="250">
        <f t="shared" si="102"/>
        <v>0</v>
      </c>
      <c r="T353" s="858">
        <f t="shared" si="103"/>
        <v>0</v>
      </c>
      <c r="U353" s="2908">
        <f t="shared" si="97"/>
        <v>0</v>
      </c>
      <c r="V353" s="2908">
        <f t="shared" si="98"/>
        <v>0</v>
      </c>
      <c r="W353" s="955"/>
      <c r="X353" s="2908">
        <f t="shared" si="99"/>
        <v>0</v>
      </c>
      <c r="Y353" s="2908">
        <f t="shared" si="100"/>
        <v>0</v>
      </c>
      <c r="Z353" s="955"/>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0</v>
      </c>
      <c r="R354" s="597">
        <f t="shared" si="101"/>
        <v>0</v>
      </c>
      <c r="S354" s="250">
        <f t="shared" si="102"/>
        <v>0</v>
      </c>
      <c r="T354" s="858">
        <f t="shared" si="103"/>
        <v>0</v>
      </c>
      <c r="U354" s="2908">
        <f t="shared" si="97"/>
        <v>0</v>
      </c>
      <c r="V354" s="2908">
        <f t="shared" si="98"/>
        <v>0</v>
      </c>
      <c r="W354" s="955"/>
      <c r="X354" s="2908">
        <f t="shared" si="99"/>
        <v>0</v>
      </c>
      <c r="Y354" s="2908">
        <f t="shared" si="100"/>
        <v>0</v>
      </c>
      <c r="Z354" s="955"/>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0</v>
      </c>
      <c r="R355" s="597">
        <f t="shared" si="101"/>
        <v>0</v>
      </c>
      <c r="S355" s="250">
        <f t="shared" si="102"/>
        <v>0</v>
      </c>
      <c r="T355" s="858">
        <f t="shared" si="103"/>
        <v>0</v>
      </c>
      <c r="U355" s="2908">
        <f t="shared" si="97"/>
        <v>0</v>
      </c>
      <c r="V355" s="2908">
        <f t="shared" si="98"/>
        <v>0</v>
      </c>
      <c r="W355" s="955"/>
      <c r="X355" s="2908">
        <f t="shared" si="99"/>
        <v>0</v>
      </c>
      <c r="Y355" s="2908">
        <f t="shared" si="100"/>
        <v>0</v>
      </c>
      <c r="Z355" s="955"/>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0</v>
      </c>
      <c r="R356" s="597">
        <f t="shared" si="101"/>
        <v>0</v>
      </c>
      <c r="S356" s="250">
        <f t="shared" si="102"/>
        <v>0</v>
      </c>
      <c r="T356" s="858">
        <f t="shared" si="103"/>
        <v>0</v>
      </c>
      <c r="U356" s="2908">
        <f t="shared" si="97"/>
        <v>0</v>
      </c>
      <c r="V356" s="2908">
        <f t="shared" si="98"/>
        <v>0</v>
      </c>
      <c r="W356" s="955"/>
      <c r="X356" s="2908">
        <f t="shared" si="99"/>
        <v>0</v>
      </c>
      <c r="Y356" s="2908">
        <f t="shared" si="100"/>
        <v>0</v>
      </c>
      <c r="Z356" s="955"/>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0</v>
      </c>
      <c r="R357" s="597">
        <f t="shared" si="101"/>
        <v>0</v>
      </c>
      <c r="S357" s="250">
        <f t="shared" si="102"/>
        <v>0</v>
      </c>
      <c r="T357" s="858">
        <f t="shared" si="103"/>
        <v>0</v>
      </c>
      <c r="U357" s="2908">
        <f t="shared" si="97"/>
        <v>0</v>
      </c>
      <c r="V357" s="2908">
        <f t="shared" si="98"/>
        <v>0</v>
      </c>
      <c r="W357" s="955"/>
      <c r="X357" s="2908">
        <f t="shared" si="99"/>
        <v>0</v>
      </c>
      <c r="Y357" s="2908">
        <f t="shared" si="100"/>
        <v>0</v>
      </c>
      <c r="Z357" s="955"/>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0</v>
      </c>
      <c r="R358" s="597">
        <f t="shared" si="101"/>
        <v>0</v>
      </c>
      <c r="S358" s="250">
        <f t="shared" si="102"/>
        <v>0</v>
      </c>
      <c r="T358" s="858">
        <f t="shared" si="103"/>
        <v>0</v>
      </c>
      <c r="U358" s="2908">
        <f t="shared" si="97"/>
        <v>0</v>
      </c>
      <c r="V358" s="2908">
        <f t="shared" si="98"/>
        <v>0</v>
      </c>
      <c r="W358" s="955"/>
      <c r="X358" s="2908">
        <f t="shared" si="99"/>
        <v>0</v>
      </c>
      <c r="Y358" s="2908">
        <f t="shared" si="100"/>
        <v>0</v>
      </c>
      <c r="Z358" s="955"/>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0</v>
      </c>
      <c r="R359" s="597">
        <f t="shared" si="101"/>
        <v>0</v>
      </c>
      <c r="S359" s="250">
        <f t="shared" si="102"/>
        <v>0</v>
      </c>
      <c r="T359" s="858">
        <f t="shared" si="103"/>
        <v>0</v>
      </c>
      <c r="U359" s="2908">
        <f t="shared" si="97"/>
        <v>0</v>
      </c>
      <c r="V359" s="2908">
        <f t="shared" si="98"/>
        <v>0</v>
      </c>
      <c r="W359" s="955"/>
      <c r="X359" s="2908">
        <f t="shared" si="99"/>
        <v>0</v>
      </c>
      <c r="Y359" s="2908">
        <f t="shared" si="100"/>
        <v>0</v>
      </c>
      <c r="Z359" s="955"/>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0</v>
      </c>
      <c r="R360" s="597">
        <f t="shared" si="101"/>
        <v>0</v>
      </c>
      <c r="S360" s="250">
        <f t="shared" si="102"/>
        <v>0</v>
      </c>
      <c r="T360" s="858">
        <f t="shared" si="103"/>
        <v>0</v>
      </c>
      <c r="U360" s="2908">
        <f t="shared" si="97"/>
        <v>0</v>
      </c>
      <c r="V360" s="2908">
        <f t="shared" si="98"/>
        <v>0</v>
      </c>
      <c r="W360" s="955"/>
      <c r="X360" s="2908">
        <f t="shared" si="99"/>
        <v>0</v>
      </c>
      <c r="Y360" s="2908">
        <f t="shared" si="100"/>
        <v>0</v>
      </c>
      <c r="Z360" s="955"/>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0</v>
      </c>
      <c r="R361" s="597">
        <f t="shared" si="101"/>
        <v>0</v>
      </c>
      <c r="S361" s="250">
        <f t="shared" si="102"/>
        <v>0</v>
      </c>
      <c r="T361" s="858">
        <f t="shared" si="103"/>
        <v>0</v>
      </c>
      <c r="U361" s="2908">
        <f t="shared" si="97"/>
        <v>0</v>
      </c>
      <c r="V361" s="2908">
        <f t="shared" si="98"/>
        <v>0</v>
      </c>
      <c r="W361" s="955"/>
      <c r="X361" s="2908">
        <f t="shared" si="99"/>
        <v>0</v>
      </c>
      <c r="Y361" s="2908">
        <f t="shared" si="100"/>
        <v>0</v>
      </c>
      <c r="Z361" s="955"/>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0</v>
      </c>
      <c r="R362" s="597">
        <f t="shared" si="101"/>
        <v>0</v>
      </c>
      <c r="S362" s="250">
        <f t="shared" si="102"/>
        <v>0</v>
      </c>
      <c r="T362" s="858">
        <f t="shared" si="103"/>
        <v>0</v>
      </c>
      <c r="U362" s="2908">
        <f t="shared" si="97"/>
        <v>0</v>
      </c>
      <c r="V362" s="2908">
        <f t="shared" si="98"/>
        <v>0</v>
      </c>
      <c r="W362" s="955"/>
      <c r="X362" s="2908">
        <f t="shared" si="99"/>
        <v>0</v>
      </c>
      <c r="Y362" s="2908">
        <f t="shared" si="100"/>
        <v>0</v>
      </c>
      <c r="Z362" s="955"/>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0</v>
      </c>
      <c r="R363" s="597">
        <f t="shared" si="101"/>
        <v>0</v>
      </c>
      <c r="S363" s="250">
        <f t="shared" si="102"/>
        <v>0</v>
      </c>
      <c r="T363" s="858">
        <f t="shared" si="103"/>
        <v>0</v>
      </c>
      <c r="U363" s="2908">
        <f t="shared" si="97"/>
        <v>0</v>
      </c>
      <c r="V363" s="2908">
        <f t="shared" si="98"/>
        <v>0</v>
      </c>
      <c r="W363" s="955"/>
      <c r="X363" s="2908">
        <f t="shared" si="99"/>
        <v>0</v>
      </c>
      <c r="Y363" s="2908">
        <f t="shared" si="100"/>
        <v>0</v>
      </c>
      <c r="Z363" s="955"/>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0</v>
      </c>
      <c r="R364" s="597">
        <f t="shared" si="101"/>
        <v>0</v>
      </c>
      <c r="S364" s="250">
        <f t="shared" si="102"/>
        <v>0</v>
      </c>
      <c r="T364" s="858">
        <f t="shared" si="103"/>
        <v>0</v>
      </c>
      <c r="U364" s="2908">
        <f t="shared" si="97"/>
        <v>0</v>
      </c>
      <c r="V364" s="2908">
        <f t="shared" si="98"/>
        <v>0</v>
      </c>
      <c r="W364" s="955"/>
      <c r="X364" s="2908">
        <f t="shared" si="99"/>
        <v>0</v>
      </c>
      <c r="Y364" s="2908">
        <f t="shared" si="100"/>
        <v>0</v>
      </c>
      <c r="Z364" s="955"/>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0</v>
      </c>
      <c r="R365" s="597">
        <f t="shared" si="101"/>
        <v>0</v>
      </c>
      <c r="S365" s="250">
        <f t="shared" si="102"/>
        <v>0</v>
      </c>
      <c r="T365" s="858">
        <f t="shared" si="103"/>
        <v>0</v>
      </c>
      <c r="U365" s="2908">
        <f t="shared" si="97"/>
        <v>0</v>
      </c>
      <c r="V365" s="2908">
        <f t="shared" si="98"/>
        <v>0</v>
      </c>
      <c r="W365" s="955"/>
      <c r="X365" s="2908">
        <f t="shared" si="99"/>
        <v>0</v>
      </c>
      <c r="Y365" s="2908">
        <f t="shared" si="100"/>
        <v>0</v>
      </c>
      <c r="Z365" s="955"/>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0</v>
      </c>
      <c r="R366" s="597">
        <f t="shared" si="101"/>
        <v>0</v>
      </c>
      <c r="S366" s="250">
        <f t="shared" si="102"/>
        <v>0</v>
      </c>
      <c r="T366" s="858">
        <f t="shared" si="103"/>
        <v>0</v>
      </c>
      <c r="U366" s="2908">
        <f t="shared" si="97"/>
        <v>0</v>
      </c>
      <c r="V366" s="2908">
        <f t="shared" si="98"/>
        <v>0</v>
      </c>
      <c r="W366" s="955"/>
      <c r="X366" s="2908">
        <f t="shared" si="99"/>
        <v>0</v>
      </c>
      <c r="Y366" s="2908">
        <f t="shared" si="100"/>
        <v>0</v>
      </c>
      <c r="Z366" s="955"/>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0</v>
      </c>
      <c r="R367" s="597">
        <f t="shared" si="101"/>
        <v>0</v>
      </c>
      <c r="S367" s="250">
        <f t="shared" si="102"/>
        <v>0</v>
      </c>
      <c r="T367" s="858">
        <f t="shared" si="103"/>
        <v>0</v>
      </c>
      <c r="U367" s="2908">
        <f t="shared" si="97"/>
        <v>0</v>
      </c>
      <c r="V367" s="2908">
        <f t="shared" si="98"/>
        <v>0</v>
      </c>
      <c r="W367" s="955"/>
      <c r="X367" s="2908">
        <f t="shared" si="99"/>
        <v>0</v>
      </c>
      <c r="Y367" s="2908">
        <f t="shared" si="100"/>
        <v>0</v>
      </c>
      <c r="Z367" s="955"/>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0</v>
      </c>
      <c r="R368" s="597">
        <f t="shared" si="101"/>
        <v>0</v>
      </c>
      <c r="S368" s="250">
        <f t="shared" si="102"/>
        <v>0</v>
      </c>
      <c r="T368" s="858">
        <f t="shared" si="103"/>
        <v>0</v>
      </c>
      <c r="U368" s="2908">
        <f t="shared" si="97"/>
        <v>0</v>
      </c>
      <c r="V368" s="2908">
        <f t="shared" si="98"/>
        <v>0</v>
      </c>
      <c r="W368" s="955"/>
      <c r="X368" s="2908">
        <f t="shared" si="99"/>
        <v>0</v>
      </c>
      <c r="Y368" s="2908">
        <f t="shared" si="100"/>
        <v>0</v>
      </c>
      <c r="Z368" s="955"/>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0</v>
      </c>
      <c r="R369" s="597">
        <f t="shared" si="101"/>
        <v>0</v>
      </c>
      <c r="S369" s="250">
        <f t="shared" si="102"/>
        <v>0</v>
      </c>
      <c r="T369" s="858">
        <f t="shared" si="103"/>
        <v>0</v>
      </c>
      <c r="U369" s="2908">
        <f t="shared" si="97"/>
        <v>0</v>
      </c>
      <c r="V369" s="2908">
        <f t="shared" si="98"/>
        <v>0</v>
      </c>
      <c r="W369" s="955"/>
      <c r="X369" s="2908">
        <f t="shared" si="99"/>
        <v>0</v>
      </c>
      <c r="Y369" s="2908">
        <f t="shared" si="100"/>
        <v>0</v>
      </c>
      <c r="Z369" s="955"/>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0</v>
      </c>
      <c r="R370" s="597">
        <f t="shared" si="101"/>
        <v>0</v>
      </c>
      <c r="S370" s="250">
        <f t="shared" si="102"/>
        <v>0</v>
      </c>
      <c r="T370" s="858">
        <f t="shared" si="103"/>
        <v>0</v>
      </c>
      <c r="U370" s="2908">
        <f t="shared" si="97"/>
        <v>0</v>
      </c>
      <c r="V370" s="2908">
        <f t="shared" si="98"/>
        <v>0</v>
      </c>
      <c r="W370" s="955"/>
      <c r="X370" s="2908">
        <f t="shared" si="99"/>
        <v>0</v>
      </c>
      <c r="Y370" s="2908">
        <f t="shared" si="100"/>
        <v>0</v>
      </c>
      <c r="Z370" s="955"/>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0</v>
      </c>
      <c r="R371" s="597">
        <f t="shared" si="101"/>
        <v>0</v>
      </c>
      <c r="S371" s="250">
        <f t="shared" si="102"/>
        <v>0</v>
      </c>
      <c r="T371" s="858">
        <f t="shared" si="103"/>
        <v>0</v>
      </c>
      <c r="U371" s="2908">
        <f t="shared" si="97"/>
        <v>0</v>
      </c>
      <c r="V371" s="2908">
        <f t="shared" si="98"/>
        <v>0</v>
      </c>
      <c r="W371" s="955"/>
      <c r="X371" s="2908">
        <f t="shared" si="99"/>
        <v>0</v>
      </c>
      <c r="Y371" s="2908">
        <f t="shared" si="100"/>
        <v>0</v>
      </c>
      <c r="Z371" s="955"/>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0</v>
      </c>
      <c r="R372" s="597">
        <f t="shared" si="101"/>
        <v>0</v>
      </c>
      <c r="S372" s="250">
        <f t="shared" si="102"/>
        <v>0</v>
      </c>
      <c r="T372" s="858">
        <f t="shared" si="103"/>
        <v>0</v>
      </c>
      <c r="U372" s="2908">
        <f t="shared" si="97"/>
        <v>0</v>
      </c>
      <c r="V372" s="2908">
        <f t="shared" si="98"/>
        <v>0</v>
      </c>
      <c r="W372" s="955"/>
      <c r="X372" s="2908">
        <f t="shared" si="99"/>
        <v>0</v>
      </c>
      <c r="Y372" s="2908">
        <f t="shared" si="100"/>
        <v>0</v>
      </c>
      <c r="Z372" s="955"/>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0</v>
      </c>
      <c r="R373" s="597">
        <f t="shared" si="101"/>
        <v>0</v>
      </c>
      <c r="S373" s="250">
        <f t="shared" si="102"/>
        <v>0</v>
      </c>
      <c r="T373" s="858">
        <f t="shared" si="103"/>
        <v>0</v>
      </c>
      <c r="U373" s="2908">
        <f t="shared" si="97"/>
        <v>0</v>
      </c>
      <c r="V373" s="2908">
        <f t="shared" si="98"/>
        <v>0</v>
      </c>
      <c r="W373" s="955"/>
      <c r="X373" s="2908">
        <f t="shared" si="99"/>
        <v>0</v>
      </c>
      <c r="Y373" s="2908">
        <f t="shared" si="100"/>
        <v>0</v>
      </c>
      <c r="Z373" s="955"/>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0</v>
      </c>
      <c r="R374" s="597">
        <f t="shared" si="101"/>
        <v>0</v>
      </c>
      <c r="S374" s="250">
        <f t="shared" si="102"/>
        <v>0</v>
      </c>
      <c r="T374" s="858">
        <f t="shared" si="103"/>
        <v>0</v>
      </c>
      <c r="U374" s="2908">
        <f t="shared" si="97"/>
        <v>0</v>
      </c>
      <c r="V374" s="2908">
        <f t="shared" si="98"/>
        <v>0</v>
      </c>
      <c r="W374" s="955"/>
      <c r="X374" s="2908">
        <f t="shared" si="99"/>
        <v>0</v>
      </c>
      <c r="Y374" s="2908">
        <f t="shared" si="100"/>
        <v>0</v>
      </c>
      <c r="Z374" s="955"/>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0</v>
      </c>
      <c r="R375" s="597">
        <f t="shared" si="101"/>
        <v>0</v>
      </c>
      <c r="S375" s="250">
        <f t="shared" si="102"/>
        <v>0</v>
      </c>
      <c r="T375" s="858">
        <f t="shared" si="103"/>
        <v>0</v>
      </c>
      <c r="U375" s="2908">
        <f t="shared" si="97"/>
        <v>0</v>
      </c>
      <c r="V375" s="2908">
        <f t="shared" si="98"/>
        <v>0</v>
      </c>
      <c r="W375" s="955"/>
      <c r="X375" s="2908">
        <f t="shared" si="99"/>
        <v>0</v>
      </c>
      <c r="Y375" s="2908">
        <f t="shared" si="100"/>
        <v>0</v>
      </c>
      <c r="Z375" s="955"/>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0</v>
      </c>
      <c r="R376" s="597">
        <f t="shared" si="101"/>
        <v>0</v>
      </c>
      <c r="S376" s="250">
        <f t="shared" si="102"/>
        <v>0</v>
      </c>
      <c r="T376" s="858">
        <f t="shared" si="103"/>
        <v>0</v>
      </c>
      <c r="U376" s="2908">
        <f t="shared" si="97"/>
        <v>0</v>
      </c>
      <c r="V376" s="2908">
        <f t="shared" si="98"/>
        <v>0</v>
      </c>
      <c r="W376" s="955"/>
      <c r="X376" s="2908">
        <f t="shared" si="99"/>
        <v>0</v>
      </c>
      <c r="Y376" s="2908">
        <f t="shared" si="100"/>
        <v>0</v>
      </c>
      <c r="Z376" s="955"/>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0</v>
      </c>
      <c r="R377" s="597">
        <f t="shared" si="101"/>
        <v>0</v>
      </c>
      <c r="S377" s="250">
        <f t="shared" si="102"/>
        <v>0</v>
      </c>
      <c r="T377" s="858">
        <f t="shared" si="103"/>
        <v>0</v>
      </c>
      <c r="U377" s="2908">
        <f t="shared" si="97"/>
        <v>0</v>
      </c>
      <c r="V377" s="2908">
        <f t="shared" si="98"/>
        <v>0</v>
      </c>
      <c r="W377" s="955"/>
      <c r="X377" s="2908">
        <f t="shared" si="99"/>
        <v>0</v>
      </c>
      <c r="Y377" s="2908">
        <f t="shared" si="100"/>
        <v>0</v>
      </c>
      <c r="Z377" s="955"/>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0</v>
      </c>
      <c r="R378" s="597">
        <f t="shared" si="101"/>
        <v>0</v>
      </c>
      <c r="S378" s="250">
        <f t="shared" si="102"/>
        <v>0</v>
      </c>
      <c r="T378" s="858">
        <f t="shared" si="103"/>
        <v>0</v>
      </c>
      <c r="U378" s="2908">
        <f t="shared" si="97"/>
        <v>0</v>
      </c>
      <c r="V378" s="2908">
        <f t="shared" si="98"/>
        <v>0</v>
      </c>
      <c r="W378" s="955"/>
      <c r="X378" s="2908">
        <f t="shared" si="99"/>
        <v>0</v>
      </c>
      <c r="Y378" s="2908">
        <f t="shared" si="100"/>
        <v>0</v>
      </c>
      <c r="Z378" s="955"/>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0</v>
      </c>
      <c r="R379" s="597">
        <f t="shared" si="101"/>
        <v>0</v>
      </c>
      <c r="S379" s="250">
        <f t="shared" si="102"/>
        <v>0</v>
      </c>
      <c r="T379" s="858">
        <f t="shared" si="103"/>
        <v>0</v>
      </c>
      <c r="U379" s="2908">
        <f t="shared" si="97"/>
        <v>0</v>
      </c>
      <c r="V379" s="2908">
        <f t="shared" si="98"/>
        <v>0</v>
      </c>
      <c r="W379" s="955"/>
      <c r="X379" s="2908">
        <f t="shared" si="99"/>
        <v>0</v>
      </c>
      <c r="Y379" s="2908">
        <f t="shared" si="100"/>
        <v>0</v>
      </c>
      <c r="Z379" s="955"/>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0</v>
      </c>
      <c r="R380" s="597">
        <f t="shared" si="101"/>
        <v>0</v>
      </c>
      <c r="S380" s="250">
        <f t="shared" si="102"/>
        <v>0</v>
      </c>
      <c r="T380" s="858">
        <f t="shared" si="103"/>
        <v>0</v>
      </c>
      <c r="U380" s="2908">
        <f t="shared" si="97"/>
        <v>0</v>
      </c>
      <c r="V380" s="2908">
        <f t="shared" si="98"/>
        <v>0</v>
      </c>
      <c r="W380" s="955"/>
      <c r="X380" s="2908">
        <f t="shared" si="99"/>
        <v>0</v>
      </c>
      <c r="Y380" s="2908">
        <f t="shared" si="100"/>
        <v>0</v>
      </c>
      <c r="Z380" s="955"/>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0</v>
      </c>
      <c r="R381" s="597">
        <f t="shared" si="101"/>
        <v>0</v>
      </c>
      <c r="S381" s="250">
        <f t="shared" si="102"/>
        <v>0</v>
      </c>
      <c r="T381" s="858">
        <f t="shared" si="103"/>
        <v>0</v>
      </c>
      <c r="U381" s="2908">
        <f t="shared" si="97"/>
        <v>0</v>
      </c>
      <c r="V381" s="2908">
        <f t="shared" si="98"/>
        <v>0</v>
      </c>
      <c r="W381" s="955"/>
      <c r="X381" s="2908">
        <f t="shared" si="99"/>
        <v>0</v>
      </c>
      <c r="Y381" s="2908">
        <f t="shared" si="100"/>
        <v>0</v>
      </c>
      <c r="Z381" s="955"/>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0</v>
      </c>
      <c r="R382" s="597">
        <f t="shared" si="101"/>
        <v>0</v>
      </c>
      <c r="S382" s="250">
        <f t="shared" si="102"/>
        <v>0</v>
      </c>
      <c r="T382" s="858">
        <f t="shared" si="103"/>
        <v>0</v>
      </c>
      <c r="U382" s="2908">
        <f t="shared" si="97"/>
        <v>0</v>
      </c>
      <c r="V382" s="2908">
        <f t="shared" si="98"/>
        <v>0</v>
      </c>
      <c r="W382" s="955"/>
      <c r="X382" s="2908">
        <f t="shared" si="99"/>
        <v>0</v>
      </c>
      <c r="Y382" s="2908">
        <f t="shared" si="100"/>
        <v>0</v>
      </c>
      <c r="Z382" s="955"/>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0</v>
      </c>
      <c r="R383" s="597">
        <f t="shared" si="101"/>
        <v>0</v>
      </c>
      <c r="S383" s="250">
        <f t="shared" si="102"/>
        <v>0</v>
      </c>
      <c r="T383" s="858">
        <f t="shared" si="103"/>
        <v>0</v>
      </c>
      <c r="U383" s="2908">
        <f t="shared" si="97"/>
        <v>0</v>
      </c>
      <c r="V383" s="2908">
        <f t="shared" si="98"/>
        <v>0</v>
      </c>
      <c r="W383" s="955"/>
      <c r="X383" s="2908">
        <f t="shared" si="99"/>
        <v>0</v>
      </c>
      <c r="Y383" s="2908">
        <f t="shared" si="100"/>
        <v>0</v>
      </c>
      <c r="Z383" s="955"/>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0</v>
      </c>
      <c r="R384" s="597">
        <f t="shared" si="101"/>
        <v>0</v>
      </c>
      <c r="S384" s="250">
        <f t="shared" si="102"/>
        <v>0</v>
      </c>
      <c r="T384" s="858">
        <f t="shared" si="103"/>
        <v>0</v>
      </c>
      <c r="U384" s="2908">
        <f t="shared" si="97"/>
        <v>0</v>
      </c>
      <c r="V384" s="2908">
        <f t="shared" si="98"/>
        <v>0</v>
      </c>
      <c r="W384" s="955"/>
      <c r="X384" s="2908">
        <f t="shared" si="99"/>
        <v>0</v>
      </c>
      <c r="Y384" s="2908">
        <f t="shared" si="100"/>
        <v>0</v>
      </c>
      <c r="Z384" s="955"/>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0</v>
      </c>
      <c r="R385" s="597">
        <f t="shared" si="101"/>
        <v>0</v>
      </c>
      <c r="S385" s="250">
        <f t="shared" si="102"/>
        <v>0</v>
      </c>
      <c r="T385" s="858">
        <f t="shared" si="103"/>
        <v>0</v>
      </c>
      <c r="U385" s="2908">
        <f t="shared" si="97"/>
        <v>0</v>
      </c>
      <c r="V385" s="2908">
        <f t="shared" si="98"/>
        <v>0</v>
      </c>
      <c r="W385" s="955"/>
      <c r="X385" s="2908">
        <f t="shared" si="99"/>
        <v>0</v>
      </c>
      <c r="Y385" s="2908">
        <f t="shared" si="100"/>
        <v>0</v>
      </c>
      <c r="Z385" s="955"/>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0</v>
      </c>
      <c r="R386" s="597">
        <f t="shared" si="101"/>
        <v>0</v>
      </c>
      <c r="S386" s="250">
        <f t="shared" si="102"/>
        <v>0</v>
      </c>
      <c r="T386" s="858">
        <f t="shared" si="103"/>
        <v>0</v>
      </c>
      <c r="U386" s="2908">
        <f t="shared" si="97"/>
        <v>0</v>
      </c>
      <c r="V386" s="2908">
        <f t="shared" si="98"/>
        <v>0</v>
      </c>
      <c r="W386" s="955"/>
      <c r="X386" s="2908">
        <f t="shared" si="99"/>
        <v>0</v>
      </c>
      <c r="Y386" s="2908">
        <f t="shared" si="100"/>
        <v>0</v>
      </c>
      <c r="Z386" s="955"/>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0</v>
      </c>
      <c r="R387" s="597">
        <f t="shared" si="101"/>
        <v>0</v>
      </c>
      <c r="S387" s="250">
        <f t="shared" si="102"/>
        <v>0</v>
      </c>
      <c r="T387" s="858">
        <f t="shared" si="103"/>
        <v>0</v>
      </c>
      <c r="U387" s="2908">
        <f t="shared" si="97"/>
        <v>0</v>
      </c>
      <c r="V387" s="2908">
        <f t="shared" si="98"/>
        <v>0</v>
      </c>
      <c r="W387" s="955"/>
      <c r="X387" s="2908">
        <f t="shared" si="99"/>
        <v>0</v>
      </c>
      <c r="Y387" s="2908">
        <f t="shared" si="100"/>
        <v>0</v>
      </c>
      <c r="Z387" s="955"/>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0</v>
      </c>
      <c r="R388" s="597">
        <f t="shared" si="101"/>
        <v>0</v>
      </c>
      <c r="S388" s="250">
        <f t="shared" si="102"/>
        <v>0</v>
      </c>
      <c r="T388" s="858">
        <f t="shared" si="103"/>
        <v>0</v>
      </c>
      <c r="U388" s="2908">
        <f t="shared" si="97"/>
        <v>0</v>
      </c>
      <c r="V388" s="2908">
        <f t="shared" si="98"/>
        <v>0</v>
      </c>
      <c r="W388" s="955"/>
      <c r="X388" s="2908">
        <f t="shared" si="99"/>
        <v>0</v>
      </c>
      <c r="Y388" s="2908">
        <f t="shared" si="100"/>
        <v>0</v>
      </c>
      <c r="Z388" s="955"/>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0</v>
      </c>
      <c r="R389" s="597">
        <f t="shared" si="101"/>
        <v>0</v>
      </c>
      <c r="S389" s="250">
        <f t="shared" si="102"/>
        <v>0</v>
      </c>
      <c r="T389" s="858">
        <f t="shared" si="103"/>
        <v>0</v>
      </c>
      <c r="U389" s="2908">
        <f t="shared" si="97"/>
        <v>0</v>
      </c>
      <c r="V389" s="2908">
        <f t="shared" si="98"/>
        <v>0</v>
      </c>
      <c r="W389" s="955"/>
      <c r="X389" s="2908">
        <f t="shared" si="99"/>
        <v>0</v>
      </c>
      <c r="Y389" s="2908">
        <f t="shared" si="100"/>
        <v>0</v>
      </c>
      <c r="Z389" s="955"/>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0</v>
      </c>
      <c r="R390" s="597">
        <f t="shared" si="101"/>
        <v>0</v>
      </c>
      <c r="S390" s="250">
        <f t="shared" si="102"/>
        <v>0</v>
      </c>
      <c r="T390" s="858">
        <f t="shared" si="103"/>
        <v>0</v>
      </c>
      <c r="U390" s="2908">
        <f t="shared" si="97"/>
        <v>0</v>
      </c>
      <c r="V390" s="2908">
        <f t="shared" si="98"/>
        <v>0</v>
      </c>
      <c r="W390" s="955"/>
      <c r="X390" s="2908">
        <f t="shared" si="99"/>
        <v>0</v>
      </c>
      <c r="Y390" s="2908">
        <f t="shared" si="100"/>
        <v>0</v>
      </c>
      <c r="Z390" s="955"/>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0</v>
      </c>
      <c r="R391" s="597">
        <f t="shared" si="101"/>
        <v>0</v>
      </c>
      <c r="S391" s="250">
        <f t="shared" si="102"/>
        <v>0</v>
      </c>
      <c r="T391" s="858">
        <f t="shared" si="103"/>
        <v>0</v>
      </c>
      <c r="U391" s="2908">
        <f t="shared" si="97"/>
        <v>0</v>
      </c>
      <c r="V391" s="2908">
        <f t="shared" si="98"/>
        <v>0</v>
      </c>
      <c r="W391" s="955"/>
      <c r="X391" s="2908">
        <f t="shared" si="99"/>
        <v>0</v>
      </c>
      <c r="Y391" s="2908">
        <f t="shared" si="100"/>
        <v>0</v>
      </c>
      <c r="Z391" s="955"/>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0</v>
      </c>
      <c r="R392" s="597">
        <f t="shared" si="101"/>
        <v>0</v>
      </c>
      <c r="S392" s="250">
        <f t="shared" si="102"/>
        <v>0</v>
      </c>
      <c r="T392" s="858">
        <f t="shared" si="103"/>
        <v>0</v>
      </c>
      <c r="U392" s="2908">
        <f t="shared" si="97"/>
        <v>0</v>
      </c>
      <c r="V392" s="2908">
        <f t="shared" si="98"/>
        <v>0</v>
      </c>
      <c r="W392" s="955"/>
      <c r="X392" s="2908">
        <f t="shared" si="99"/>
        <v>0</v>
      </c>
      <c r="Y392" s="2908">
        <f t="shared" si="100"/>
        <v>0</v>
      </c>
      <c r="Z392" s="955"/>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0</v>
      </c>
      <c r="R393" s="597">
        <f t="shared" si="101"/>
        <v>0</v>
      </c>
      <c r="S393" s="250">
        <f t="shared" si="102"/>
        <v>0</v>
      </c>
      <c r="T393" s="858">
        <f t="shared" si="103"/>
        <v>0</v>
      </c>
      <c r="U393" s="2908">
        <f t="shared" si="97"/>
        <v>0</v>
      </c>
      <c r="V393" s="2908">
        <f t="shared" si="98"/>
        <v>0</v>
      </c>
      <c r="W393" s="955"/>
      <c r="X393" s="2908">
        <f t="shared" si="99"/>
        <v>0</v>
      </c>
      <c r="Y393" s="2908">
        <f t="shared" si="100"/>
        <v>0</v>
      </c>
      <c r="Z393" s="955"/>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0</v>
      </c>
      <c r="R394" s="597">
        <f t="shared" si="101"/>
        <v>0</v>
      </c>
      <c r="S394" s="250">
        <f t="shared" si="102"/>
        <v>0</v>
      </c>
      <c r="T394" s="858">
        <f t="shared" si="103"/>
        <v>0</v>
      </c>
      <c r="U394" s="2908">
        <f t="shared" si="97"/>
        <v>0</v>
      </c>
      <c r="V394" s="2908">
        <f t="shared" si="98"/>
        <v>0</v>
      </c>
      <c r="W394" s="955"/>
      <c r="X394" s="2908">
        <f t="shared" si="99"/>
        <v>0</v>
      </c>
      <c r="Y394" s="2908">
        <f t="shared" si="100"/>
        <v>0</v>
      </c>
      <c r="Z394" s="955"/>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0</v>
      </c>
      <c r="R395" s="597">
        <f t="shared" si="101"/>
        <v>0</v>
      </c>
      <c r="S395" s="250">
        <f t="shared" si="102"/>
        <v>0</v>
      </c>
      <c r="T395" s="858">
        <f t="shared" si="103"/>
        <v>0</v>
      </c>
      <c r="U395" s="2908">
        <f t="shared" si="97"/>
        <v>0</v>
      </c>
      <c r="V395" s="2908">
        <f t="shared" si="98"/>
        <v>0</v>
      </c>
      <c r="W395" s="955"/>
      <c r="X395" s="2908">
        <f t="shared" si="99"/>
        <v>0</v>
      </c>
      <c r="Y395" s="2908">
        <f t="shared" si="100"/>
        <v>0</v>
      </c>
      <c r="Z395" s="955"/>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0</v>
      </c>
      <c r="R396" s="597">
        <f t="shared" si="101"/>
        <v>0</v>
      </c>
      <c r="S396" s="250">
        <f t="shared" si="102"/>
        <v>0</v>
      </c>
      <c r="T396" s="858">
        <f t="shared" si="103"/>
        <v>0</v>
      </c>
      <c r="U396" s="2908">
        <f t="shared" si="97"/>
        <v>0</v>
      </c>
      <c r="V396" s="2908">
        <f t="shared" si="98"/>
        <v>0</v>
      </c>
      <c r="W396" s="955"/>
      <c r="X396" s="2908">
        <f t="shared" si="99"/>
        <v>0</v>
      </c>
      <c r="Y396" s="2908">
        <f t="shared" si="100"/>
        <v>0</v>
      </c>
      <c r="Z396" s="955"/>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0</v>
      </c>
      <c r="R397" s="597">
        <f t="shared" si="101"/>
        <v>0</v>
      </c>
      <c r="S397" s="250">
        <f t="shared" si="102"/>
        <v>0</v>
      </c>
      <c r="T397" s="858">
        <f t="shared" si="103"/>
        <v>0</v>
      </c>
      <c r="U397" s="2908">
        <f t="shared" si="97"/>
        <v>0</v>
      </c>
      <c r="V397" s="2908">
        <f t="shared" si="98"/>
        <v>0</v>
      </c>
      <c r="W397" s="955"/>
      <c r="X397" s="2908">
        <f t="shared" si="99"/>
        <v>0</v>
      </c>
      <c r="Y397" s="2908">
        <f t="shared" si="100"/>
        <v>0</v>
      </c>
      <c r="Z397" s="955"/>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0</v>
      </c>
      <c r="R398" s="597">
        <f t="shared" si="101"/>
        <v>0</v>
      </c>
      <c r="S398" s="250">
        <f t="shared" si="102"/>
        <v>0</v>
      </c>
      <c r="T398" s="858">
        <f t="shared" si="103"/>
        <v>0</v>
      </c>
      <c r="U398" s="2908">
        <f t="shared" si="97"/>
        <v>0</v>
      </c>
      <c r="V398" s="2908">
        <f t="shared" si="98"/>
        <v>0</v>
      </c>
      <c r="W398" s="955"/>
      <c r="X398" s="2908">
        <f t="shared" si="99"/>
        <v>0</v>
      </c>
      <c r="Y398" s="2908">
        <f t="shared" si="100"/>
        <v>0</v>
      </c>
      <c r="Z398" s="955"/>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0</v>
      </c>
      <c r="R399" s="597">
        <f t="shared" si="101"/>
        <v>0</v>
      </c>
      <c r="S399" s="250">
        <f t="shared" si="102"/>
        <v>0</v>
      </c>
      <c r="T399" s="858">
        <f t="shared" si="103"/>
        <v>0</v>
      </c>
      <c r="U399" s="2908">
        <f t="shared" si="97"/>
        <v>0</v>
      </c>
      <c r="V399" s="2908">
        <f t="shared" si="98"/>
        <v>0</v>
      </c>
      <c r="W399" s="955"/>
      <c r="X399" s="2908">
        <f t="shared" si="99"/>
        <v>0</v>
      </c>
      <c r="Y399" s="2908">
        <f t="shared" si="100"/>
        <v>0</v>
      </c>
      <c r="Z399" s="955"/>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0</v>
      </c>
      <c r="R400" s="597">
        <f t="shared" si="101"/>
        <v>0</v>
      </c>
      <c r="S400" s="250">
        <f t="shared" si="102"/>
        <v>0</v>
      </c>
      <c r="T400" s="858">
        <f t="shared" si="103"/>
        <v>0</v>
      </c>
      <c r="U400" s="2908">
        <f t="shared" si="97"/>
        <v>0</v>
      </c>
      <c r="V400" s="2908">
        <f t="shared" si="98"/>
        <v>0</v>
      </c>
      <c r="W400" s="955"/>
      <c r="X400" s="2908">
        <f t="shared" si="99"/>
        <v>0</v>
      </c>
      <c r="Y400" s="2908">
        <f t="shared" si="100"/>
        <v>0</v>
      </c>
      <c r="Z400" s="955"/>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0</v>
      </c>
      <c r="R401" s="597">
        <f t="shared" si="101"/>
        <v>0</v>
      </c>
      <c r="S401" s="250">
        <f t="shared" si="102"/>
        <v>0</v>
      </c>
      <c r="T401" s="858">
        <f t="shared" si="103"/>
        <v>0</v>
      </c>
      <c r="U401" s="2908">
        <f t="shared" si="97"/>
        <v>0</v>
      </c>
      <c r="V401" s="2908">
        <f t="shared" si="98"/>
        <v>0</v>
      </c>
      <c r="W401" s="955"/>
      <c r="X401" s="2908">
        <f t="shared" si="99"/>
        <v>0</v>
      </c>
      <c r="Y401" s="2908">
        <f t="shared" si="100"/>
        <v>0</v>
      </c>
      <c r="Z401" s="955"/>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0</v>
      </c>
      <c r="R402" s="597">
        <f t="shared" si="101"/>
        <v>0</v>
      </c>
      <c r="S402" s="250">
        <f t="shared" si="102"/>
        <v>0</v>
      </c>
      <c r="T402" s="858">
        <f t="shared" si="103"/>
        <v>0</v>
      </c>
      <c r="U402" s="2908">
        <f t="shared" si="97"/>
        <v>0</v>
      </c>
      <c r="V402" s="2908">
        <f t="shared" si="98"/>
        <v>0</v>
      </c>
      <c r="W402" s="955"/>
      <c r="X402" s="2908">
        <f t="shared" si="99"/>
        <v>0</v>
      </c>
      <c r="Y402" s="2908">
        <f t="shared" si="100"/>
        <v>0</v>
      </c>
      <c r="Z402" s="955"/>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0</v>
      </c>
      <c r="R403" s="597">
        <f t="shared" si="101"/>
        <v>0</v>
      </c>
      <c r="S403" s="250">
        <f t="shared" si="102"/>
        <v>0</v>
      </c>
      <c r="T403" s="858">
        <f t="shared" si="103"/>
        <v>0</v>
      </c>
      <c r="U403" s="2908">
        <f t="shared" si="97"/>
        <v>0</v>
      </c>
      <c r="V403" s="2908">
        <f t="shared" si="98"/>
        <v>0</v>
      </c>
      <c r="W403" s="955"/>
      <c r="X403" s="2908">
        <f t="shared" si="99"/>
        <v>0</v>
      </c>
      <c r="Y403" s="2908">
        <f t="shared" si="100"/>
        <v>0</v>
      </c>
      <c r="Z403" s="955"/>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0</v>
      </c>
      <c r="R404" s="597">
        <f t="shared" si="101"/>
        <v>0</v>
      </c>
      <c r="S404" s="250">
        <f t="shared" si="102"/>
        <v>0</v>
      </c>
      <c r="T404" s="858">
        <f t="shared" si="103"/>
        <v>0</v>
      </c>
      <c r="U404" s="2908">
        <f t="shared" si="97"/>
        <v>0</v>
      </c>
      <c r="V404" s="2908">
        <f t="shared" si="98"/>
        <v>0</v>
      </c>
      <c r="W404" s="955"/>
      <c r="X404" s="2908">
        <f t="shared" si="99"/>
        <v>0</v>
      </c>
      <c r="Y404" s="2908">
        <f t="shared" si="100"/>
        <v>0</v>
      </c>
      <c r="Z404" s="955"/>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0</v>
      </c>
      <c r="R405" s="597">
        <f t="shared" si="101"/>
        <v>0</v>
      </c>
      <c r="S405" s="250">
        <f t="shared" si="102"/>
        <v>0</v>
      </c>
      <c r="T405" s="858">
        <f t="shared" si="103"/>
        <v>0</v>
      </c>
      <c r="U405" s="2908">
        <f t="shared" si="97"/>
        <v>0</v>
      </c>
      <c r="V405" s="2908">
        <f t="shared" si="98"/>
        <v>0</v>
      </c>
      <c r="W405" s="955"/>
      <c r="X405" s="2908">
        <f t="shared" si="99"/>
        <v>0</v>
      </c>
      <c r="Y405" s="2908">
        <f t="shared" si="100"/>
        <v>0</v>
      </c>
      <c r="Z405" s="955"/>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0</v>
      </c>
      <c r="R406" s="597">
        <f t="shared" si="101"/>
        <v>0</v>
      </c>
      <c r="S406" s="250">
        <f t="shared" si="102"/>
        <v>0</v>
      </c>
      <c r="T406" s="858">
        <f t="shared" si="103"/>
        <v>0</v>
      </c>
      <c r="U406" s="2908">
        <f t="shared" si="97"/>
        <v>0</v>
      </c>
      <c r="V406" s="2908">
        <f t="shared" si="98"/>
        <v>0</v>
      </c>
      <c r="W406" s="955"/>
      <c r="X406" s="2908">
        <f t="shared" si="99"/>
        <v>0</v>
      </c>
      <c r="Y406" s="2908">
        <f t="shared" si="100"/>
        <v>0</v>
      </c>
      <c r="Z406" s="955"/>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0</v>
      </c>
      <c r="R407" s="597">
        <f t="shared" si="101"/>
        <v>0</v>
      </c>
      <c r="S407" s="250">
        <f t="shared" si="102"/>
        <v>0</v>
      </c>
      <c r="T407" s="858">
        <f t="shared" si="103"/>
        <v>0</v>
      </c>
      <c r="U407" s="2908">
        <f t="shared" si="97"/>
        <v>0</v>
      </c>
      <c r="V407" s="2908">
        <f t="shared" si="98"/>
        <v>0</v>
      </c>
      <c r="W407" s="955"/>
      <c r="X407" s="2908">
        <f t="shared" si="99"/>
        <v>0</v>
      </c>
      <c r="Y407" s="2908">
        <f t="shared" si="100"/>
        <v>0</v>
      </c>
      <c r="Z407" s="955"/>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0</v>
      </c>
      <c r="R408" s="597">
        <f t="shared" si="101"/>
        <v>0</v>
      </c>
      <c r="S408" s="250">
        <f t="shared" si="102"/>
        <v>0</v>
      </c>
      <c r="T408" s="858">
        <f t="shared" si="103"/>
        <v>0</v>
      </c>
      <c r="U408" s="2908">
        <f t="shared" si="97"/>
        <v>0</v>
      </c>
      <c r="V408" s="2908">
        <f t="shared" si="98"/>
        <v>0</v>
      </c>
      <c r="W408" s="955"/>
      <c r="X408" s="2908">
        <f t="shared" si="99"/>
        <v>0</v>
      </c>
      <c r="Y408" s="2908">
        <f t="shared" si="100"/>
        <v>0</v>
      </c>
      <c r="Z408" s="955"/>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0</v>
      </c>
      <c r="R409" s="597">
        <f t="shared" si="101"/>
        <v>0</v>
      </c>
      <c r="S409" s="250">
        <f t="shared" si="102"/>
        <v>0</v>
      </c>
      <c r="T409" s="858">
        <f t="shared" si="103"/>
        <v>0</v>
      </c>
      <c r="U409" s="2908">
        <f t="shared" si="97"/>
        <v>0</v>
      </c>
      <c r="V409" s="2908">
        <f t="shared" si="98"/>
        <v>0</v>
      </c>
      <c r="W409" s="955"/>
      <c r="X409" s="2908">
        <f t="shared" si="99"/>
        <v>0</v>
      </c>
      <c r="Y409" s="2908">
        <f t="shared" si="100"/>
        <v>0</v>
      </c>
      <c r="Z409" s="955"/>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0</v>
      </c>
      <c r="R410" s="597">
        <f t="shared" si="101"/>
        <v>0</v>
      </c>
      <c r="S410" s="250">
        <f t="shared" si="102"/>
        <v>0</v>
      </c>
      <c r="T410" s="858">
        <f t="shared" si="103"/>
        <v>0</v>
      </c>
      <c r="U410" s="2908">
        <f t="shared" si="97"/>
        <v>0</v>
      </c>
      <c r="V410" s="2908">
        <f t="shared" si="98"/>
        <v>0</v>
      </c>
      <c r="W410" s="955"/>
      <c r="X410" s="2908">
        <f t="shared" si="99"/>
        <v>0</v>
      </c>
      <c r="Y410" s="2908">
        <f t="shared" si="100"/>
        <v>0</v>
      </c>
      <c r="Z410" s="955"/>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0</v>
      </c>
      <c r="R411" s="597">
        <f t="shared" si="101"/>
        <v>0</v>
      </c>
      <c r="S411" s="250">
        <f t="shared" si="102"/>
        <v>0</v>
      </c>
      <c r="T411" s="858">
        <f t="shared" si="103"/>
        <v>0</v>
      </c>
      <c r="U411" s="2908">
        <f t="shared" si="97"/>
        <v>0</v>
      </c>
      <c r="V411" s="2908">
        <f t="shared" si="98"/>
        <v>0</v>
      </c>
      <c r="W411" s="955"/>
      <c r="X411" s="2908">
        <f t="shared" si="99"/>
        <v>0</v>
      </c>
      <c r="Y411" s="2908">
        <f t="shared" si="100"/>
        <v>0</v>
      </c>
      <c r="Z411" s="955"/>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v>
      </c>
      <c r="R412" s="597">
        <f t="shared" si="101"/>
        <v>0</v>
      </c>
      <c r="S412" s="250">
        <f t="shared" si="102"/>
        <v>0</v>
      </c>
      <c r="T412" s="858">
        <f t="shared" si="103"/>
        <v>0</v>
      </c>
      <c r="U412" s="2908">
        <f t="shared" ref="U412:U475" si="112">ROUND(W412*B412,0)</f>
        <v>0</v>
      </c>
      <c r="V412" s="2908">
        <f t="shared" ref="V412:V475" si="113">ROUND(W412*B412/10000,0)</f>
        <v>0</v>
      </c>
      <c r="W412" s="955"/>
      <c r="X412" s="2908">
        <f t="shared" ref="X412:X475" si="114">ROUND(Z412*B412,0)</f>
        <v>0</v>
      </c>
      <c r="Y412" s="2908">
        <f t="shared" ref="Y412:Y475" si="115">ROUND(Z412*B412/10000,0)</f>
        <v>0</v>
      </c>
      <c r="Z412" s="955"/>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v>
      </c>
      <c r="R413" s="597">
        <f t="shared" ref="R413:R476" si="116">IF(B413="",0,ROUND($R$27*C413*E413*G413*I413*K413*M413*O413*Q413,0))</f>
        <v>0</v>
      </c>
      <c r="S413" s="250">
        <f t="shared" ref="S413:S476" si="117">ROUND(R413*B413,0)</f>
        <v>0</v>
      </c>
      <c r="T413" s="858">
        <f t="shared" ref="T413:T476" si="118">ROUND(R413*B413/10000,0)</f>
        <v>0</v>
      </c>
      <c r="U413" s="2908">
        <f t="shared" si="112"/>
        <v>0</v>
      </c>
      <c r="V413" s="2908">
        <f t="shared" si="113"/>
        <v>0</v>
      </c>
      <c r="W413" s="955"/>
      <c r="X413" s="2908">
        <f t="shared" si="114"/>
        <v>0</v>
      </c>
      <c r="Y413" s="2908">
        <f t="shared" si="115"/>
        <v>0</v>
      </c>
      <c r="Z413" s="955"/>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v>
      </c>
      <c r="R414" s="597">
        <f t="shared" si="116"/>
        <v>0</v>
      </c>
      <c r="S414" s="250">
        <f t="shared" si="117"/>
        <v>0</v>
      </c>
      <c r="T414" s="858">
        <f t="shared" si="118"/>
        <v>0</v>
      </c>
      <c r="U414" s="2908">
        <f t="shared" si="112"/>
        <v>0</v>
      </c>
      <c r="V414" s="2908">
        <f t="shared" si="113"/>
        <v>0</v>
      </c>
      <c r="W414" s="955"/>
      <c r="X414" s="2908">
        <f t="shared" si="114"/>
        <v>0</v>
      </c>
      <c r="Y414" s="2908">
        <f t="shared" si="115"/>
        <v>0</v>
      </c>
      <c r="Z414" s="955"/>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v>
      </c>
      <c r="R415" s="597">
        <f t="shared" si="116"/>
        <v>0</v>
      </c>
      <c r="S415" s="250">
        <f t="shared" si="117"/>
        <v>0</v>
      </c>
      <c r="T415" s="858">
        <f t="shared" si="118"/>
        <v>0</v>
      </c>
      <c r="U415" s="2908">
        <f t="shared" si="112"/>
        <v>0</v>
      </c>
      <c r="V415" s="2908">
        <f t="shared" si="113"/>
        <v>0</v>
      </c>
      <c r="W415" s="955"/>
      <c r="X415" s="2908">
        <f t="shared" si="114"/>
        <v>0</v>
      </c>
      <c r="Y415" s="2908">
        <f t="shared" si="115"/>
        <v>0</v>
      </c>
      <c r="Z415" s="955"/>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v>
      </c>
      <c r="R416" s="597">
        <f t="shared" si="116"/>
        <v>0</v>
      </c>
      <c r="S416" s="250">
        <f t="shared" si="117"/>
        <v>0</v>
      </c>
      <c r="T416" s="858">
        <f t="shared" si="118"/>
        <v>0</v>
      </c>
      <c r="U416" s="2908">
        <f t="shared" si="112"/>
        <v>0</v>
      </c>
      <c r="V416" s="2908">
        <f t="shared" si="113"/>
        <v>0</v>
      </c>
      <c r="W416" s="955"/>
      <c r="X416" s="2908">
        <f t="shared" si="114"/>
        <v>0</v>
      </c>
      <c r="Y416" s="2908">
        <f t="shared" si="115"/>
        <v>0</v>
      </c>
      <c r="Z416" s="955"/>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v>
      </c>
      <c r="R417" s="597">
        <f t="shared" si="116"/>
        <v>0</v>
      </c>
      <c r="S417" s="250">
        <f t="shared" si="117"/>
        <v>0</v>
      </c>
      <c r="T417" s="858">
        <f t="shared" si="118"/>
        <v>0</v>
      </c>
      <c r="U417" s="2908">
        <f t="shared" si="112"/>
        <v>0</v>
      </c>
      <c r="V417" s="2908">
        <f t="shared" si="113"/>
        <v>0</v>
      </c>
      <c r="W417" s="955"/>
      <c r="X417" s="2908">
        <f t="shared" si="114"/>
        <v>0</v>
      </c>
      <c r="Y417" s="2908">
        <f t="shared" si="115"/>
        <v>0</v>
      </c>
      <c r="Z417" s="955"/>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v>
      </c>
      <c r="R418" s="597">
        <f t="shared" si="116"/>
        <v>0</v>
      </c>
      <c r="S418" s="250">
        <f t="shared" si="117"/>
        <v>0</v>
      </c>
      <c r="T418" s="858">
        <f t="shared" si="118"/>
        <v>0</v>
      </c>
      <c r="U418" s="2908">
        <f t="shared" si="112"/>
        <v>0</v>
      </c>
      <c r="V418" s="2908">
        <f t="shared" si="113"/>
        <v>0</v>
      </c>
      <c r="W418" s="955"/>
      <c r="X418" s="2908">
        <f t="shared" si="114"/>
        <v>0</v>
      </c>
      <c r="Y418" s="2908">
        <f t="shared" si="115"/>
        <v>0</v>
      </c>
      <c r="Z418" s="955"/>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v>
      </c>
      <c r="R419" s="597">
        <f t="shared" si="116"/>
        <v>0</v>
      </c>
      <c r="S419" s="250">
        <f t="shared" si="117"/>
        <v>0</v>
      </c>
      <c r="T419" s="858">
        <f t="shared" si="118"/>
        <v>0</v>
      </c>
      <c r="U419" s="2908">
        <f t="shared" si="112"/>
        <v>0</v>
      </c>
      <c r="V419" s="2908">
        <f t="shared" si="113"/>
        <v>0</v>
      </c>
      <c r="W419" s="955"/>
      <c r="X419" s="2908">
        <f t="shared" si="114"/>
        <v>0</v>
      </c>
      <c r="Y419" s="2908">
        <f t="shared" si="115"/>
        <v>0</v>
      </c>
      <c r="Z419" s="955"/>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v>
      </c>
      <c r="R420" s="597">
        <f t="shared" si="116"/>
        <v>0</v>
      </c>
      <c r="S420" s="250">
        <f t="shared" si="117"/>
        <v>0</v>
      </c>
      <c r="T420" s="858">
        <f t="shared" si="118"/>
        <v>0</v>
      </c>
      <c r="U420" s="2908">
        <f t="shared" si="112"/>
        <v>0</v>
      </c>
      <c r="V420" s="2908">
        <f t="shared" si="113"/>
        <v>0</v>
      </c>
      <c r="W420" s="955"/>
      <c r="X420" s="2908">
        <f t="shared" si="114"/>
        <v>0</v>
      </c>
      <c r="Y420" s="2908">
        <f t="shared" si="115"/>
        <v>0</v>
      </c>
      <c r="Z420" s="955"/>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v>
      </c>
      <c r="R421" s="597">
        <f t="shared" si="116"/>
        <v>0</v>
      </c>
      <c r="S421" s="250">
        <f t="shared" si="117"/>
        <v>0</v>
      </c>
      <c r="T421" s="858">
        <f t="shared" si="118"/>
        <v>0</v>
      </c>
      <c r="U421" s="2908">
        <f t="shared" si="112"/>
        <v>0</v>
      </c>
      <c r="V421" s="2908">
        <f t="shared" si="113"/>
        <v>0</v>
      </c>
      <c r="W421" s="955"/>
      <c r="X421" s="2908">
        <f t="shared" si="114"/>
        <v>0</v>
      </c>
      <c r="Y421" s="2908">
        <f t="shared" si="115"/>
        <v>0</v>
      </c>
      <c r="Z421" s="955"/>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v>
      </c>
      <c r="R422" s="597">
        <f t="shared" si="116"/>
        <v>0</v>
      </c>
      <c r="S422" s="250">
        <f t="shared" si="117"/>
        <v>0</v>
      </c>
      <c r="T422" s="858">
        <f t="shared" si="118"/>
        <v>0</v>
      </c>
      <c r="U422" s="2908">
        <f t="shared" si="112"/>
        <v>0</v>
      </c>
      <c r="V422" s="2908">
        <f t="shared" si="113"/>
        <v>0</v>
      </c>
      <c r="W422" s="955"/>
      <c r="X422" s="2908">
        <f t="shared" si="114"/>
        <v>0</v>
      </c>
      <c r="Y422" s="2908">
        <f t="shared" si="115"/>
        <v>0</v>
      </c>
      <c r="Z422" s="955"/>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v>
      </c>
      <c r="R423" s="597">
        <f t="shared" si="116"/>
        <v>0</v>
      </c>
      <c r="S423" s="250">
        <f t="shared" si="117"/>
        <v>0</v>
      </c>
      <c r="T423" s="858">
        <f t="shared" si="118"/>
        <v>0</v>
      </c>
      <c r="U423" s="2908">
        <f t="shared" si="112"/>
        <v>0</v>
      </c>
      <c r="V423" s="2908">
        <f t="shared" si="113"/>
        <v>0</v>
      </c>
      <c r="W423" s="955"/>
      <c r="X423" s="2908">
        <f t="shared" si="114"/>
        <v>0</v>
      </c>
      <c r="Y423" s="2908">
        <f t="shared" si="115"/>
        <v>0</v>
      </c>
      <c r="Z423" s="955"/>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v>
      </c>
      <c r="R424" s="597">
        <f t="shared" si="116"/>
        <v>0</v>
      </c>
      <c r="S424" s="250">
        <f t="shared" si="117"/>
        <v>0</v>
      </c>
      <c r="T424" s="858">
        <f t="shared" si="118"/>
        <v>0</v>
      </c>
      <c r="U424" s="2908">
        <f t="shared" si="112"/>
        <v>0</v>
      </c>
      <c r="V424" s="2908">
        <f t="shared" si="113"/>
        <v>0</v>
      </c>
      <c r="W424" s="955"/>
      <c r="X424" s="2908">
        <f t="shared" si="114"/>
        <v>0</v>
      </c>
      <c r="Y424" s="2908">
        <f t="shared" si="115"/>
        <v>0</v>
      </c>
      <c r="Z424" s="955"/>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v>
      </c>
      <c r="R425" s="597">
        <f t="shared" si="116"/>
        <v>0</v>
      </c>
      <c r="S425" s="250">
        <f t="shared" si="117"/>
        <v>0</v>
      </c>
      <c r="T425" s="858">
        <f t="shared" si="118"/>
        <v>0</v>
      </c>
      <c r="U425" s="2908">
        <f t="shared" si="112"/>
        <v>0</v>
      </c>
      <c r="V425" s="2908">
        <f t="shared" si="113"/>
        <v>0</v>
      </c>
      <c r="W425" s="955"/>
      <c r="X425" s="2908">
        <f t="shared" si="114"/>
        <v>0</v>
      </c>
      <c r="Y425" s="2908">
        <f t="shared" si="115"/>
        <v>0</v>
      </c>
      <c r="Z425" s="955"/>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v>
      </c>
      <c r="R426" s="597">
        <f t="shared" si="116"/>
        <v>0</v>
      </c>
      <c r="S426" s="250">
        <f t="shared" si="117"/>
        <v>0</v>
      </c>
      <c r="T426" s="858">
        <f t="shared" si="118"/>
        <v>0</v>
      </c>
      <c r="U426" s="2908">
        <f t="shared" si="112"/>
        <v>0</v>
      </c>
      <c r="V426" s="2908">
        <f t="shared" si="113"/>
        <v>0</v>
      </c>
      <c r="W426" s="955"/>
      <c r="X426" s="2908">
        <f t="shared" si="114"/>
        <v>0</v>
      </c>
      <c r="Y426" s="2908">
        <f t="shared" si="115"/>
        <v>0</v>
      </c>
      <c r="Z426" s="955"/>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v>
      </c>
      <c r="R427" s="597">
        <f t="shared" si="116"/>
        <v>0</v>
      </c>
      <c r="S427" s="250">
        <f t="shared" si="117"/>
        <v>0</v>
      </c>
      <c r="T427" s="858">
        <f t="shared" si="118"/>
        <v>0</v>
      </c>
      <c r="U427" s="2908">
        <f t="shared" si="112"/>
        <v>0</v>
      </c>
      <c r="V427" s="2908">
        <f t="shared" si="113"/>
        <v>0</v>
      </c>
      <c r="W427" s="955"/>
      <c r="X427" s="2908">
        <f t="shared" si="114"/>
        <v>0</v>
      </c>
      <c r="Y427" s="2908">
        <f t="shared" si="115"/>
        <v>0</v>
      </c>
      <c r="Z427" s="955"/>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v>
      </c>
      <c r="R428" s="597">
        <f t="shared" si="116"/>
        <v>0</v>
      </c>
      <c r="S428" s="250">
        <f t="shared" si="117"/>
        <v>0</v>
      </c>
      <c r="T428" s="858">
        <f t="shared" si="118"/>
        <v>0</v>
      </c>
      <c r="U428" s="2908">
        <f t="shared" si="112"/>
        <v>0</v>
      </c>
      <c r="V428" s="2908">
        <f t="shared" si="113"/>
        <v>0</v>
      </c>
      <c r="W428" s="955"/>
      <c r="X428" s="2908">
        <f t="shared" si="114"/>
        <v>0</v>
      </c>
      <c r="Y428" s="2908">
        <f t="shared" si="115"/>
        <v>0</v>
      </c>
      <c r="Z428" s="955"/>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v>
      </c>
      <c r="R429" s="597">
        <f t="shared" si="116"/>
        <v>0</v>
      </c>
      <c r="S429" s="250">
        <f t="shared" si="117"/>
        <v>0</v>
      </c>
      <c r="T429" s="858">
        <f t="shared" si="118"/>
        <v>0</v>
      </c>
      <c r="U429" s="2908">
        <f t="shared" si="112"/>
        <v>0</v>
      </c>
      <c r="V429" s="2908">
        <f t="shared" si="113"/>
        <v>0</v>
      </c>
      <c r="W429" s="955"/>
      <c r="X429" s="2908">
        <f t="shared" si="114"/>
        <v>0</v>
      </c>
      <c r="Y429" s="2908">
        <f t="shared" si="115"/>
        <v>0</v>
      </c>
      <c r="Z429" s="955"/>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v>
      </c>
      <c r="R430" s="597">
        <f t="shared" si="116"/>
        <v>0</v>
      </c>
      <c r="S430" s="250">
        <f t="shared" si="117"/>
        <v>0</v>
      </c>
      <c r="T430" s="858">
        <f t="shared" si="118"/>
        <v>0</v>
      </c>
      <c r="U430" s="2908">
        <f t="shared" si="112"/>
        <v>0</v>
      </c>
      <c r="V430" s="2908">
        <f t="shared" si="113"/>
        <v>0</v>
      </c>
      <c r="W430" s="955"/>
      <c r="X430" s="2908">
        <f t="shared" si="114"/>
        <v>0</v>
      </c>
      <c r="Y430" s="2908">
        <f t="shared" si="115"/>
        <v>0</v>
      </c>
      <c r="Z430" s="955"/>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v>
      </c>
      <c r="R431" s="597">
        <f t="shared" si="116"/>
        <v>0</v>
      </c>
      <c r="S431" s="250">
        <f t="shared" si="117"/>
        <v>0</v>
      </c>
      <c r="T431" s="858">
        <f t="shared" si="118"/>
        <v>0</v>
      </c>
      <c r="U431" s="2908">
        <f t="shared" si="112"/>
        <v>0</v>
      </c>
      <c r="V431" s="2908">
        <f t="shared" si="113"/>
        <v>0</v>
      </c>
      <c r="W431" s="955"/>
      <c r="X431" s="2908">
        <f t="shared" si="114"/>
        <v>0</v>
      </c>
      <c r="Y431" s="2908">
        <f t="shared" si="115"/>
        <v>0</v>
      </c>
      <c r="Z431" s="955"/>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v>
      </c>
      <c r="R432" s="597">
        <f t="shared" si="116"/>
        <v>0</v>
      </c>
      <c r="S432" s="250">
        <f t="shared" si="117"/>
        <v>0</v>
      </c>
      <c r="T432" s="858">
        <f t="shared" si="118"/>
        <v>0</v>
      </c>
      <c r="U432" s="2908">
        <f t="shared" si="112"/>
        <v>0</v>
      </c>
      <c r="V432" s="2908">
        <f t="shared" si="113"/>
        <v>0</v>
      </c>
      <c r="W432" s="955"/>
      <c r="X432" s="2908">
        <f t="shared" si="114"/>
        <v>0</v>
      </c>
      <c r="Y432" s="2908">
        <f t="shared" si="115"/>
        <v>0</v>
      </c>
      <c r="Z432" s="955"/>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v>
      </c>
      <c r="R433" s="597">
        <f t="shared" si="116"/>
        <v>0</v>
      </c>
      <c r="S433" s="250">
        <f t="shared" si="117"/>
        <v>0</v>
      </c>
      <c r="T433" s="858">
        <f t="shared" si="118"/>
        <v>0</v>
      </c>
      <c r="U433" s="2908">
        <f t="shared" si="112"/>
        <v>0</v>
      </c>
      <c r="V433" s="2908">
        <f t="shared" si="113"/>
        <v>0</v>
      </c>
      <c r="W433" s="955"/>
      <c r="X433" s="2908">
        <f t="shared" si="114"/>
        <v>0</v>
      </c>
      <c r="Y433" s="2908">
        <f t="shared" si="115"/>
        <v>0</v>
      </c>
      <c r="Z433" s="955"/>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v>
      </c>
      <c r="R434" s="597">
        <f t="shared" si="116"/>
        <v>0</v>
      </c>
      <c r="S434" s="250">
        <f t="shared" si="117"/>
        <v>0</v>
      </c>
      <c r="T434" s="858">
        <f t="shared" si="118"/>
        <v>0</v>
      </c>
      <c r="U434" s="2908">
        <f t="shared" si="112"/>
        <v>0</v>
      </c>
      <c r="V434" s="2908">
        <f t="shared" si="113"/>
        <v>0</v>
      </c>
      <c r="W434" s="955"/>
      <c r="X434" s="2908">
        <f t="shared" si="114"/>
        <v>0</v>
      </c>
      <c r="Y434" s="2908">
        <f t="shared" si="115"/>
        <v>0</v>
      </c>
      <c r="Z434" s="955"/>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v>
      </c>
      <c r="R435" s="597">
        <f t="shared" si="116"/>
        <v>0</v>
      </c>
      <c r="S435" s="250">
        <f t="shared" si="117"/>
        <v>0</v>
      </c>
      <c r="T435" s="858">
        <f t="shared" si="118"/>
        <v>0</v>
      </c>
      <c r="U435" s="2908">
        <f t="shared" si="112"/>
        <v>0</v>
      </c>
      <c r="V435" s="2908">
        <f t="shared" si="113"/>
        <v>0</v>
      </c>
      <c r="W435" s="955"/>
      <c r="X435" s="2908">
        <f t="shared" si="114"/>
        <v>0</v>
      </c>
      <c r="Y435" s="2908">
        <f t="shared" si="115"/>
        <v>0</v>
      </c>
      <c r="Z435" s="955"/>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v>
      </c>
      <c r="R436" s="597">
        <f t="shared" si="116"/>
        <v>0</v>
      </c>
      <c r="S436" s="250">
        <f t="shared" si="117"/>
        <v>0</v>
      </c>
      <c r="T436" s="858">
        <f t="shared" si="118"/>
        <v>0</v>
      </c>
      <c r="U436" s="2908">
        <f t="shared" si="112"/>
        <v>0</v>
      </c>
      <c r="V436" s="2908">
        <f t="shared" si="113"/>
        <v>0</v>
      </c>
      <c r="W436" s="955"/>
      <c r="X436" s="2908">
        <f t="shared" si="114"/>
        <v>0</v>
      </c>
      <c r="Y436" s="2908">
        <f t="shared" si="115"/>
        <v>0</v>
      </c>
      <c r="Z436" s="955"/>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v>
      </c>
      <c r="R437" s="597">
        <f t="shared" si="116"/>
        <v>0</v>
      </c>
      <c r="S437" s="250">
        <f t="shared" si="117"/>
        <v>0</v>
      </c>
      <c r="T437" s="858">
        <f t="shared" si="118"/>
        <v>0</v>
      </c>
      <c r="U437" s="2908">
        <f t="shared" si="112"/>
        <v>0</v>
      </c>
      <c r="V437" s="2908">
        <f t="shared" si="113"/>
        <v>0</v>
      </c>
      <c r="W437" s="955"/>
      <c r="X437" s="2908">
        <f t="shared" si="114"/>
        <v>0</v>
      </c>
      <c r="Y437" s="2908">
        <f t="shared" si="115"/>
        <v>0</v>
      </c>
      <c r="Z437" s="955"/>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v>
      </c>
      <c r="R438" s="597">
        <f t="shared" si="116"/>
        <v>0</v>
      </c>
      <c r="S438" s="250">
        <f t="shared" si="117"/>
        <v>0</v>
      </c>
      <c r="T438" s="858">
        <f t="shared" si="118"/>
        <v>0</v>
      </c>
      <c r="U438" s="2908">
        <f t="shared" si="112"/>
        <v>0</v>
      </c>
      <c r="V438" s="2908">
        <f t="shared" si="113"/>
        <v>0</v>
      </c>
      <c r="W438" s="955"/>
      <c r="X438" s="2908">
        <f t="shared" si="114"/>
        <v>0</v>
      </c>
      <c r="Y438" s="2908">
        <f t="shared" si="115"/>
        <v>0</v>
      </c>
      <c r="Z438" s="955"/>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v>
      </c>
      <c r="R439" s="597">
        <f t="shared" si="116"/>
        <v>0</v>
      </c>
      <c r="S439" s="250">
        <f t="shared" si="117"/>
        <v>0</v>
      </c>
      <c r="T439" s="858">
        <f t="shared" si="118"/>
        <v>0</v>
      </c>
      <c r="U439" s="2908">
        <f t="shared" si="112"/>
        <v>0</v>
      </c>
      <c r="V439" s="2908">
        <f t="shared" si="113"/>
        <v>0</v>
      </c>
      <c r="W439" s="955"/>
      <c r="X439" s="2908">
        <f t="shared" si="114"/>
        <v>0</v>
      </c>
      <c r="Y439" s="2908">
        <f t="shared" si="115"/>
        <v>0</v>
      </c>
      <c r="Z439" s="955"/>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v>
      </c>
      <c r="R440" s="597">
        <f t="shared" si="116"/>
        <v>0</v>
      </c>
      <c r="S440" s="250">
        <f t="shared" si="117"/>
        <v>0</v>
      </c>
      <c r="T440" s="858">
        <f t="shared" si="118"/>
        <v>0</v>
      </c>
      <c r="U440" s="2908">
        <f t="shared" si="112"/>
        <v>0</v>
      </c>
      <c r="V440" s="2908">
        <f t="shared" si="113"/>
        <v>0</v>
      </c>
      <c r="W440" s="955"/>
      <c r="X440" s="2908">
        <f t="shared" si="114"/>
        <v>0</v>
      </c>
      <c r="Y440" s="2908">
        <f t="shared" si="115"/>
        <v>0</v>
      </c>
      <c r="Z440" s="955"/>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v>
      </c>
      <c r="R441" s="597">
        <f t="shared" si="116"/>
        <v>0</v>
      </c>
      <c r="S441" s="250">
        <f t="shared" si="117"/>
        <v>0</v>
      </c>
      <c r="T441" s="858">
        <f t="shared" si="118"/>
        <v>0</v>
      </c>
      <c r="U441" s="2908">
        <f t="shared" si="112"/>
        <v>0</v>
      </c>
      <c r="V441" s="2908">
        <f t="shared" si="113"/>
        <v>0</v>
      </c>
      <c r="W441" s="955"/>
      <c r="X441" s="2908">
        <f t="shared" si="114"/>
        <v>0</v>
      </c>
      <c r="Y441" s="2908">
        <f t="shared" si="115"/>
        <v>0</v>
      </c>
      <c r="Z441" s="955"/>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v>
      </c>
      <c r="R442" s="597">
        <f t="shared" si="116"/>
        <v>0</v>
      </c>
      <c r="S442" s="250">
        <f t="shared" si="117"/>
        <v>0</v>
      </c>
      <c r="T442" s="858">
        <f t="shared" si="118"/>
        <v>0</v>
      </c>
      <c r="U442" s="2908">
        <f t="shared" si="112"/>
        <v>0</v>
      </c>
      <c r="V442" s="2908">
        <f t="shared" si="113"/>
        <v>0</v>
      </c>
      <c r="W442" s="955"/>
      <c r="X442" s="2908">
        <f t="shared" si="114"/>
        <v>0</v>
      </c>
      <c r="Y442" s="2908">
        <f t="shared" si="115"/>
        <v>0</v>
      </c>
      <c r="Z442" s="955"/>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v>
      </c>
      <c r="R443" s="597">
        <f t="shared" si="116"/>
        <v>0</v>
      </c>
      <c r="S443" s="250">
        <f t="shared" si="117"/>
        <v>0</v>
      </c>
      <c r="T443" s="858">
        <f t="shared" si="118"/>
        <v>0</v>
      </c>
      <c r="U443" s="2908">
        <f t="shared" si="112"/>
        <v>0</v>
      </c>
      <c r="V443" s="2908">
        <f t="shared" si="113"/>
        <v>0</v>
      </c>
      <c r="W443" s="955"/>
      <c r="X443" s="2908">
        <f t="shared" si="114"/>
        <v>0</v>
      </c>
      <c r="Y443" s="2908">
        <f t="shared" si="115"/>
        <v>0</v>
      </c>
      <c r="Z443" s="955"/>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v>
      </c>
      <c r="R444" s="597">
        <f t="shared" si="116"/>
        <v>0</v>
      </c>
      <c r="S444" s="250">
        <f t="shared" si="117"/>
        <v>0</v>
      </c>
      <c r="T444" s="858">
        <f t="shared" si="118"/>
        <v>0</v>
      </c>
      <c r="U444" s="2908">
        <f t="shared" si="112"/>
        <v>0</v>
      </c>
      <c r="V444" s="2908">
        <f t="shared" si="113"/>
        <v>0</v>
      </c>
      <c r="W444" s="955"/>
      <c r="X444" s="2908">
        <f t="shared" si="114"/>
        <v>0</v>
      </c>
      <c r="Y444" s="2908">
        <f t="shared" si="115"/>
        <v>0</v>
      </c>
      <c r="Z444" s="955"/>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v>
      </c>
      <c r="R445" s="597">
        <f t="shared" si="116"/>
        <v>0</v>
      </c>
      <c r="S445" s="250">
        <f t="shared" si="117"/>
        <v>0</v>
      </c>
      <c r="T445" s="858">
        <f t="shared" si="118"/>
        <v>0</v>
      </c>
      <c r="U445" s="2908">
        <f t="shared" si="112"/>
        <v>0</v>
      </c>
      <c r="V445" s="2908">
        <f t="shared" si="113"/>
        <v>0</v>
      </c>
      <c r="W445" s="955"/>
      <c r="X445" s="2908">
        <f t="shared" si="114"/>
        <v>0</v>
      </c>
      <c r="Y445" s="2908">
        <f t="shared" si="115"/>
        <v>0</v>
      </c>
      <c r="Z445" s="955"/>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v>
      </c>
      <c r="R446" s="597">
        <f t="shared" si="116"/>
        <v>0</v>
      </c>
      <c r="S446" s="250">
        <f t="shared" si="117"/>
        <v>0</v>
      </c>
      <c r="T446" s="858">
        <f t="shared" si="118"/>
        <v>0</v>
      </c>
      <c r="U446" s="2908">
        <f t="shared" si="112"/>
        <v>0</v>
      </c>
      <c r="V446" s="2908">
        <f t="shared" si="113"/>
        <v>0</v>
      </c>
      <c r="W446" s="955"/>
      <c r="X446" s="2908">
        <f t="shared" si="114"/>
        <v>0</v>
      </c>
      <c r="Y446" s="2908">
        <f t="shared" si="115"/>
        <v>0</v>
      </c>
      <c r="Z446" s="955"/>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v>
      </c>
      <c r="R447" s="597">
        <f t="shared" si="116"/>
        <v>0</v>
      </c>
      <c r="S447" s="250">
        <f t="shared" si="117"/>
        <v>0</v>
      </c>
      <c r="T447" s="858">
        <f t="shared" si="118"/>
        <v>0</v>
      </c>
      <c r="U447" s="2908">
        <f t="shared" si="112"/>
        <v>0</v>
      </c>
      <c r="V447" s="2908">
        <f t="shared" si="113"/>
        <v>0</v>
      </c>
      <c r="W447" s="955"/>
      <c r="X447" s="2908">
        <f t="shared" si="114"/>
        <v>0</v>
      </c>
      <c r="Y447" s="2908">
        <f t="shared" si="115"/>
        <v>0</v>
      </c>
      <c r="Z447" s="955"/>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v>
      </c>
      <c r="R448" s="597">
        <f t="shared" si="116"/>
        <v>0</v>
      </c>
      <c r="S448" s="250">
        <f t="shared" si="117"/>
        <v>0</v>
      </c>
      <c r="T448" s="858">
        <f t="shared" si="118"/>
        <v>0</v>
      </c>
      <c r="U448" s="2908">
        <f t="shared" si="112"/>
        <v>0</v>
      </c>
      <c r="V448" s="2908">
        <f t="shared" si="113"/>
        <v>0</v>
      </c>
      <c r="W448" s="955"/>
      <c r="X448" s="2908">
        <f t="shared" si="114"/>
        <v>0</v>
      </c>
      <c r="Y448" s="2908">
        <f t="shared" si="115"/>
        <v>0</v>
      </c>
      <c r="Z448" s="955"/>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v>
      </c>
      <c r="R449" s="597">
        <f t="shared" si="116"/>
        <v>0</v>
      </c>
      <c r="S449" s="250">
        <f t="shared" si="117"/>
        <v>0</v>
      </c>
      <c r="T449" s="858">
        <f t="shared" si="118"/>
        <v>0</v>
      </c>
      <c r="U449" s="2908">
        <f t="shared" si="112"/>
        <v>0</v>
      </c>
      <c r="V449" s="2908">
        <f t="shared" si="113"/>
        <v>0</v>
      </c>
      <c r="W449" s="955"/>
      <c r="X449" s="2908">
        <f t="shared" si="114"/>
        <v>0</v>
      </c>
      <c r="Y449" s="2908">
        <f t="shared" si="115"/>
        <v>0</v>
      </c>
      <c r="Z449" s="955"/>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v>
      </c>
      <c r="R450" s="597">
        <f t="shared" si="116"/>
        <v>0</v>
      </c>
      <c r="S450" s="250">
        <f t="shared" si="117"/>
        <v>0</v>
      </c>
      <c r="T450" s="858">
        <f t="shared" si="118"/>
        <v>0</v>
      </c>
      <c r="U450" s="2908">
        <f t="shared" si="112"/>
        <v>0</v>
      </c>
      <c r="V450" s="2908">
        <f t="shared" si="113"/>
        <v>0</v>
      </c>
      <c r="W450" s="955"/>
      <c r="X450" s="2908">
        <f t="shared" si="114"/>
        <v>0</v>
      </c>
      <c r="Y450" s="2908">
        <f t="shared" si="115"/>
        <v>0</v>
      </c>
      <c r="Z450" s="955"/>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v>
      </c>
      <c r="R451" s="597">
        <f t="shared" si="116"/>
        <v>0</v>
      </c>
      <c r="S451" s="250">
        <f t="shared" si="117"/>
        <v>0</v>
      </c>
      <c r="T451" s="858">
        <f t="shared" si="118"/>
        <v>0</v>
      </c>
      <c r="U451" s="2908">
        <f t="shared" si="112"/>
        <v>0</v>
      </c>
      <c r="V451" s="2908">
        <f t="shared" si="113"/>
        <v>0</v>
      </c>
      <c r="W451" s="955"/>
      <c r="X451" s="2908">
        <f t="shared" si="114"/>
        <v>0</v>
      </c>
      <c r="Y451" s="2908">
        <f t="shared" si="115"/>
        <v>0</v>
      </c>
      <c r="Z451" s="955"/>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v>
      </c>
      <c r="R452" s="597">
        <f t="shared" si="116"/>
        <v>0</v>
      </c>
      <c r="S452" s="250">
        <f t="shared" si="117"/>
        <v>0</v>
      </c>
      <c r="T452" s="858">
        <f t="shared" si="118"/>
        <v>0</v>
      </c>
      <c r="U452" s="2908">
        <f t="shared" si="112"/>
        <v>0</v>
      </c>
      <c r="V452" s="2908">
        <f t="shared" si="113"/>
        <v>0</v>
      </c>
      <c r="W452" s="955"/>
      <c r="X452" s="2908">
        <f t="shared" si="114"/>
        <v>0</v>
      </c>
      <c r="Y452" s="2908">
        <f t="shared" si="115"/>
        <v>0</v>
      </c>
      <c r="Z452" s="955"/>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v>
      </c>
      <c r="R453" s="597">
        <f t="shared" si="116"/>
        <v>0</v>
      </c>
      <c r="S453" s="250">
        <f t="shared" si="117"/>
        <v>0</v>
      </c>
      <c r="T453" s="858">
        <f t="shared" si="118"/>
        <v>0</v>
      </c>
      <c r="U453" s="2908">
        <f t="shared" si="112"/>
        <v>0</v>
      </c>
      <c r="V453" s="2908">
        <f t="shared" si="113"/>
        <v>0</v>
      </c>
      <c r="W453" s="955"/>
      <c r="X453" s="2908">
        <f t="shared" si="114"/>
        <v>0</v>
      </c>
      <c r="Y453" s="2908">
        <f t="shared" si="115"/>
        <v>0</v>
      </c>
      <c r="Z453" s="955"/>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v>
      </c>
      <c r="R454" s="597">
        <f t="shared" si="116"/>
        <v>0</v>
      </c>
      <c r="S454" s="250">
        <f t="shared" si="117"/>
        <v>0</v>
      </c>
      <c r="T454" s="858">
        <f t="shared" si="118"/>
        <v>0</v>
      </c>
      <c r="U454" s="2908">
        <f t="shared" si="112"/>
        <v>0</v>
      </c>
      <c r="V454" s="2908">
        <f t="shared" si="113"/>
        <v>0</v>
      </c>
      <c r="W454" s="955"/>
      <c r="X454" s="2908">
        <f t="shared" si="114"/>
        <v>0</v>
      </c>
      <c r="Y454" s="2908">
        <f t="shared" si="115"/>
        <v>0</v>
      </c>
      <c r="Z454" s="955"/>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v>
      </c>
      <c r="R455" s="597">
        <f t="shared" si="116"/>
        <v>0</v>
      </c>
      <c r="S455" s="250">
        <f t="shared" si="117"/>
        <v>0</v>
      </c>
      <c r="T455" s="858">
        <f t="shared" si="118"/>
        <v>0</v>
      </c>
      <c r="U455" s="2908">
        <f t="shared" si="112"/>
        <v>0</v>
      </c>
      <c r="V455" s="2908">
        <f t="shared" si="113"/>
        <v>0</v>
      </c>
      <c r="W455" s="955"/>
      <c r="X455" s="2908">
        <f t="shared" si="114"/>
        <v>0</v>
      </c>
      <c r="Y455" s="2908">
        <f t="shared" si="115"/>
        <v>0</v>
      </c>
      <c r="Z455" s="955"/>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v>
      </c>
      <c r="R456" s="597">
        <f t="shared" si="116"/>
        <v>0</v>
      </c>
      <c r="S456" s="250">
        <f t="shared" si="117"/>
        <v>0</v>
      </c>
      <c r="T456" s="858">
        <f t="shared" si="118"/>
        <v>0</v>
      </c>
      <c r="U456" s="2908">
        <f t="shared" si="112"/>
        <v>0</v>
      </c>
      <c r="V456" s="2908">
        <f t="shared" si="113"/>
        <v>0</v>
      </c>
      <c r="W456" s="955"/>
      <c r="X456" s="2908">
        <f t="shared" si="114"/>
        <v>0</v>
      </c>
      <c r="Y456" s="2908">
        <f t="shared" si="115"/>
        <v>0</v>
      </c>
      <c r="Z456" s="955"/>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v>
      </c>
      <c r="R457" s="597">
        <f t="shared" si="116"/>
        <v>0</v>
      </c>
      <c r="S457" s="250">
        <f t="shared" si="117"/>
        <v>0</v>
      </c>
      <c r="T457" s="858">
        <f t="shared" si="118"/>
        <v>0</v>
      </c>
      <c r="U457" s="2908">
        <f t="shared" si="112"/>
        <v>0</v>
      </c>
      <c r="V457" s="2908">
        <f t="shared" si="113"/>
        <v>0</v>
      </c>
      <c r="W457" s="955"/>
      <c r="X457" s="2908">
        <f t="shared" si="114"/>
        <v>0</v>
      </c>
      <c r="Y457" s="2908">
        <f t="shared" si="115"/>
        <v>0</v>
      </c>
      <c r="Z457" s="955"/>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v>
      </c>
      <c r="R458" s="597">
        <f t="shared" si="116"/>
        <v>0</v>
      </c>
      <c r="S458" s="250">
        <f t="shared" si="117"/>
        <v>0</v>
      </c>
      <c r="T458" s="858">
        <f t="shared" si="118"/>
        <v>0</v>
      </c>
      <c r="U458" s="2908">
        <f t="shared" si="112"/>
        <v>0</v>
      </c>
      <c r="V458" s="2908">
        <f t="shared" si="113"/>
        <v>0</v>
      </c>
      <c r="W458" s="955"/>
      <c r="X458" s="2908">
        <f t="shared" si="114"/>
        <v>0</v>
      </c>
      <c r="Y458" s="2908">
        <f t="shared" si="115"/>
        <v>0</v>
      </c>
      <c r="Z458" s="955"/>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v>
      </c>
      <c r="R459" s="597">
        <f t="shared" si="116"/>
        <v>0</v>
      </c>
      <c r="S459" s="250">
        <f t="shared" si="117"/>
        <v>0</v>
      </c>
      <c r="T459" s="858">
        <f t="shared" si="118"/>
        <v>0</v>
      </c>
      <c r="U459" s="2908">
        <f t="shared" si="112"/>
        <v>0</v>
      </c>
      <c r="V459" s="2908">
        <f t="shared" si="113"/>
        <v>0</v>
      </c>
      <c r="W459" s="955"/>
      <c r="X459" s="2908">
        <f t="shared" si="114"/>
        <v>0</v>
      </c>
      <c r="Y459" s="2908">
        <f t="shared" si="115"/>
        <v>0</v>
      </c>
      <c r="Z459" s="955"/>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v>
      </c>
      <c r="R460" s="597">
        <f t="shared" si="116"/>
        <v>0</v>
      </c>
      <c r="S460" s="250">
        <f t="shared" si="117"/>
        <v>0</v>
      </c>
      <c r="T460" s="858">
        <f t="shared" si="118"/>
        <v>0</v>
      </c>
      <c r="U460" s="2908">
        <f t="shared" si="112"/>
        <v>0</v>
      </c>
      <c r="V460" s="2908">
        <f t="shared" si="113"/>
        <v>0</v>
      </c>
      <c r="W460" s="955"/>
      <c r="X460" s="2908">
        <f t="shared" si="114"/>
        <v>0</v>
      </c>
      <c r="Y460" s="2908">
        <f t="shared" si="115"/>
        <v>0</v>
      </c>
      <c r="Z460" s="955"/>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v>
      </c>
      <c r="R461" s="597">
        <f t="shared" si="116"/>
        <v>0</v>
      </c>
      <c r="S461" s="250">
        <f t="shared" si="117"/>
        <v>0</v>
      </c>
      <c r="T461" s="858">
        <f t="shared" si="118"/>
        <v>0</v>
      </c>
      <c r="U461" s="2908">
        <f t="shared" si="112"/>
        <v>0</v>
      </c>
      <c r="V461" s="2908">
        <f t="shared" si="113"/>
        <v>0</v>
      </c>
      <c r="W461" s="955"/>
      <c r="X461" s="2908">
        <f t="shared" si="114"/>
        <v>0</v>
      </c>
      <c r="Y461" s="2908">
        <f t="shared" si="115"/>
        <v>0</v>
      </c>
      <c r="Z461" s="955"/>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v>
      </c>
      <c r="R462" s="597">
        <f t="shared" si="116"/>
        <v>0</v>
      </c>
      <c r="S462" s="250">
        <f t="shared" si="117"/>
        <v>0</v>
      </c>
      <c r="T462" s="858">
        <f t="shared" si="118"/>
        <v>0</v>
      </c>
      <c r="U462" s="2908">
        <f t="shared" si="112"/>
        <v>0</v>
      </c>
      <c r="V462" s="2908">
        <f t="shared" si="113"/>
        <v>0</v>
      </c>
      <c r="W462" s="955"/>
      <c r="X462" s="2908">
        <f t="shared" si="114"/>
        <v>0</v>
      </c>
      <c r="Y462" s="2908">
        <f t="shared" si="115"/>
        <v>0</v>
      </c>
      <c r="Z462" s="955"/>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v>
      </c>
      <c r="R463" s="597">
        <f t="shared" si="116"/>
        <v>0</v>
      </c>
      <c r="S463" s="250">
        <f t="shared" si="117"/>
        <v>0</v>
      </c>
      <c r="T463" s="858">
        <f t="shared" si="118"/>
        <v>0</v>
      </c>
      <c r="U463" s="2908">
        <f t="shared" si="112"/>
        <v>0</v>
      </c>
      <c r="V463" s="2908">
        <f t="shared" si="113"/>
        <v>0</v>
      </c>
      <c r="W463" s="955"/>
      <c r="X463" s="2908">
        <f t="shared" si="114"/>
        <v>0</v>
      </c>
      <c r="Y463" s="2908">
        <f t="shared" si="115"/>
        <v>0</v>
      </c>
      <c r="Z463" s="955"/>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v>
      </c>
      <c r="R464" s="597">
        <f t="shared" si="116"/>
        <v>0</v>
      </c>
      <c r="S464" s="250">
        <f t="shared" si="117"/>
        <v>0</v>
      </c>
      <c r="T464" s="858">
        <f t="shared" si="118"/>
        <v>0</v>
      </c>
      <c r="U464" s="2908">
        <f t="shared" si="112"/>
        <v>0</v>
      </c>
      <c r="V464" s="2908">
        <f t="shared" si="113"/>
        <v>0</v>
      </c>
      <c r="W464" s="955"/>
      <c r="X464" s="2908">
        <f t="shared" si="114"/>
        <v>0</v>
      </c>
      <c r="Y464" s="2908">
        <f t="shared" si="115"/>
        <v>0</v>
      </c>
      <c r="Z464" s="955"/>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v>
      </c>
      <c r="R465" s="597">
        <f t="shared" si="116"/>
        <v>0</v>
      </c>
      <c r="S465" s="250">
        <f t="shared" si="117"/>
        <v>0</v>
      </c>
      <c r="T465" s="858">
        <f t="shared" si="118"/>
        <v>0</v>
      </c>
      <c r="U465" s="2908">
        <f t="shared" si="112"/>
        <v>0</v>
      </c>
      <c r="V465" s="2908">
        <f t="shared" si="113"/>
        <v>0</v>
      </c>
      <c r="W465" s="955"/>
      <c r="X465" s="2908">
        <f t="shared" si="114"/>
        <v>0</v>
      </c>
      <c r="Y465" s="2908">
        <f t="shared" si="115"/>
        <v>0</v>
      </c>
      <c r="Z465" s="955"/>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v>
      </c>
      <c r="R466" s="597">
        <f t="shared" si="116"/>
        <v>0</v>
      </c>
      <c r="S466" s="250">
        <f t="shared" si="117"/>
        <v>0</v>
      </c>
      <c r="T466" s="858">
        <f t="shared" si="118"/>
        <v>0</v>
      </c>
      <c r="U466" s="2908">
        <f t="shared" si="112"/>
        <v>0</v>
      </c>
      <c r="V466" s="2908">
        <f t="shared" si="113"/>
        <v>0</v>
      </c>
      <c r="W466" s="955"/>
      <c r="X466" s="2908">
        <f t="shared" si="114"/>
        <v>0</v>
      </c>
      <c r="Y466" s="2908">
        <f t="shared" si="115"/>
        <v>0</v>
      </c>
      <c r="Z466" s="955"/>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v>
      </c>
      <c r="R467" s="597">
        <f t="shared" si="116"/>
        <v>0</v>
      </c>
      <c r="S467" s="250">
        <f t="shared" si="117"/>
        <v>0</v>
      </c>
      <c r="T467" s="858">
        <f t="shared" si="118"/>
        <v>0</v>
      </c>
      <c r="U467" s="2908">
        <f t="shared" si="112"/>
        <v>0</v>
      </c>
      <c r="V467" s="2908">
        <f t="shared" si="113"/>
        <v>0</v>
      </c>
      <c r="W467" s="955"/>
      <c r="X467" s="2908">
        <f t="shared" si="114"/>
        <v>0</v>
      </c>
      <c r="Y467" s="2908">
        <f t="shared" si="115"/>
        <v>0</v>
      </c>
      <c r="Z467" s="955"/>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v>
      </c>
      <c r="R468" s="597">
        <f t="shared" si="116"/>
        <v>0</v>
      </c>
      <c r="S468" s="250">
        <f t="shared" si="117"/>
        <v>0</v>
      </c>
      <c r="T468" s="858">
        <f t="shared" si="118"/>
        <v>0</v>
      </c>
      <c r="U468" s="2908">
        <f t="shared" si="112"/>
        <v>0</v>
      </c>
      <c r="V468" s="2908">
        <f t="shared" si="113"/>
        <v>0</v>
      </c>
      <c r="W468" s="955"/>
      <c r="X468" s="2908">
        <f t="shared" si="114"/>
        <v>0</v>
      </c>
      <c r="Y468" s="2908">
        <f t="shared" si="115"/>
        <v>0</v>
      </c>
      <c r="Z468" s="955"/>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v>
      </c>
      <c r="R469" s="597">
        <f t="shared" si="116"/>
        <v>0</v>
      </c>
      <c r="S469" s="250">
        <f t="shared" si="117"/>
        <v>0</v>
      </c>
      <c r="T469" s="858">
        <f t="shared" si="118"/>
        <v>0</v>
      </c>
      <c r="U469" s="2908">
        <f t="shared" si="112"/>
        <v>0</v>
      </c>
      <c r="V469" s="2908">
        <f t="shared" si="113"/>
        <v>0</v>
      </c>
      <c r="W469" s="955"/>
      <c r="X469" s="2908">
        <f t="shared" si="114"/>
        <v>0</v>
      </c>
      <c r="Y469" s="2908">
        <f t="shared" si="115"/>
        <v>0</v>
      </c>
      <c r="Z469" s="955"/>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v>
      </c>
      <c r="R470" s="597">
        <f t="shared" si="116"/>
        <v>0</v>
      </c>
      <c r="S470" s="250">
        <f t="shared" si="117"/>
        <v>0</v>
      </c>
      <c r="T470" s="858">
        <f t="shared" si="118"/>
        <v>0</v>
      </c>
      <c r="U470" s="2908">
        <f t="shared" si="112"/>
        <v>0</v>
      </c>
      <c r="V470" s="2908">
        <f t="shared" si="113"/>
        <v>0</v>
      </c>
      <c r="W470" s="955"/>
      <c r="X470" s="2908">
        <f t="shared" si="114"/>
        <v>0</v>
      </c>
      <c r="Y470" s="2908">
        <f t="shared" si="115"/>
        <v>0</v>
      </c>
      <c r="Z470" s="955"/>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v>
      </c>
      <c r="R471" s="597">
        <f t="shared" si="116"/>
        <v>0</v>
      </c>
      <c r="S471" s="250">
        <f t="shared" si="117"/>
        <v>0</v>
      </c>
      <c r="T471" s="858">
        <f t="shared" si="118"/>
        <v>0</v>
      </c>
      <c r="U471" s="2908">
        <f t="shared" si="112"/>
        <v>0</v>
      </c>
      <c r="V471" s="2908">
        <f t="shared" si="113"/>
        <v>0</v>
      </c>
      <c r="W471" s="955"/>
      <c r="X471" s="2908">
        <f t="shared" si="114"/>
        <v>0</v>
      </c>
      <c r="Y471" s="2908">
        <f t="shared" si="115"/>
        <v>0</v>
      </c>
      <c r="Z471" s="955"/>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v>
      </c>
      <c r="R472" s="597">
        <f t="shared" si="116"/>
        <v>0</v>
      </c>
      <c r="S472" s="250">
        <f t="shared" si="117"/>
        <v>0</v>
      </c>
      <c r="T472" s="858">
        <f t="shared" si="118"/>
        <v>0</v>
      </c>
      <c r="U472" s="2908">
        <f t="shared" si="112"/>
        <v>0</v>
      </c>
      <c r="V472" s="2908">
        <f t="shared" si="113"/>
        <v>0</v>
      </c>
      <c r="W472" s="955"/>
      <c r="X472" s="2908">
        <f t="shared" si="114"/>
        <v>0</v>
      </c>
      <c r="Y472" s="2908">
        <f t="shared" si="115"/>
        <v>0</v>
      </c>
      <c r="Z472" s="955"/>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v>
      </c>
      <c r="R473" s="597">
        <f t="shared" si="116"/>
        <v>0</v>
      </c>
      <c r="S473" s="250">
        <f t="shared" si="117"/>
        <v>0</v>
      </c>
      <c r="T473" s="858">
        <f t="shared" si="118"/>
        <v>0</v>
      </c>
      <c r="U473" s="2908">
        <f t="shared" si="112"/>
        <v>0</v>
      </c>
      <c r="V473" s="2908">
        <f t="shared" si="113"/>
        <v>0</v>
      </c>
      <c r="W473" s="955"/>
      <c r="X473" s="2908">
        <f t="shared" si="114"/>
        <v>0</v>
      </c>
      <c r="Y473" s="2908">
        <f t="shared" si="115"/>
        <v>0</v>
      </c>
      <c r="Z473" s="955"/>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v>
      </c>
      <c r="R474" s="597">
        <f t="shared" si="116"/>
        <v>0</v>
      </c>
      <c r="S474" s="250">
        <f t="shared" si="117"/>
        <v>0</v>
      </c>
      <c r="T474" s="858">
        <f t="shared" si="118"/>
        <v>0</v>
      </c>
      <c r="U474" s="2908">
        <f t="shared" si="112"/>
        <v>0</v>
      </c>
      <c r="V474" s="2908">
        <f t="shared" si="113"/>
        <v>0</v>
      </c>
      <c r="W474" s="955"/>
      <c r="X474" s="2908">
        <f t="shared" si="114"/>
        <v>0</v>
      </c>
      <c r="Y474" s="2908">
        <f t="shared" si="115"/>
        <v>0</v>
      </c>
      <c r="Z474" s="955"/>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v>
      </c>
      <c r="R475" s="597">
        <f t="shared" si="116"/>
        <v>0</v>
      </c>
      <c r="S475" s="250">
        <f t="shared" si="117"/>
        <v>0</v>
      </c>
      <c r="T475" s="858">
        <f t="shared" si="118"/>
        <v>0</v>
      </c>
      <c r="U475" s="2908">
        <f t="shared" si="112"/>
        <v>0</v>
      </c>
      <c r="V475" s="2908">
        <f t="shared" si="113"/>
        <v>0</v>
      </c>
      <c r="W475" s="955"/>
      <c r="X475" s="2908">
        <f t="shared" si="114"/>
        <v>0</v>
      </c>
      <c r="Y475" s="2908">
        <f t="shared" si="115"/>
        <v>0</v>
      </c>
      <c r="Z475" s="955"/>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v>
      </c>
      <c r="R476" s="597">
        <f t="shared" si="116"/>
        <v>0</v>
      </c>
      <c r="S476" s="250">
        <f t="shared" si="117"/>
        <v>0</v>
      </c>
      <c r="T476" s="858">
        <f t="shared" si="118"/>
        <v>0</v>
      </c>
      <c r="U476" s="2908">
        <f t="shared" ref="U476:U527" si="127">ROUND(W476*B476,0)</f>
        <v>0</v>
      </c>
      <c r="V476" s="2908">
        <f t="shared" ref="V476:V527" si="128">ROUND(W476*B476/10000,0)</f>
        <v>0</v>
      </c>
      <c r="W476" s="955"/>
      <c r="X476" s="2908">
        <f t="shared" ref="X476:X527" si="129">ROUND(Z476*B476,0)</f>
        <v>0</v>
      </c>
      <c r="Y476" s="2908">
        <f t="shared" ref="Y476:Y527" si="130">ROUND(Z476*B476/10000,0)</f>
        <v>0</v>
      </c>
      <c r="Z476" s="955"/>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v>
      </c>
      <c r="R477" s="597">
        <f t="shared" ref="R477:R527" si="131">IF(B477="",0,ROUND($R$27*C477*E477*G477*I477*K477*M477*O477*Q477,0))</f>
        <v>0</v>
      </c>
      <c r="S477" s="250">
        <f t="shared" ref="S477:S527" si="132">ROUND(R477*B477,0)</f>
        <v>0</v>
      </c>
      <c r="T477" s="858">
        <f t="shared" ref="T477:T527" si="133">ROUND(R477*B477/10000,0)</f>
        <v>0</v>
      </c>
      <c r="U477" s="2908">
        <f t="shared" si="127"/>
        <v>0</v>
      </c>
      <c r="V477" s="2908">
        <f t="shared" si="128"/>
        <v>0</v>
      </c>
      <c r="W477" s="955"/>
      <c r="X477" s="2908">
        <f t="shared" si="129"/>
        <v>0</v>
      </c>
      <c r="Y477" s="2908">
        <f t="shared" si="130"/>
        <v>0</v>
      </c>
      <c r="Z477" s="955"/>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v>
      </c>
      <c r="R478" s="597">
        <f t="shared" si="131"/>
        <v>0</v>
      </c>
      <c r="S478" s="250">
        <f t="shared" si="132"/>
        <v>0</v>
      </c>
      <c r="T478" s="858">
        <f t="shared" si="133"/>
        <v>0</v>
      </c>
      <c r="U478" s="2908">
        <f t="shared" si="127"/>
        <v>0</v>
      </c>
      <c r="V478" s="2908">
        <f t="shared" si="128"/>
        <v>0</v>
      </c>
      <c r="W478" s="955"/>
      <c r="X478" s="2908">
        <f t="shared" si="129"/>
        <v>0</v>
      </c>
      <c r="Y478" s="2908">
        <f t="shared" si="130"/>
        <v>0</v>
      </c>
      <c r="Z478" s="955"/>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v>
      </c>
      <c r="R479" s="597">
        <f t="shared" si="131"/>
        <v>0</v>
      </c>
      <c r="S479" s="250">
        <f t="shared" si="132"/>
        <v>0</v>
      </c>
      <c r="T479" s="858">
        <f t="shared" si="133"/>
        <v>0</v>
      </c>
      <c r="U479" s="2908">
        <f t="shared" si="127"/>
        <v>0</v>
      </c>
      <c r="V479" s="2908">
        <f t="shared" si="128"/>
        <v>0</v>
      </c>
      <c r="W479" s="955"/>
      <c r="X479" s="2908">
        <f t="shared" si="129"/>
        <v>0</v>
      </c>
      <c r="Y479" s="2908">
        <f t="shared" si="130"/>
        <v>0</v>
      </c>
      <c r="Z479" s="955"/>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v>
      </c>
      <c r="R480" s="597">
        <f t="shared" si="131"/>
        <v>0</v>
      </c>
      <c r="S480" s="250">
        <f t="shared" si="132"/>
        <v>0</v>
      </c>
      <c r="T480" s="858">
        <f t="shared" si="133"/>
        <v>0</v>
      </c>
      <c r="U480" s="2908">
        <f t="shared" si="127"/>
        <v>0</v>
      </c>
      <c r="V480" s="2908">
        <f t="shared" si="128"/>
        <v>0</v>
      </c>
      <c r="W480" s="955"/>
      <c r="X480" s="2908">
        <f t="shared" si="129"/>
        <v>0</v>
      </c>
      <c r="Y480" s="2908">
        <f t="shared" si="130"/>
        <v>0</v>
      </c>
      <c r="Z480" s="955"/>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v>
      </c>
      <c r="R481" s="597">
        <f t="shared" si="131"/>
        <v>0</v>
      </c>
      <c r="S481" s="250">
        <f t="shared" si="132"/>
        <v>0</v>
      </c>
      <c r="T481" s="858">
        <f t="shared" si="133"/>
        <v>0</v>
      </c>
      <c r="U481" s="2908">
        <f t="shared" si="127"/>
        <v>0</v>
      </c>
      <c r="V481" s="2908">
        <f t="shared" si="128"/>
        <v>0</v>
      </c>
      <c r="W481" s="955"/>
      <c r="X481" s="2908">
        <f t="shared" si="129"/>
        <v>0</v>
      </c>
      <c r="Y481" s="2908">
        <f t="shared" si="130"/>
        <v>0</v>
      </c>
      <c r="Z481" s="955"/>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v>
      </c>
      <c r="R482" s="597">
        <f t="shared" si="131"/>
        <v>0</v>
      </c>
      <c r="S482" s="250">
        <f t="shared" si="132"/>
        <v>0</v>
      </c>
      <c r="T482" s="858">
        <f t="shared" si="133"/>
        <v>0</v>
      </c>
      <c r="U482" s="2908">
        <f t="shared" si="127"/>
        <v>0</v>
      </c>
      <c r="V482" s="2908">
        <f t="shared" si="128"/>
        <v>0</v>
      </c>
      <c r="W482" s="955"/>
      <c r="X482" s="2908">
        <f t="shared" si="129"/>
        <v>0</v>
      </c>
      <c r="Y482" s="2908">
        <f t="shared" si="130"/>
        <v>0</v>
      </c>
      <c r="Z482" s="955"/>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v>
      </c>
      <c r="R483" s="597">
        <f t="shared" si="131"/>
        <v>0</v>
      </c>
      <c r="S483" s="250">
        <f t="shared" si="132"/>
        <v>0</v>
      </c>
      <c r="T483" s="858">
        <f t="shared" si="133"/>
        <v>0</v>
      </c>
      <c r="U483" s="2908">
        <f t="shared" si="127"/>
        <v>0</v>
      </c>
      <c r="V483" s="2908">
        <f t="shared" si="128"/>
        <v>0</v>
      </c>
      <c r="W483" s="955"/>
      <c r="X483" s="2908">
        <f t="shared" si="129"/>
        <v>0</v>
      </c>
      <c r="Y483" s="2908">
        <f t="shared" si="130"/>
        <v>0</v>
      </c>
      <c r="Z483" s="955"/>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v>
      </c>
      <c r="R484" s="597">
        <f t="shared" si="131"/>
        <v>0</v>
      </c>
      <c r="S484" s="250">
        <f t="shared" si="132"/>
        <v>0</v>
      </c>
      <c r="T484" s="858">
        <f t="shared" si="133"/>
        <v>0</v>
      </c>
      <c r="U484" s="2908">
        <f t="shared" si="127"/>
        <v>0</v>
      </c>
      <c r="V484" s="2908">
        <f t="shared" si="128"/>
        <v>0</v>
      </c>
      <c r="W484" s="955"/>
      <c r="X484" s="2908">
        <f t="shared" si="129"/>
        <v>0</v>
      </c>
      <c r="Y484" s="2908">
        <f t="shared" si="130"/>
        <v>0</v>
      </c>
      <c r="Z484" s="955"/>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v>
      </c>
      <c r="R485" s="597">
        <f t="shared" si="131"/>
        <v>0</v>
      </c>
      <c r="S485" s="250">
        <f t="shared" si="132"/>
        <v>0</v>
      </c>
      <c r="T485" s="858">
        <f t="shared" si="133"/>
        <v>0</v>
      </c>
      <c r="U485" s="2908">
        <f t="shared" si="127"/>
        <v>0</v>
      </c>
      <c r="V485" s="2908">
        <f t="shared" si="128"/>
        <v>0</v>
      </c>
      <c r="W485" s="955"/>
      <c r="X485" s="2908">
        <f t="shared" si="129"/>
        <v>0</v>
      </c>
      <c r="Y485" s="2908">
        <f t="shared" si="130"/>
        <v>0</v>
      </c>
      <c r="Z485" s="955"/>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v>
      </c>
      <c r="R486" s="597">
        <f t="shared" si="131"/>
        <v>0</v>
      </c>
      <c r="S486" s="250">
        <f t="shared" si="132"/>
        <v>0</v>
      </c>
      <c r="T486" s="858">
        <f t="shared" si="133"/>
        <v>0</v>
      </c>
      <c r="U486" s="2908">
        <f t="shared" si="127"/>
        <v>0</v>
      </c>
      <c r="V486" s="2908">
        <f t="shared" si="128"/>
        <v>0</v>
      </c>
      <c r="W486" s="955"/>
      <c r="X486" s="2908">
        <f t="shared" si="129"/>
        <v>0</v>
      </c>
      <c r="Y486" s="2908">
        <f t="shared" si="130"/>
        <v>0</v>
      </c>
      <c r="Z486" s="955"/>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v>
      </c>
      <c r="R487" s="597">
        <f t="shared" si="131"/>
        <v>0</v>
      </c>
      <c r="S487" s="250">
        <f t="shared" si="132"/>
        <v>0</v>
      </c>
      <c r="T487" s="858">
        <f t="shared" si="133"/>
        <v>0</v>
      </c>
      <c r="U487" s="2908">
        <f t="shared" si="127"/>
        <v>0</v>
      </c>
      <c r="V487" s="2908">
        <f t="shared" si="128"/>
        <v>0</v>
      </c>
      <c r="W487" s="955"/>
      <c r="X487" s="2908">
        <f t="shared" si="129"/>
        <v>0</v>
      </c>
      <c r="Y487" s="2908">
        <f t="shared" si="130"/>
        <v>0</v>
      </c>
      <c r="Z487" s="955"/>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v>
      </c>
      <c r="R488" s="597">
        <f t="shared" si="131"/>
        <v>0</v>
      </c>
      <c r="S488" s="250">
        <f t="shared" si="132"/>
        <v>0</v>
      </c>
      <c r="T488" s="858">
        <f t="shared" si="133"/>
        <v>0</v>
      </c>
      <c r="U488" s="2908">
        <f t="shared" si="127"/>
        <v>0</v>
      </c>
      <c r="V488" s="2908">
        <f t="shared" si="128"/>
        <v>0</v>
      </c>
      <c r="W488" s="955"/>
      <c r="X488" s="2908">
        <f t="shared" si="129"/>
        <v>0</v>
      </c>
      <c r="Y488" s="2908">
        <f t="shared" si="130"/>
        <v>0</v>
      </c>
      <c r="Z488" s="955"/>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v>
      </c>
      <c r="R489" s="597">
        <f t="shared" si="131"/>
        <v>0</v>
      </c>
      <c r="S489" s="250">
        <f t="shared" si="132"/>
        <v>0</v>
      </c>
      <c r="T489" s="858">
        <f t="shared" si="133"/>
        <v>0</v>
      </c>
      <c r="U489" s="2908">
        <f t="shared" si="127"/>
        <v>0</v>
      </c>
      <c r="V489" s="2908">
        <f t="shared" si="128"/>
        <v>0</v>
      </c>
      <c r="W489" s="955"/>
      <c r="X489" s="2908">
        <f t="shared" si="129"/>
        <v>0</v>
      </c>
      <c r="Y489" s="2908">
        <f t="shared" si="130"/>
        <v>0</v>
      </c>
      <c r="Z489" s="955"/>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v>
      </c>
      <c r="R490" s="597">
        <f t="shared" si="131"/>
        <v>0</v>
      </c>
      <c r="S490" s="250">
        <f t="shared" si="132"/>
        <v>0</v>
      </c>
      <c r="T490" s="858">
        <f t="shared" si="133"/>
        <v>0</v>
      </c>
      <c r="U490" s="2908">
        <f t="shared" si="127"/>
        <v>0</v>
      </c>
      <c r="V490" s="2908">
        <f t="shared" si="128"/>
        <v>0</v>
      </c>
      <c r="W490" s="955"/>
      <c r="X490" s="2908">
        <f t="shared" si="129"/>
        <v>0</v>
      </c>
      <c r="Y490" s="2908">
        <f t="shared" si="130"/>
        <v>0</v>
      </c>
      <c r="Z490" s="955"/>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v>
      </c>
      <c r="R491" s="597">
        <f t="shared" si="131"/>
        <v>0</v>
      </c>
      <c r="S491" s="250">
        <f t="shared" si="132"/>
        <v>0</v>
      </c>
      <c r="T491" s="858">
        <f t="shared" si="133"/>
        <v>0</v>
      </c>
      <c r="U491" s="2908">
        <f t="shared" si="127"/>
        <v>0</v>
      </c>
      <c r="V491" s="2908">
        <f t="shared" si="128"/>
        <v>0</v>
      </c>
      <c r="W491" s="955"/>
      <c r="X491" s="2908">
        <f t="shared" si="129"/>
        <v>0</v>
      </c>
      <c r="Y491" s="2908">
        <f t="shared" si="130"/>
        <v>0</v>
      </c>
      <c r="Z491" s="955"/>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v>
      </c>
      <c r="R492" s="597">
        <f t="shared" si="131"/>
        <v>0</v>
      </c>
      <c r="S492" s="250">
        <f t="shared" si="132"/>
        <v>0</v>
      </c>
      <c r="T492" s="858">
        <f t="shared" si="133"/>
        <v>0</v>
      </c>
      <c r="U492" s="2908">
        <f t="shared" si="127"/>
        <v>0</v>
      </c>
      <c r="V492" s="2908">
        <f t="shared" si="128"/>
        <v>0</v>
      </c>
      <c r="W492" s="955"/>
      <c r="X492" s="2908">
        <f t="shared" si="129"/>
        <v>0</v>
      </c>
      <c r="Y492" s="2908">
        <f t="shared" si="130"/>
        <v>0</v>
      </c>
      <c r="Z492" s="955"/>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v>
      </c>
      <c r="R493" s="597">
        <f t="shared" si="131"/>
        <v>0</v>
      </c>
      <c r="S493" s="250">
        <f t="shared" si="132"/>
        <v>0</v>
      </c>
      <c r="T493" s="858">
        <f t="shared" si="133"/>
        <v>0</v>
      </c>
      <c r="U493" s="2908">
        <f t="shared" si="127"/>
        <v>0</v>
      </c>
      <c r="V493" s="2908">
        <f t="shared" si="128"/>
        <v>0</v>
      </c>
      <c r="W493" s="955"/>
      <c r="X493" s="2908">
        <f t="shared" si="129"/>
        <v>0</v>
      </c>
      <c r="Y493" s="2908">
        <f t="shared" si="130"/>
        <v>0</v>
      </c>
      <c r="Z493" s="955"/>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v>
      </c>
      <c r="R494" s="597">
        <f t="shared" si="131"/>
        <v>0</v>
      </c>
      <c r="S494" s="250">
        <f t="shared" si="132"/>
        <v>0</v>
      </c>
      <c r="T494" s="858">
        <f t="shared" si="133"/>
        <v>0</v>
      </c>
      <c r="U494" s="2908">
        <f t="shared" si="127"/>
        <v>0</v>
      </c>
      <c r="V494" s="2908">
        <f t="shared" si="128"/>
        <v>0</v>
      </c>
      <c r="W494" s="955"/>
      <c r="X494" s="2908">
        <f t="shared" si="129"/>
        <v>0</v>
      </c>
      <c r="Y494" s="2908">
        <f t="shared" si="130"/>
        <v>0</v>
      </c>
      <c r="Z494" s="955"/>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v>
      </c>
      <c r="R495" s="597">
        <f t="shared" si="131"/>
        <v>0</v>
      </c>
      <c r="S495" s="250">
        <f t="shared" si="132"/>
        <v>0</v>
      </c>
      <c r="T495" s="858">
        <f t="shared" si="133"/>
        <v>0</v>
      </c>
      <c r="U495" s="2908">
        <f t="shared" si="127"/>
        <v>0</v>
      </c>
      <c r="V495" s="2908">
        <f t="shared" si="128"/>
        <v>0</v>
      </c>
      <c r="W495" s="955"/>
      <c r="X495" s="2908">
        <f t="shared" si="129"/>
        <v>0</v>
      </c>
      <c r="Y495" s="2908">
        <f t="shared" si="130"/>
        <v>0</v>
      </c>
      <c r="Z495" s="955"/>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v>
      </c>
      <c r="R496" s="597">
        <f t="shared" si="131"/>
        <v>0</v>
      </c>
      <c r="S496" s="250">
        <f t="shared" si="132"/>
        <v>0</v>
      </c>
      <c r="T496" s="858">
        <f t="shared" si="133"/>
        <v>0</v>
      </c>
      <c r="U496" s="2908">
        <f t="shared" si="127"/>
        <v>0</v>
      </c>
      <c r="V496" s="2908">
        <f t="shared" si="128"/>
        <v>0</v>
      </c>
      <c r="W496" s="955"/>
      <c r="X496" s="2908">
        <f t="shared" si="129"/>
        <v>0</v>
      </c>
      <c r="Y496" s="2908">
        <f t="shared" si="130"/>
        <v>0</v>
      </c>
      <c r="Z496" s="955"/>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v>
      </c>
      <c r="R497" s="597">
        <f t="shared" si="131"/>
        <v>0</v>
      </c>
      <c r="S497" s="250">
        <f t="shared" si="132"/>
        <v>0</v>
      </c>
      <c r="T497" s="858">
        <f t="shared" si="133"/>
        <v>0</v>
      </c>
      <c r="U497" s="2908">
        <f t="shared" si="127"/>
        <v>0</v>
      </c>
      <c r="V497" s="2908">
        <f t="shared" si="128"/>
        <v>0</v>
      </c>
      <c r="W497" s="955"/>
      <c r="X497" s="2908">
        <f t="shared" si="129"/>
        <v>0</v>
      </c>
      <c r="Y497" s="2908">
        <f t="shared" si="130"/>
        <v>0</v>
      </c>
      <c r="Z497" s="955"/>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v>
      </c>
      <c r="R498" s="597">
        <f t="shared" si="131"/>
        <v>0</v>
      </c>
      <c r="S498" s="250">
        <f t="shared" si="132"/>
        <v>0</v>
      </c>
      <c r="T498" s="858">
        <f t="shared" si="133"/>
        <v>0</v>
      </c>
      <c r="U498" s="2908">
        <f t="shared" si="127"/>
        <v>0</v>
      </c>
      <c r="V498" s="2908">
        <f t="shared" si="128"/>
        <v>0</v>
      </c>
      <c r="W498" s="955"/>
      <c r="X498" s="2908">
        <f t="shared" si="129"/>
        <v>0</v>
      </c>
      <c r="Y498" s="2908">
        <f t="shared" si="130"/>
        <v>0</v>
      </c>
      <c r="Z498" s="955"/>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v>
      </c>
      <c r="R499" s="597">
        <f t="shared" si="131"/>
        <v>0</v>
      </c>
      <c r="S499" s="250">
        <f t="shared" si="132"/>
        <v>0</v>
      </c>
      <c r="T499" s="858">
        <f t="shared" si="133"/>
        <v>0</v>
      </c>
      <c r="U499" s="2908">
        <f t="shared" si="127"/>
        <v>0</v>
      </c>
      <c r="V499" s="2908">
        <f t="shared" si="128"/>
        <v>0</v>
      </c>
      <c r="W499" s="955"/>
      <c r="X499" s="2908">
        <f t="shared" si="129"/>
        <v>0</v>
      </c>
      <c r="Y499" s="2908">
        <f t="shared" si="130"/>
        <v>0</v>
      </c>
      <c r="Z499" s="955"/>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v>
      </c>
      <c r="R500" s="597">
        <f t="shared" si="131"/>
        <v>0</v>
      </c>
      <c r="S500" s="250">
        <f t="shared" si="132"/>
        <v>0</v>
      </c>
      <c r="T500" s="858">
        <f t="shared" si="133"/>
        <v>0</v>
      </c>
      <c r="U500" s="2908">
        <f t="shared" si="127"/>
        <v>0</v>
      </c>
      <c r="V500" s="2908">
        <f t="shared" si="128"/>
        <v>0</v>
      </c>
      <c r="W500" s="955"/>
      <c r="X500" s="2908">
        <f t="shared" si="129"/>
        <v>0</v>
      </c>
      <c r="Y500" s="2908">
        <f t="shared" si="130"/>
        <v>0</v>
      </c>
      <c r="Z500" s="955"/>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v>
      </c>
      <c r="R501" s="597">
        <f t="shared" si="131"/>
        <v>0</v>
      </c>
      <c r="S501" s="250">
        <f t="shared" si="132"/>
        <v>0</v>
      </c>
      <c r="T501" s="858">
        <f t="shared" si="133"/>
        <v>0</v>
      </c>
      <c r="U501" s="2908">
        <f t="shared" si="127"/>
        <v>0</v>
      </c>
      <c r="V501" s="2908">
        <f t="shared" si="128"/>
        <v>0</v>
      </c>
      <c r="W501" s="955"/>
      <c r="X501" s="2908">
        <f t="shared" si="129"/>
        <v>0</v>
      </c>
      <c r="Y501" s="2908">
        <f t="shared" si="130"/>
        <v>0</v>
      </c>
      <c r="Z501" s="955"/>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v>
      </c>
      <c r="R502" s="597">
        <f t="shared" si="131"/>
        <v>0</v>
      </c>
      <c r="S502" s="250">
        <f t="shared" si="132"/>
        <v>0</v>
      </c>
      <c r="T502" s="858">
        <f t="shared" si="133"/>
        <v>0</v>
      </c>
      <c r="U502" s="2908">
        <f t="shared" si="127"/>
        <v>0</v>
      </c>
      <c r="V502" s="2908">
        <f t="shared" si="128"/>
        <v>0</v>
      </c>
      <c r="W502" s="955"/>
      <c r="X502" s="2908">
        <f t="shared" si="129"/>
        <v>0</v>
      </c>
      <c r="Y502" s="2908">
        <f t="shared" si="130"/>
        <v>0</v>
      </c>
      <c r="Z502" s="955"/>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v>
      </c>
      <c r="R503" s="597">
        <f t="shared" si="131"/>
        <v>0</v>
      </c>
      <c r="S503" s="250">
        <f t="shared" si="132"/>
        <v>0</v>
      </c>
      <c r="T503" s="858">
        <f t="shared" si="133"/>
        <v>0</v>
      </c>
      <c r="U503" s="2908">
        <f t="shared" si="127"/>
        <v>0</v>
      </c>
      <c r="V503" s="2908">
        <f t="shared" si="128"/>
        <v>0</v>
      </c>
      <c r="W503" s="955"/>
      <c r="X503" s="2908">
        <f t="shared" si="129"/>
        <v>0</v>
      </c>
      <c r="Y503" s="2908">
        <f t="shared" si="130"/>
        <v>0</v>
      </c>
      <c r="Z503" s="955"/>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v>
      </c>
      <c r="R504" s="597">
        <f t="shared" si="131"/>
        <v>0</v>
      </c>
      <c r="S504" s="250">
        <f t="shared" si="132"/>
        <v>0</v>
      </c>
      <c r="T504" s="858">
        <f t="shared" si="133"/>
        <v>0</v>
      </c>
      <c r="U504" s="2908">
        <f t="shared" si="127"/>
        <v>0</v>
      </c>
      <c r="V504" s="2908">
        <f t="shared" si="128"/>
        <v>0</v>
      </c>
      <c r="W504" s="955"/>
      <c r="X504" s="2908">
        <f t="shared" si="129"/>
        <v>0</v>
      </c>
      <c r="Y504" s="2908">
        <f t="shared" si="130"/>
        <v>0</v>
      </c>
      <c r="Z504" s="955"/>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v>
      </c>
      <c r="R505" s="597">
        <f t="shared" si="131"/>
        <v>0</v>
      </c>
      <c r="S505" s="250">
        <f t="shared" si="132"/>
        <v>0</v>
      </c>
      <c r="T505" s="858">
        <f t="shared" si="133"/>
        <v>0</v>
      </c>
      <c r="U505" s="2908">
        <f t="shared" si="127"/>
        <v>0</v>
      </c>
      <c r="V505" s="2908">
        <f t="shared" si="128"/>
        <v>0</v>
      </c>
      <c r="W505" s="955"/>
      <c r="X505" s="2908">
        <f t="shared" si="129"/>
        <v>0</v>
      </c>
      <c r="Y505" s="2908">
        <f t="shared" si="130"/>
        <v>0</v>
      </c>
      <c r="Z505" s="955"/>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v>
      </c>
      <c r="R506" s="597">
        <f t="shared" si="131"/>
        <v>0</v>
      </c>
      <c r="S506" s="250">
        <f t="shared" si="132"/>
        <v>0</v>
      </c>
      <c r="T506" s="858">
        <f t="shared" si="133"/>
        <v>0</v>
      </c>
      <c r="U506" s="2908">
        <f t="shared" si="127"/>
        <v>0</v>
      </c>
      <c r="V506" s="2908">
        <f t="shared" si="128"/>
        <v>0</v>
      </c>
      <c r="W506" s="955"/>
      <c r="X506" s="2908">
        <f t="shared" si="129"/>
        <v>0</v>
      </c>
      <c r="Y506" s="2908">
        <f t="shared" si="130"/>
        <v>0</v>
      </c>
      <c r="Z506" s="955"/>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v>
      </c>
      <c r="R507" s="597">
        <f t="shared" si="131"/>
        <v>0</v>
      </c>
      <c r="S507" s="250">
        <f t="shared" si="132"/>
        <v>0</v>
      </c>
      <c r="T507" s="858">
        <f t="shared" si="133"/>
        <v>0</v>
      </c>
      <c r="U507" s="2908">
        <f t="shared" si="127"/>
        <v>0</v>
      </c>
      <c r="V507" s="2908">
        <f t="shared" si="128"/>
        <v>0</v>
      </c>
      <c r="W507" s="955"/>
      <c r="X507" s="2908">
        <f t="shared" si="129"/>
        <v>0</v>
      </c>
      <c r="Y507" s="2908">
        <f t="shared" si="130"/>
        <v>0</v>
      </c>
      <c r="Z507" s="955"/>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v>
      </c>
      <c r="R508" s="597">
        <f t="shared" si="131"/>
        <v>0</v>
      </c>
      <c r="S508" s="250">
        <f t="shared" si="132"/>
        <v>0</v>
      </c>
      <c r="T508" s="858">
        <f t="shared" si="133"/>
        <v>0</v>
      </c>
      <c r="U508" s="2908">
        <f t="shared" si="127"/>
        <v>0</v>
      </c>
      <c r="V508" s="2908">
        <f t="shared" si="128"/>
        <v>0</v>
      </c>
      <c r="W508" s="955"/>
      <c r="X508" s="2908">
        <f t="shared" si="129"/>
        <v>0</v>
      </c>
      <c r="Y508" s="2908">
        <f t="shared" si="130"/>
        <v>0</v>
      </c>
      <c r="Z508" s="955"/>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v>
      </c>
      <c r="R509" s="597">
        <f t="shared" si="131"/>
        <v>0</v>
      </c>
      <c r="S509" s="250">
        <f t="shared" si="132"/>
        <v>0</v>
      </c>
      <c r="T509" s="858">
        <f t="shared" si="133"/>
        <v>0</v>
      </c>
      <c r="U509" s="2908">
        <f t="shared" si="127"/>
        <v>0</v>
      </c>
      <c r="V509" s="2908">
        <f t="shared" si="128"/>
        <v>0</v>
      </c>
      <c r="W509" s="955"/>
      <c r="X509" s="2908">
        <f t="shared" si="129"/>
        <v>0</v>
      </c>
      <c r="Y509" s="2908">
        <f t="shared" si="130"/>
        <v>0</v>
      </c>
      <c r="Z509" s="955"/>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v>
      </c>
      <c r="R510" s="597">
        <f t="shared" si="131"/>
        <v>0</v>
      </c>
      <c r="S510" s="250">
        <f t="shared" si="132"/>
        <v>0</v>
      </c>
      <c r="T510" s="858">
        <f t="shared" si="133"/>
        <v>0</v>
      </c>
      <c r="U510" s="2908">
        <f t="shared" si="127"/>
        <v>0</v>
      </c>
      <c r="V510" s="2908">
        <f t="shared" si="128"/>
        <v>0</v>
      </c>
      <c r="W510" s="955"/>
      <c r="X510" s="2908">
        <f t="shared" si="129"/>
        <v>0</v>
      </c>
      <c r="Y510" s="2908">
        <f t="shared" si="130"/>
        <v>0</v>
      </c>
      <c r="Z510" s="955"/>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v>
      </c>
      <c r="R511" s="597">
        <f t="shared" si="131"/>
        <v>0</v>
      </c>
      <c r="S511" s="250">
        <f t="shared" si="132"/>
        <v>0</v>
      </c>
      <c r="T511" s="858">
        <f t="shared" si="133"/>
        <v>0</v>
      </c>
      <c r="U511" s="2908">
        <f t="shared" si="127"/>
        <v>0</v>
      </c>
      <c r="V511" s="2908">
        <f t="shared" si="128"/>
        <v>0</v>
      </c>
      <c r="W511" s="955"/>
      <c r="X511" s="2908">
        <f t="shared" si="129"/>
        <v>0</v>
      </c>
      <c r="Y511" s="2908">
        <f t="shared" si="130"/>
        <v>0</v>
      </c>
      <c r="Z511" s="955"/>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v>
      </c>
      <c r="R512" s="597">
        <f t="shared" si="131"/>
        <v>0</v>
      </c>
      <c r="S512" s="250">
        <f t="shared" si="132"/>
        <v>0</v>
      </c>
      <c r="T512" s="858">
        <f t="shared" si="133"/>
        <v>0</v>
      </c>
      <c r="U512" s="2908">
        <f t="shared" si="127"/>
        <v>0</v>
      </c>
      <c r="V512" s="2908">
        <f t="shared" si="128"/>
        <v>0</v>
      </c>
      <c r="W512" s="955"/>
      <c r="X512" s="2908">
        <f t="shared" si="129"/>
        <v>0</v>
      </c>
      <c r="Y512" s="2908">
        <f t="shared" si="130"/>
        <v>0</v>
      </c>
      <c r="Z512" s="955"/>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v>
      </c>
      <c r="R513" s="597">
        <f t="shared" si="131"/>
        <v>0</v>
      </c>
      <c r="S513" s="250">
        <f t="shared" si="132"/>
        <v>0</v>
      </c>
      <c r="T513" s="858">
        <f t="shared" si="133"/>
        <v>0</v>
      </c>
      <c r="U513" s="2908">
        <f t="shared" si="127"/>
        <v>0</v>
      </c>
      <c r="V513" s="2908">
        <f t="shared" si="128"/>
        <v>0</v>
      </c>
      <c r="W513" s="955"/>
      <c r="X513" s="2908">
        <f t="shared" si="129"/>
        <v>0</v>
      </c>
      <c r="Y513" s="2908">
        <f t="shared" si="130"/>
        <v>0</v>
      </c>
      <c r="Z513" s="955"/>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v>
      </c>
      <c r="R514" s="597">
        <f t="shared" si="131"/>
        <v>0</v>
      </c>
      <c r="S514" s="250">
        <f t="shared" si="132"/>
        <v>0</v>
      </c>
      <c r="T514" s="858">
        <f t="shared" si="133"/>
        <v>0</v>
      </c>
      <c r="U514" s="2908">
        <f t="shared" si="127"/>
        <v>0</v>
      </c>
      <c r="V514" s="2908">
        <f t="shared" si="128"/>
        <v>0</v>
      </c>
      <c r="W514" s="955"/>
      <c r="X514" s="2908">
        <f t="shared" si="129"/>
        <v>0</v>
      </c>
      <c r="Y514" s="2908">
        <f t="shared" si="130"/>
        <v>0</v>
      </c>
      <c r="Z514" s="955"/>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v>
      </c>
      <c r="R515" s="597">
        <f t="shared" si="131"/>
        <v>0</v>
      </c>
      <c r="S515" s="250">
        <f t="shared" si="132"/>
        <v>0</v>
      </c>
      <c r="T515" s="858">
        <f t="shared" si="133"/>
        <v>0</v>
      </c>
      <c r="U515" s="2908">
        <f t="shared" si="127"/>
        <v>0</v>
      </c>
      <c r="V515" s="2908">
        <f t="shared" si="128"/>
        <v>0</v>
      </c>
      <c r="W515" s="955"/>
      <c r="X515" s="2908">
        <f t="shared" si="129"/>
        <v>0</v>
      </c>
      <c r="Y515" s="2908">
        <f t="shared" si="130"/>
        <v>0</v>
      </c>
      <c r="Z515" s="955"/>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v>
      </c>
      <c r="R516" s="597">
        <f t="shared" si="131"/>
        <v>0</v>
      </c>
      <c r="S516" s="250">
        <f t="shared" si="132"/>
        <v>0</v>
      </c>
      <c r="T516" s="858">
        <f t="shared" si="133"/>
        <v>0</v>
      </c>
      <c r="U516" s="2908">
        <f t="shared" si="127"/>
        <v>0</v>
      </c>
      <c r="V516" s="2908">
        <f t="shared" si="128"/>
        <v>0</v>
      </c>
      <c r="W516" s="955"/>
      <c r="X516" s="2908">
        <f t="shared" si="129"/>
        <v>0</v>
      </c>
      <c r="Y516" s="2908">
        <f t="shared" si="130"/>
        <v>0</v>
      </c>
      <c r="Z516" s="955"/>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v>
      </c>
      <c r="R517" s="597">
        <f t="shared" si="131"/>
        <v>0</v>
      </c>
      <c r="S517" s="250">
        <f t="shared" si="132"/>
        <v>0</v>
      </c>
      <c r="T517" s="858">
        <f t="shared" si="133"/>
        <v>0</v>
      </c>
      <c r="U517" s="2908">
        <f t="shared" si="127"/>
        <v>0</v>
      </c>
      <c r="V517" s="2908">
        <f t="shared" si="128"/>
        <v>0</v>
      </c>
      <c r="W517" s="955"/>
      <c r="X517" s="2908">
        <f t="shared" si="129"/>
        <v>0</v>
      </c>
      <c r="Y517" s="2908">
        <f t="shared" si="130"/>
        <v>0</v>
      </c>
      <c r="Z517" s="955"/>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v>
      </c>
      <c r="R518" s="597">
        <f t="shared" si="131"/>
        <v>0</v>
      </c>
      <c r="S518" s="250">
        <f t="shared" si="132"/>
        <v>0</v>
      </c>
      <c r="T518" s="858">
        <f t="shared" si="133"/>
        <v>0</v>
      </c>
      <c r="U518" s="2908">
        <f t="shared" si="127"/>
        <v>0</v>
      </c>
      <c r="V518" s="2908">
        <f t="shared" si="128"/>
        <v>0</v>
      </c>
      <c r="W518" s="955"/>
      <c r="X518" s="2908">
        <f t="shared" si="129"/>
        <v>0</v>
      </c>
      <c r="Y518" s="2908">
        <f t="shared" si="130"/>
        <v>0</v>
      </c>
      <c r="Z518" s="955"/>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v>
      </c>
      <c r="R519" s="597">
        <f t="shared" si="131"/>
        <v>0</v>
      </c>
      <c r="S519" s="250">
        <f t="shared" si="132"/>
        <v>0</v>
      </c>
      <c r="T519" s="858">
        <f t="shared" si="133"/>
        <v>0</v>
      </c>
      <c r="U519" s="2908">
        <f t="shared" si="127"/>
        <v>0</v>
      </c>
      <c r="V519" s="2908">
        <f t="shared" si="128"/>
        <v>0</v>
      </c>
      <c r="W519" s="955"/>
      <c r="X519" s="2908">
        <f t="shared" si="129"/>
        <v>0</v>
      </c>
      <c r="Y519" s="2908">
        <f t="shared" si="130"/>
        <v>0</v>
      </c>
      <c r="Z519" s="955"/>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v>
      </c>
      <c r="R520" s="597">
        <f t="shared" si="131"/>
        <v>0</v>
      </c>
      <c r="S520" s="250">
        <f t="shared" si="132"/>
        <v>0</v>
      </c>
      <c r="T520" s="858">
        <f t="shared" si="133"/>
        <v>0</v>
      </c>
      <c r="U520" s="2908">
        <f t="shared" si="127"/>
        <v>0</v>
      </c>
      <c r="V520" s="2908">
        <f t="shared" si="128"/>
        <v>0</v>
      </c>
      <c r="W520" s="955"/>
      <c r="X520" s="2908">
        <f t="shared" si="129"/>
        <v>0</v>
      </c>
      <c r="Y520" s="2908">
        <f t="shared" si="130"/>
        <v>0</v>
      </c>
      <c r="Z520" s="955"/>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v>
      </c>
      <c r="R521" s="597">
        <f t="shared" si="131"/>
        <v>0</v>
      </c>
      <c r="S521" s="250">
        <f t="shared" si="132"/>
        <v>0</v>
      </c>
      <c r="T521" s="858">
        <f t="shared" si="133"/>
        <v>0</v>
      </c>
      <c r="U521" s="2908">
        <f t="shared" si="127"/>
        <v>0</v>
      </c>
      <c r="V521" s="2908">
        <f t="shared" si="128"/>
        <v>0</v>
      </c>
      <c r="W521" s="955"/>
      <c r="X521" s="2908">
        <f t="shared" si="129"/>
        <v>0</v>
      </c>
      <c r="Y521" s="2908">
        <f t="shared" si="130"/>
        <v>0</v>
      </c>
      <c r="Z521" s="955"/>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v>
      </c>
      <c r="R522" s="597">
        <f t="shared" si="131"/>
        <v>0</v>
      </c>
      <c r="S522" s="250">
        <f t="shared" si="132"/>
        <v>0</v>
      </c>
      <c r="T522" s="858">
        <f t="shared" si="133"/>
        <v>0</v>
      </c>
      <c r="U522" s="2908">
        <f t="shared" si="127"/>
        <v>0</v>
      </c>
      <c r="V522" s="2908">
        <f t="shared" si="128"/>
        <v>0</v>
      </c>
      <c r="W522" s="955"/>
      <c r="X522" s="2908">
        <f t="shared" si="129"/>
        <v>0</v>
      </c>
      <c r="Y522" s="2908">
        <f t="shared" si="130"/>
        <v>0</v>
      </c>
      <c r="Z522" s="955"/>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v>
      </c>
      <c r="R523" s="597">
        <f t="shared" si="131"/>
        <v>0</v>
      </c>
      <c r="S523" s="250">
        <f t="shared" si="132"/>
        <v>0</v>
      </c>
      <c r="T523" s="858">
        <f t="shared" si="133"/>
        <v>0</v>
      </c>
      <c r="U523" s="2908">
        <f t="shared" si="127"/>
        <v>0</v>
      </c>
      <c r="V523" s="2908">
        <f t="shared" si="128"/>
        <v>0</v>
      </c>
      <c r="W523" s="955"/>
      <c r="X523" s="2908">
        <f t="shared" si="129"/>
        <v>0</v>
      </c>
      <c r="Y523" s="2908">
        <f t="shared" si="130"/>
        <v>0</v>
      </c>
      <c r="Z523" s="955"/>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v>
      </c>
      <c r="R524" s="597">
        <f t="shared" si="131"/>
        <v>0</v>
      </c>
      <c r="S524" s="250">
        <f t="shared" si="132"/>
        <v>0</v>
      </c>
      <c r="T524" s="858">
        <f t="shared" si="133"/>
        <v>0</v>
      </c>
      <c r="U524" s="2908">
        <f t="shared" si="127"/>
        <v>0</v>
      </c>
      <c r="V524" s="2908">
        <f t="shared" si="128"/>
        <v>0</v>
      </c>
      <c r="W524" s="955"/>
      <c r="X524" s="2908">
        <f t="shared" si="129"/>
        <v>0</v>
      </c>
      <c r="Y524" s="2908">
        <f t="shared" si="130"/>
        <v>0</v>
      </c>
      <c r="Z524" s="955"/>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v>
      </c>
      <c r="R525" s="597">
        <f t="shared" si="131"/>
        <v>0</v>
      </c>
      <c r="S525" s="250">
        <f t="shared" si="132"/>
        <v>0</v>
      </c>
      <c r="T525" s="858">
        <f t="shared" si="133"/>
        <v>0</v>
      </c>
      <c r="U525" s="2908">
        <f t="shared" si="127"/>
        <v>0</v>
      </c>
      <c r="V525" s="2908">
        <f t="shared" si="128"/>
        <v>0</v>
      </c>
      <c r="W525" s="955"/>
      <c r="X525" s="2908">
        <f t="shared" si="129"/>
        <v>0</v>
      </c>
      <c r="Y525" s="2908">
        <f t="shared" si="130"/>
        <v>0</v>
      </c>
      <c r="Z525" s="955"/>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v>
      </c>
      <c r="R526" s="597">
        <f t="shared" si="131"/>
        <v>0</v>
      </c>
      <c r="S526" s="250">
        <f t="shared" si="132"/>
        <v>0</v>
      </c>
      <c r="T526" s="858">
        <f t="shared" si="133"/>
        <v>0</v>
      </c>
      <c r="U526" s="2908">
        <f t="shared" si="127"/>
        <v>0</v>
      </c>
      <c r="V526" s="2908">
        <f t="shared" si="128"/>
        <v>0</v>
      </c>
      <c r="W526" s="955"/>
      <c r="X526" s="2908">
        <f t="shared" si="129"/>
        <v>0</v>
      </c>
      <c r="Y526" s="2908">
        <f t="shared" si="130"/>
        <v>0</v>
      </c>
      <c r="Z526" s="955"/>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v>
      </c>
      <c r="R527" s="597">
        <f t="shared" si="131"/>
        <v>0</v>
      </c>
      <c r="S527" s="250">
        <f t="shared" si="132"/>
        <v>0</v>
      </c>
      <c r="T527" s="858">
        <f t="shared" si="133"/>
        <v>0</v>
      </c>
      <c r="U527" s="2908">
        <f t="shared" si="127"/>
        <v>0</v>
      </c>
      <c r="V527" s="2908">
        <f t="shared" si="128"/>
        <v>0</v>
      </c>
      <c r="W527" s="955"/>
      <c r="X527" s="2908">
        <f t="shared" si="129"/>
        <v>0</v>
      </c>
      <c r="Y527" s="2908">
        <f t="shared" si="130"/>
        <v>0</v>
      </c>
      <c r="Z527" s="955"/>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2001</v>
      </c>
      <c r="B1" s="1565" t="s">
        <v>2002</v>
      </c>
      <c r="C1" s="1566"/>
      <c r="D1" s="1567"/>
      <c r="E1" s="1568" t="s">
        <v>985</v>
      </c>
      <c r="F1" s="1569" t="s">
        <v>2003</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2004</v>
      </c>
      <c r="D3" s="1587">
        <f>IF(C1="仅计算典型户型",'数据-取费表'!E5,'数据-取费表'!B5)</f>
        <v>400.8</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2005</v>
      </c>
      <c r="B4" s="1591"/>
      <c r="C4" s="3570" t="s">
        <v>2006</v>
      </c>
      <c r="D4" s="3571"/>
      <c r="E4" s="3572" t="s">
        <v>2007</v>
      </c>
      <c r="F4" s="3573"/>
      <c r="G4" s="3570" t="s">
        <v>2008</v>
      </c>
      <c r="H4" s="3571"/>
      <c r="I4" s="3570" t="s">
        <v>2009</v>
      </c>
      <c r="J4" s="3571"/>
      <c r="K4" s="1592" t="s">
        <v>2010</v>
      </c>
      <c r="L4" s="2914"/>
      <c r="M4" s="2915"/>
      <c r="N4" s="2915"/>
      <c r="O4" s="2915"/>
      <c r="P4" s="3574" t="s">
        <v>2011</v>
      </c>
      <c r="Q4" s="3575"/>
      <c r="R4" s="3580" t="s">
        <v>2007</v>
      </c>
      <c r="S4" s="3581"/>
      <c r="T4" s="3580" t="s">
        <v>2008</v>
      </c>
      <c r="U4" s="3581"/>
      <c r="V4" s="3586" t="s">
        <v>2009</v>
      </c>
      <c r="W4" s="3586"/>
      <c r="X4" s="1593"/>
      <c r="Y4" s="3580" t="s">
        <v>2011</v>
      </c>
      <c r="Z4" s="3581"/>
      <c r="AA4" s="3567" t="s">
        <v>2007</v>
      </c>
      <c r="AB4" s="3567" t="s">
        <v>2008</v>
      </c>
      <c r="AC4" s="3567" t="s">
        <v>2009</v>
      </c>
    </row>
    <row r="5" spans="1:29" ht="15">
      <c r="A5" s="1595"/>
      <c r="B5" s="1596"/>
      <c r="C5" s="3589" t="s">
        <v>2012</v>
      </c>
      <c r="D5" s="3564"/>
      <c r="E5" s="3632" t="s">
        <v>2013</v>
      </c>
      <c r="F5" s="3588"/>
      <c r="G5" s="3589" t="s">
        <v>2014</v>
      </c>
      <c r="H5" s="3564"/>
      <c r="I5" s="3589" t="s">
        <v>2015</v>
      </c>
      <c r="J5" s="3564"/>
      <c r="K5" s="1597"/>
      <c r="L5" s="2914"/>
      <c r="M5" s="2915"/>
      <c r="N5" s="2915"/>
      <c r="O5" s="2915"/>
      <c r="P5" s="3576"/>
      <c r="Q5" s="3577"/>
      <c r="R5" s="3582"/>
      <c r="S5" s="3583"/>
      <c r="T5" s="3582"/>
      <c r="U5" s="3583"/>
      <c r="V5" s="3586"/>
      <c r="W5" s="3586"/>
      <c r="X5" s="1593"/>
      <c r="Y5" s="3582"/>
      <c r="Z5" s="3583"/>
      <c r="AA5" s="3568"/>
      <c r="AB5" s="3568"/>
      <c r="AC5" s="3568"/>
    </row>
    <row r="6" spans="1:29" ht="15.75" thickBot="1">
      <c r="A6" s="1598"/>
      <c r="B6" s="1599"/>
      <c r="C6" s="3560" t="s">
        <v>2016</v>
      </c>
      <c r="D6" s="3561"/>
      <c r="E6" s="3558" t="s">
        <v>2016</v>
      </c>
      <c r="F6" s="3559"/>
      <c r="G6" s="3560" t="s">
        <v>2016</v>
      </c>
      <c r="H6" s="3561"/>
      <c r="I6" s="3560" t="s">
        <v>2016</v>
      </c>
      <c r="J6" s="3561"/>
      <c r="K6" s="1597" t="s">
        <v>2017</v>
      </c>
      <c r="L6" s="2914"/>
      <c r="M6" s="2915"/>
      <c r="N6" s="2915"/>
      <c r="O6" s="2915"/>
      <c r="P6" s="3578"/>
      <c r="Q6" s="3579"/>
      <c r="R6" s="3582"/>
      <c r="S6" s="3583"/>
      <c r="T6" s="3584"/>
      <c r="U6" s="3585"/>
      <c r="V6" s="3586"/>
      <c r="W6" s="3586"/>
      <c r="X6" s="1593"/>
      <c r="Y6" s="3584"/>
      <c r="Z6" s="3585"/>
      <c r="AA6" s="3569"/>
      <c r="AB6" s="3569"/>
      <c r="AC6" s="3569"/>
    </row>
    <row r="7" spans="1:29" s="1612" customFormat="1" ht="15.75" thickBot="1">
      <c r="A7" s="1600" t="s">
        <v>2018</v>
      </c>
      <c r="B7" s="1601"/>
      <c r="C7" s="1602">
        <f>'数据-取费表'!B2</f>
        <v>44795</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565" t="s">
        <v>2019</v>
      </c>
      <c r="Q7" s="3590"/>
      <c r="R7" s="1608" t="s">
        <v>34</v>
      </c>
      <c r="S7" s="1609">
        <f t="shared" ref="S7:S15" si="0">F7</f>
        <v>0</v>
      </c>
      <c r="T7" s="1608" t="s">
        <v>34</v>
      </c>
      <c r="U7" s="1609">
        <f t="shared" ref="U7:U15" si="1">H7</f>
        <v>0</v>
      </c>
      <c r="V7" s="1608" t="s">
        <v>34</v>
      </c>
      <c r="W7" s="1609">
        <f t="shared" ref="W7:W15" si="2">J7</f>
        <v>0</v>
      </c>
      <c r="X7" s="1610"/>
      <c r="Y7" s="3565" t="s">
        <v>2019</v>
      </c>
      <c r="Z7" s="3566"/>
      <c r="AA7" s="1611" t="e">
        <f>D7/F7</f>
        <v>#DIV/0!</v>
      </c>
      <c r="AB7" s="1611" t="e">
        <f>D7/H7</f>
        <v>#DIV/0!</v>
      </c>
      <c r="AC7" s="1611" t="e">
        <f>D7/J7</f>
        <v>#DIV/0!</v>
      </c>
    </row>
    <row r="8" spans="1:29" s="1612" customFormat="1" ht="15.75" thickBot="1">
      <c r="A8" s="1600" t="s">
        <v>2020</v>
      </c>
      <c r="B8" s="1601"/>
      <c r="C8" s="1613" t="s">
        <v>2021</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565" t="s">
        <v>2022</v>
      </c>
      <c r="Q8" s="3566"/>
      <c r="R8" s="1608" t="s">
        <v>34</v>
      </c>
      <c r="S8" s="1609">
        <f t="shared" si="0"/>
        <v>0</v>
      </c>
      <c r="T8" s="1608" t="s">
        <v>34</v>
      </c>
      <c r="U8" s="1609">
        <f t="shared" si="1"/>
        <v>0</v>
      </c>
      <c r="V8" s="1608" t="s">
        <v>34</v>
      </c>
      <c r="W8" s="1609">
        <f t="shared" si="2"/>
        <v>0</v>
      </c>
      <c r="X8" s="1610"/>
      <c r="Y8" s="3565" t="s">
        <v>2022</v>
      </c>
      <c r="Z8" s="3566"/>
      <c r="AA8" s="1611" t="e">
        <f t="shared" ref="AA8:AA46" si="3">D8/F8</f>
        <v>#DIV/0!</v>
      </c>
      <c r="AB8" s="1611" t="e">
        <f t="shared" ref="AB8:AB46" si="4">D8/H8</f>
        <v>#DIV/0!</v>
      </c>
      <c r="AC8" s="1611" t="e">
        <f t="shared" ref="AC8:AC46" si="5">D8/J8</f>
        <v>#DIV/0!</v>
      </c>
    </row>
    <row r="9" spans="1:29" s="1612" customFormat="1">
      <c r="A9" s="1563" t="s">
        <v>2023</v>
      </c>
      <c r="B9" s="1615" t="s">
        <v>2024</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562" t="s">
        <v>2025</v>
      </c>
      <c r="Q9" s="1562" t="str">
        <f t="shared" ref="Q9:Q15" si="6">B9</f>
        <v>用途</v>
      </c>
      <c r="R9" s="1608" t="s">
        <v>25</v>
      </c>
      <c r="S9" s="1609">
        <f t="shared" si="0"/>
        <v>100</v>
      </c>
      <c r="T9" s="1608" t="s">
        <v>25</v>
      </c>
      <c r="U9" s="1609">
        <f t="shared" si="1"/>
        <v>100</v>
      </c>
      <c r="V9" s="1608" t="s">
        <v>25</v>
      </c>
      <c r="W9" s="1609">
        <f t="shared" si="2"/>
        <v>100</v>
      </c>
      <c r="X9" s="1610"/>
      <c r="Y9" s="3488" t="s">
        <v>2026</v>
      </c>
      <c r="Z9" s="1621" t="str">
        <f t="shared" ref="Z9:Z15" si="7">Q9</f>
        <v>用途</v>
      </c>
      <c r="AA9" s="1611">
        <f t="shared" si="3"/>
        <v>1</v>
      </c>
      <c r="AB9" s="1611">
        <f t="shared" si="4"/>
        <v>1</v>
      </c>
      <c r="AC9" s="1611">
        <f t="shared" si="5"/>
        <v>1</v>
      </c>
    </row>
    <row r="10" spans="1:29" s="1629" customFormat="1" ht="27">
      <c r="A10" s="1622"/>
      <c r="B10" s="1623" t="s">
        <v>2027</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562"/>
      <c r="Q10" s="1562" t="str">
        <f t="shared" si="6"/>
        <v>土地使用年限（年）</v>
      </c>
      <c r="R10" s="1608" t="s">
        <v>25</v>
      </c>
      <c r="S10" s="1609">
        <f t="shared" si="0"/>
        <v>100</v>
      </c>
      <c r="T10" s="1608" t="s">
        <v>25</v>
      </c>
      <c r="U10" s="1609">
        <f t="shared" si="1"/>
        <v>100</v>
      </c>
      <c r="V10" s="1608" t="s">
        <v>25</v>
      </c>
      <c r="W10" s="1609">
        <f t="shared" si="2"/>
        <v>100</v>
      </c>
      <c r="X10" s="1610"/>
      <c r="Y10" s="3488"/>
      <c r="Z10" s="1621" t="str">
        <f t="shared" si="7"/>
        <v>土地使用年限（年）</v>
      </c>
      <c r="AA10" s="1611">
        <f t="shared" si="3"/>
        <v>1</v>
      </c>
      <c r="AB10" s="1611">
        <f t="shared" si="4"/>
        <v>1</v>
      </c>
      <c r="AC10" s="1611">
        <f t="shared" si="5"/>
        <v>1</v>
      </c>
    </row>
    <row r="11" spans="1:29" ht="15">
      <c r="A11" s="1630"/>
      <c r="B11" s="1623" t="s">
        <v>2028</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562"/>
      <c r="Q11" s="1562" t="str">
        <f t="shared" si="6"/>
        <v>容积率</v>
      </c>
      <c r="R11" s="1608" t="s">
        <v>28</v>
      </c>
      <c r="S11" s="1609" t="e">
        <f t="shared" si="0"/>
        <v>#N/A</v>
      </c>
      <c r="T11" s="1608" t="s">
        <v>28</v>
      </c>
      <c r="U11" s="1609" t="e">
        <f t="shared" si="1"/>
        <v>#N/A</v>
      </c>
      <c r="V11" s="1608" t="s">
        <v>28</v>
      </c>
      <c r="W11" s="1609" t="e">
        <f t="shared" si="2"/>
        <v>#N/A</v>
      </c>
      <c r="X11" s="1610"/>
      <c r="Y11" s="3488"/>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562"/>
      <c r="Q12" s="1562">
        <f t="shared" si="6"/>
        <v>111</v>
      </c>
      <c r="R12" s="1608" t="s">
        <v>28</v>
      </c>
      <c r="S12" s="1609">
        <f t="shared" si="0"/>
        <v>100</v>
      </c>
      <c r="T12" s="1608" t="s">
        <v>28</v>
      </c>
      <c r="U12" s="1609">
        <f t="shared" si="1"/>
        <v>100</v>
      </c>
      <c r="V12" s="1608" t="s">
        <v>28</v>
      </c>
      <c r="W12" s="1609">
        <f t="shared" si="2"/>
        <v>100</v>
      </c>
      <c r="X12" s="1610"/>
      <c r="Y12" s="3488"/>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562"/>
      <c r="Q13" s="1562">
        <f t="shared" si="6"/>
        <v>111</v>
      </c>
      <c r="R13" s="1608" t="s">
        <v>28</v>
      </c>
      <c r="S13" s="1609">
        <f t="shared" si="0"/>
        <v>100</v>
      </c>
      <c r="T13" s="1608" t="s">
        <v>28</v>
      </c>
      <c r="U13" s="1609">
        <f t="shared" si="1"/>
        <v>100</v>
      </c>
      <c r="V13" s="1608" t="s">
        <v>28</v>
      </c>
      <c r="W13" s="1609">
        <f t="shared" si="2"/>
        <v>100</v>
      </c>
      <c r="X13" s="1610"/>
      <c r="Y13" s="3488"/>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562"/>
      <c r="Q14" s="1562">
        <f t="shared" si="6"/>
        <v>111</v>
      </c>
      <c r="R14" s="1608" t="s">
        <v>28</v>
      </c>
      <c r="S14" s="1609">
        <f t="shared" si="0"/>
        <v>100</v>
      </c>
      <c r="T14" s="1608" t="s">
        <v>28</v>
      </c>
      <c r="U14" s="1609">
        <f t="shared" si="1"/>
        <v>100</v>
      </c>
      <c r="V14" s="1608" t="s">
        <v>28</v>
      </c>
      <c r="W14" s="1609">
        <f t="shared" si="2"/>
        <v>100</v>
      </c>
      <c r="X14" s="1610"/>
      <c r="Y14" s="3488"/>
      <c r="Z14" s="1621">
        <f t="shared" si="7"/>
        <v>111</v>
      </c>
      <c r="AA14" s="1611">
        <f t="shared" si="3"/>
        <v>1</v>
      </c>
      <c r="AB14" s="1611">
        <f t="shared" si="4"/>
        <v>1</v>
      </c>
      <c r="AC14" s="1611">
        <f t="shared" si="5"/>
        <v>1</v>
      </c>
    </row>
    <row r="15" spans="1:29" ht="99.75">
      <c r="A15" s="1645" t="s">
        <v>2029</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591" t="s">
        <v>2030</v>
      </c>
      <c r="Q15" s="1543" t="str">
        <f t="shared" si="6"/>
        <v>居住社区成熟度</v>
      </c>
      <c r="R15" s="1653" t="s">
        <v>28</v>
      </c>
      <c r="S15" s="1654">
        <f t="shared" si="0"/>
        <v>100</v>
      </c>
      <c r="T15" s="1653" t="s">
        <v>28</v>
      </c>
      <c r="U15" s="1654">
        <f t="shared" si="1"/>
        <v>100</v>
      </c>
      <c r="V15" s="1653" t="s">
        <v>28</v>
      </c>
      <c r="W15" s="1654">
        <f t="shared" si="2"/>
        <v>100</v>
      </c>
      <c r="X15" s="1593"/>
      <c r="Y15" s="3593" t="s">
        <v>2030</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592"/>
      <c r="Q16" s="1543"/>
      <c r="R16" s="1653"/>
      <c r="S16" s="1654"/>
      <c r="T16" s="1653"/>
      <c r="U16" s="1654"/>
      <c r="V16" s="1653"/>
      <c r="W16" s="1654"/>
      <c r="X16" s="1593"/>
      <c r="Y16" s="3594"/>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592"/>
      <c r="Q17" s="1543" t="str">
        <f>B17</f>
        <v>交通便捷度</v>
      </c>
      <c r="R17" s="1653" t="s">
        <v>28</v>
      </c>
      <c r="S17" s="1654">
        <f>F17</f>
        <v>100</v>
      </c>
      <c r="T17" s="1653" t="s">
        <v>28</v>
      </c>
      <c r="U17" s="1654">
        <f>H17</f>
        <v>100</v>
      </c>
      <c r="V17" s="1653" t="s">
        <v>28</v>
      </c>
      <c r="W17" s="1654">
        <f>J17</f>
        <v>100</v>
      </c>
      <c r="X17" s="1593"/>
      <c r="Y17" s="3594"/>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592"/>
      <c r="Q18" s="1543"/>
      <c r="R18" s="1653"/>
      <c r="S18" s="1654"/>
      <c r="T18" s="1653"/>
      <c r="U18" s="1654"/>
      <c r="V18" s="1653"/>
      <c r="W18" s="1654"/>
      <c r="X18" s="1593"/>
      <c r="Y18" s="3594"/>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592"/>
      <c r="Q19" s="1543" t="str">
        <f>B19</f>
        <v>公共配套设施</v>
      </c>
      <c r="R19" s="1653" t="s">
        <v>28</v>
      </c>
      <c r="S19" s="1654">
        <f>F19</f>
        <v>100</v>
      </c>
      <c r="T19" s="1653" t="s">
        <v>28</v>
      </c>
      <c r="U19" s="1654">
        <f>H19</f>
        <v>100</v>
      </c>
      <c r="V19" s="1653" t="s">
        <v>28</v>
      </c>
      <c r="W19" s="1654">
        <f>J19</f>
        <v>100</v>
      </c>
      <c r="X19" s="1593"/>
      <c r="Y19" s="3594"/>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592"/>
      <c r="Q20" s="1543"/>
      <c r="R20" s="1653"/>
      <c r="S20" s="1654"/>
      <c r="T20" s="1653"/>
      <c r="U20" s="1654"/>
      <c r="V20" s="1653"/>
      <c r="W20" s="1654"/>
      <c r="X20" s="1593"/>
      <c r="Y20" s="3594"/>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592"/>
      <c r="Q21" s="1543" t="str">
        <f>B21</f>
        <v>基础设施水平</v>
      </c>
      <c r="R21" s="1653" t="s">
        <v>28</v>
      </c>
      <c r="S21" s="1654">
        <f>F21</f>
        <v>100</v>
      </c>
      <c r="T21" s="1653" t="s">
        <v>28</v>
      </c>
      <c r="U21" s="1654">
        <f>H21</f>
        <v>100</v>
      </c>
      <c r="V21" s="1653" t="s">
        <v>28</v>
      </c>
      <c r="W21" s="1654">
        <f>J21</f>
        <v>100</v>
      </c>
      <c r="X21" s="1593"/>
      <c r="Y21" s="3594"/>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592"/>
      <c r="Q22" s="1543"/>
      <c r="R22" s="1653"/>
      <c r="S22" s="1654"/>
      <c r="T22" s="1653"/>
      <c r="U22" s="1654"/>
      <c r="V22" s="1653"/>
      <c r="W22" s="1654"/>
      <c r="X22" s="1593"/>
      <c r="Y22" s="3594"/>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592"/>
      <c r="Q23" s="1543" t="str">
        <f>B23</f>
        <v>自然及人文环境</v>
      </c>
      <c r="R23" s="1653" t="s">
        <v>28</v>
      </c>
      <c r="S23" s="1654">
        <f>F23</f>
        <v>100</v>
      </c>
      <c r="T23" s="1653" t="s">
        <v>28</v>
      </c>
      <c r="U23" s="1654">
        <f>H23</f>
        <v>100</v>
      </c>
      <c r="V23" s="1653" t="s">
        <v>28</v>
      </c>
      <c r="W23" s="1654">
        <f>J23</f>
        <v>100</v>
      </c>
      <c r="X23" s="1593"/>
      <c r="Y23" s="3594"/>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592"/>
      <c r="Q24" s="1543"/>
      <c r="R24" s="1653"/>
      <c r="S24" s="1654"/>
      <c r="T24" s="1653"/>
      <c r="U24" s="1654"/>
      <c r="V24" s="1653"/>
      <c r="W24" s="1654"/>
      <c r="X24" s="1593"/>
      <c r="Y24" s="3594"/>
      <c r="Z24" s="1655"/>
      <c r="AA24" s="1656">
        <v>1</v>
      </c>
      <c r="AB24" s="1656">
        <v>1</v>
      </c>
      <c r="AC24" s="1656">
        <v>1</v>
      </c>
    </row>
    <row r="25" spans="1:29" ht="15">
      <c r="A25" s="1630"/>
      <c r="B25" s="1623" t="s">
        <v>2031</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592"/>
      <c r="Q25" s="1543" t="str">
        <f t="shared" ref="Q25:Q46" si="11">B25</f>
        <v>楼层-1</v>
      </c>
      <c r="R25" s="1653" t="s">
        <v>28</v>
      </c>
      <c r="S25" s="1654">
        <f>F25</f>
        <v>100</v>
      </c>
      <c r="T25" s="1653" t="s">
        <v>28</v>
      </c>
      <c r="U25" s="1654">
        <f>H25</f>
        <v>100</v>
      </c>
      <c r="V25" s="1653" t="s">
        <v>28</v>
      </c>
      <c r="W25" s="1654">
        <f>J25</f>
        <v>100</v>
      </c>
      <c r="X25" s="1593"/>
      <c r="Y25" s="3594"/>
      <c r="Z25" s="1655" t="str">
        <f>Q25</f>
        <v>楼层-1</v>
      </c>
      <c r="AA25" s="1656">
        <f t="shared" si="3"/>
        <v>1</v>
      </c>
      <c r="AB25" s="1656">
        <f t="shared" si="4"/>
        <v>1</v>
      </c>
      <c r="AC25" s="1656">
        <f t="shared" si="5"/>
        <v>1</v>
      </c>
    </row>
    <row r="26" spans="1:29" ht="15">
      <c r="A26" s="1630"/>
      <c r="B26" s="1623" t="s">
        <v>2032</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592"/>
      <c r="Q26" s="1543" t="str">
        <f t="shared" si="11"/>
        <v>朝向</v>
      </c>
      <c r="R26" s="1653" t="s">
        <v>28</v>
      </c>
      <c r="S26" s="1654">
        <f>F26</f>
        <v>100</v>
      </c>
      <c r="T26" s="1653" t="s">
        <v>28</v>
      </c>
      <c r="U26" s="1654">
        <f>H26</f>
        <v>100</v>
      </c>
      <c r="V26" s="1653" t="s">
        <v>28</v>
      </c>
      <c r="W26" s="1654">
        <f>J26</f>
        <v>100</v>
      </c>
      <c r="X26" s="1593"/>
      <c r="Y26" s="3594"/>
      <c r="Z26" s="1655" t="str">
        <f>Q26</f>
        <v>朝向</v>
      </c>
      <c r="AA26" s="1656">
        <f t="shared" si="3"/>
        <v>1</v>
      </c>
      <c r="AB26" s="1656">
        <f t="shared" si="4"/>
        <v>1</v>
      </c>
      <c r="AC26" s="1656">
        <f t="shared" si="5"/>
        <v>1</v>
      </c>
    </row>
    <row r="27" spans="1:29" s="1612" customFormat="1" ht="15">
      <c r="A27" s="1633"/>
      <c r="B27" s="1634" t="s">
        <v>2033</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592"/>
      <c r="Q27" s="1562" t="str">
        <f t="shared" si="11"/>
        <v>道路级别</v>
      </c>
      <c r="R27" s="1608" t="s">
        <v>28</v>
      </c>
      <c r="S27" s="1609">
        <f>F27</f>
        <v>100</v>
      </c>
      <c r="T27" s="1608" t="s">
        <v>28</v>
      </c>
      <c r="U27" s="1609">
        <f>H27</f>
        <v>100</v>
      </c>
      <c r="V27" s="1608" t="s">
        <v>28</v>
      </c>
      <c r="W27" s="1609">
        <f>J27</f>
        <v>100</v>
      </c>
      <c r="X27" s="1610"/>
      <c r="Y27" s="3594"/>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592"/>
      <c r="Q28" s="1543">
        <f t="shared" si="11"/>
        <v>111</v>
      </c>
      <c r="R28" s="1653" t="s">
        <v>28</v>
      </c>
      <c r="S28" s="1654">
        <f t="shared" ref="S28:S46" si="12">F28</f>
        <v>100</v>
      </c>
      <c r="T28" s="1653" t="s">
        <v>28</v>
      </c>
      <c r="U28" s="1654">
        <f t="shared" ref="U28:U46" si="13">H28</f>
        <v>100</v>
      </c>
      <c r="V28" s="1653" t="s">
        <v>28</v>
      </c>
      <c r="W28" s="1654">
        <f t="shared" ref="W28:W46" si="14">J28</f>
        <v>100</v>
      </c>
      <c r="X28" s="1593"/>
      <c r="Y28" s="3594"/>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592"/>
      <c r="Q29" s="1543">
        <f t="shared" si="11"/>
        <v>111</v>
      </c>
      <c r="R29" s="1653" t="s">
        <v>28</v>
      </c>
      <c r="S29" s="1654">
        <f t="shared" si="12"/>
        <v>100</v>
      </c>
      <c r="T29" s="1653" t="s">
        <v>28</v>
      </c>
      <c r="U29" s="1654">
        <f t="shared" si="13"/>
        <v>100</v>
      </c>
      <c r="V29" s="1653" t="s">
        <v>28</v>
      </c>
      <c r="W29" s="1654">
        <f t="shared" si="14"/>
        <v>100</v>
      </c>
      <c r="X29" s="1593"/>
      <c r="Y29" s="3594"/>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592"/>
      <c r="Q30" s="1543">
        <f t="shared" si="11"/>
        <v>111</v>
      </c>
      <c r="R30" s="1653" t="s">
        <v>28</v>
      </c>
      <c r="S30" s="1654">
        <f t="shared" si="12"/>
        <v>100</v>
      </c>
      <c r="T30" s="1653" t="s">
        <v>28</v>
      </c>
      <c r="U30" s="1654">
        <f t="shared" si="13"/>
        <v>100</v>
      </c>
      <c r="V30" s="1653" t="s">
        <v>28</v>
      </c>
      <c r="W30" s="1654">
        <f t="shared" si="14"/>
        <v>100</v>
      </c>
      <c r="X30" s="1593"/>
      <c r="Y30" s="3594"/>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592"/>
      <c r="Q31" s="1543">
        <f t="shared" si="11"/>
        <v>111</v>
      </c>
      <c r="R31" s="1653" t="s">
        <v>28</v>
      </c>
      <c r="S31" s="1654">
        <f t="shared" si="12"/>
        <v>100</v>
      </c>
      <c r="T31" s="1653" t="s">
        <v>28</v>
      </c>
      <c r="U31" s="1654">
        <f t="shared" si="13"/>
        <v>100</v>
      </c>
      <c r="V31" s="1653" t="s">
        <v>28</v>
      </c>
      <c r="W31" s="1654">
        <f t="shared" si="14"/>
        <v>100</v>
      </c>
      <c r="X31" s="1593"/>
      <c r="Y31" s="3594"/>
      <c r="Z31" s="1655">
        <f t="shared" si="15"/>
        <v>111</v>
      </c>
      <c r="AA31" s="1656">
        <f t="shared" si="3"/>
        <v>1</v>
      </c>
      <c r="AB31" s="1656">
        <f t="shared" si="4"/>
        <v>1</v>
      </c>
      <c r="AC31" s="1656">
        <f t="shared" si="5"/>
        <v>1</v>
      </c>
    </row>
    <row r="32" spans="1:29" ht="15">
      <c r="A32" s="1645" t="s">
        <v>2034</v>
      </c>
      <c r="B32" s="1615" t="s">
        <v>2035</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595" t="s">
        <v>2036</v>
      </c>
      <c r="Q32" s="1543" t="str">
        <f t="shared" si="11"/>
        <v>建筑类型</v>
      </c>
      <c r="R32" s="1653" t="s">
        <v>28</v>
      </c>
      <c r="S32" s="1654">
        <f t="shared" si="12"/>
        <v>100</v>
      </c>
      <c r="T32" s="1653" t="s">
        <v>28</v>
      </c>
      <c r="U32" s="1654">
        <f t="shared" si="13"/>
        <v>100</v>
      </c>
      <c r="V32" s="1653" t="s">
        <v>28</v>
      </c>
      <c r="W32" s="1654">
        <f t="shared" si="14"/>
        <v>100</v>
      </c>
      <c r="X32" s="1593"/>
      <c r="Y32" s="3598" t="s">
        <v>2036</v>
      </c>
      <c r="Z32" s="1655" t="str">
        <f t="shared" si="15"/>
        <v>建筑类型</v>
      </c>
      <c r="AA32" s="1656">
        <f t="shared" si="3"/>
        <v>1</v>
      </c>
      <c r="AB32" s="1656">
        <f t="shared" si="4"/>
        <v>1</v>
      </c>
      <c r="AC32" s="1656">
        <f t="shared" si="5"/>
        <v>1</v>
      </c>
    </row>
    <row r="33" spans="1:29" s="1699" customFormat="1" ht="15">
      <c r="A33" s="1692"/>
      <c r="B33" s="1623" t="s">
        <v>2037</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596"/>
      <c r="Q33" s="1694" t="str">
        <f t="shared" si="11"/>
        <v>项目建筑规模</v>
      </c>
      <c r="R33" s="1695" t="s">
        <v>28</v>
      </c>
      <c r="S33" s="1696" t="e">
        <f t="shared" si="12"/>
        <v>#N/A</v>
      </c>
      <c r="T33" s="1695" t="s">
        <v>28</v>
      </c>
      <c r="U33" s="1696" t="e">
        <f t="shared" si="13"/>
        <v>#N/A</v>
      </c>
      <c r="V33" s="1695" t="s">
        <v>28</v>
      </c>
      <c r="W33" s="1696" t="e">
        <f t="shared" si="14"/>
        <v>#N/A</v>
      </c>
      <c r="X33" s="1697"/>
      <c r="Y33" s="3598"/>
      <c r="Z33" s="1698" t="str">
        <f t="shared" si="15"/>
        <v>项目建筑规模</v>
      </c>
      <c r="AA33" s="1656" t="e">
        <f t="shared" si="3"/>
        <v>#N/A</v>
      </c>
      <c r="AB33" s="1656" t="e">
        <f t="shared" si="4"/>
        <v>#N/A</v>
      </c>
      <c r="AC33" s="1656" t="e">
        <f t="shared" si="5"/>
        <v>#N/A</v>
      </c>
    </row>
    <row r="34" spans="1:29" ht="15">
      <c r="A34" s="1700"/>
      <c r="B34" s="1623" t="s">
        <v>2038</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596"/>
      <c r="Q34" s="1543" t="str">
        <f t="shared" si="11"/>
        <v>建筑结构</v>
      </c>
      <c r="R34" s="1653" t="s">
        <v>28</v>
      </c>
      <c r="S34" s="1654">
        <f t="shared" si="12"/>
        <v>100</v>
      </c>
      <c r="T34" s="1653" t="s">
        <v>28</v>
      </c>
      <c r="U34" s="1654">
        <f t="shared" si="13"/>
        <v>100</v>
      </c>
      <c r="V34" s="1653" t="s">
        <v>28</v>
      </c>
      <c r="W34" s="1654">
        <f t="shared" si="14"/>
        <v>100</v>
      </c>
      <c r="X34" s="1593"/>
      <c r="Y34" s="3598"/>
      <c r="Z34" s="1655" t="str">
        <f t="shared" si="15"/>
        <v>建筑结构</v>
      </c>
      <c r="AA34" s="1656">
        <f t="shared" si="3"/>
        <v>1</v>
      </c>
      <c r="AB34" s="1656">
        <f t="shared" si="4"/>
        <v>1</v>
      </c>
      <c r="AC34" s="1656">
        <f t="shared" si="5"/>
        <v>1</v>
      </c>
    </row>
    <row r="35" spans="1:29" ht="15">
      <c r="A35" s="1700"/>
      <c r="B35" s="1623" t="s">
        <v>2039</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596"/>
      <c r="Q35" s="1543" t="str">
        <f t="shared" si="11"/>
        <v>建筑品质</v>
      </c>
      <c r="R35" s="1653" t="s">
        <v>28</v>
      </c>
      <c r="S35" s="1654">
        <f t="shared" si="12"/>
        <v>100</v>
      </c>
      <c r="T35" s="1653" t="s">
        <v>28</v>
      </c>
      <c r="U35" s="1654">
        <f t="shared" si="13"/>
        <v>100</v>
      </c>
      <c r="V35" s="1653" t="s">
        <v>28</v>
      </c>
      <c r="W35" s="1654">
        <f t="shared" si="14"/>
        <v>100</v>
      </c>
      <c r="X35" s="1593"/>
      <c r="Y35" s="3598"/>
      <c r="Z35" s="1655" t="str">
        <f t="shared" si="15"/>
        <v>建筑品质</v>
      </c>
      <c r="AA35" s="1656">
        <f t="shared" si="3"/>
        <v>1</v>
      </c>
      <c r="AB35" s="1656">
        <f t="shared" si="4"/>
        <v>1</v>
      </c>
      <c r="AC35" s="1656">
        <f t="shared" si="5"/>
        <v>1</v>
      </c>
    </row>
    <row r="36" spans="1:29" ht="15">
      <c r="A36" s="1700"/>
      <c r="B36" s="1623" t="s">
        <v>2040</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596"/>
      <c r="Q36" s="1543" t="str">
        <f t="shared" si="11"/>
        <v>公共部分装修</v>
      </c>
      <c r="R36" s="1653" t="s">
        <v>28</v>
      </c>
      <c r="S36" s="1654">
        <f t="shared" si="12"/>
        <v>100</v>
      </c>
      <c r="T36" s="1653" t="s">
        <v>28</v>
      </c>
      <c r="U36" s="1654">
        <f t="shared" si="13"/>
        <v>100</v>
      </c>
      <c r="V36" s="1653" t="s">
        <v>28</v>
      </c>
      <c r="W36" s="1654">
        <f t="shared" si="14"/>
        <v>100</v>
      </c>
      <c r="X36" s="1593"/>
      <c r="Y36" s="3598"/>
      <c r="Z36" s="1655" t="str">
        <f t="shared" si="15"/>
        <v>公共部分装修</v>
      </c>
      <c r="AA36" s="1656">
        <f t="shared" si="3"/>
        <v>1</v>
      </c>
      <c r="AB36" s="1656">
        <f t="shared" si="4"/>
        <v>1</v>
      </c>
      <c r="AC36" s="1656">
        <f t="shared" si="5"/>
        <v>1</v>
      </c>
    </row>
    <row r="37" spans="1:29" s="1612" customFormat="1" ht="15">
      <c r="A37" s="1703"/>
      <c r="B37" s="1623" t="s">
        <v>2041</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596"/>
      <c r="Q37" s="1562" t="str">
        <f t="shared" si="11"/>
        <v>成新度</v>
      </c>
      <c r="R37" s="1608" t="s">
        <v>28</v>
      </c>
      <c r="S37" s="1609" t="e">
        <f t="shared" si="12"/>
        <v>#N/A</v>
      </c>
      <c r="T37" s="1608" t="s">
        <v>28</v>
      </c>
      <c r="U37" s="1609" t="e">
        <f t="shared" si="13"/>
        <v>#N/A</v>
      </c>
      <c r="V37" s="1608" t="s">
        <v>28</v>
      </c>
      <c r="W37" s="1609" t="e">
        <f t="shared" si="14"/>
        <v>#N/A</v>
      </c>
      <c r="X37" s="1610"/>
      <c r="Y37" s="3598"/>
      <c r="Z37" s="1621" t="str">
        <f t="shared" si="15"/>
        <v>成新度</v>
      </c>
      <c r="AA37" s="1611" t="e">
        <f t="shared" si="3"/>
        <v>#N/A</v>
      </c>
      <c r="AB37" s="1611" t="e">
        <f t="shared" si="4"/>
        <v>#N/A</v>
      </c>
      <c r="AC37" s="1611" t="e">
        <f t="shared" si="5"/>
        <v>#N/A</v>
      </c>
    </row>
    <row r="38" spans="1:29" ht="15">
      <c r="A38" s="1700"/>
      <c r="B38" s="1623" t="s">
        <v>2042</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596" t="s">
        <v>2036</v>
      </c>
      <c r="Q38" s="1543" t="str">
        <f t="shared" si="11"/>
        <v>物业管理</v>
      </c>
      <c r="R38" s="1653" t="s">
        <v>28</v>
      </c>
      <c r="S38" s="1654">
        <f t="shared" si="12"/>
        <v>100</v>
      </c>
      <c r="T38" s="1653" t="s">
        <v>28</v>
      </c>
      <c r="U38" s="1654">
        <f t="shared" si="13"/>
        <v>100</v>
      </c>
      <c r="V38" s="1653" t="s">
        <v>28</v>
      </c>
      <c r="W38" s="1654">
        <f t="shared" si="14"/>
        <v>100</v>
      </c>
      <c r="X38" s="1593"/>
      <c r="Y38" s="3598" t="s">
        <v>2036</v>
      </c>
      <c r="Z38" s="1655" t="str">
        <f t="shared" si="15"/>
        <v>物业管理</v>
      </c>
      <c r="AA38" s="1656">
        <f t="shared" si="3"/>
        <v>1</v>
      </c>
      <c r="AB38" s="1656">
        <f t="shared" si="4"/>
        <v>1</v>
      </c>
      <c r="AC38" s="1656">
        <f t="shared" si="5"/>
        <v>1</v>
      </c>
    </row>
    <row r="39" spans="1:29" ht="15">
      <c r="A39" s="1700"/>
      <c r="B39" s="1623" t="s">
        <v>2043</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596"/>
      <c r="Q39" s="1543" t="str">
        <f t="shared" si="11"/>
        <v>市政基础设施</v>
      </c>
      <c r="R39" s="1653" t="s">
        <v>28</v>
      </c>
      <c r="S39" s="1654">
        <f t="shared" si="12"/>
        <v>100</v>
      </c>
      <c r="T39" s="1653" t="s">
        <v>28</v>
      </c>
      <c r="U39" s="1654">
        <f t="shared" si="13"/>
        <v>100</v>
      </c>
      <c r="V39" s="1653" t="s">
        <v>28</v>
      </c>
      <c r="W39" s="1654">
        <f t="shared" si="14"/>
        <v>100</v>
      </c>
      <c r="X39" s="1593"/>
      <c r="Y39" s="3598"/>
      <c r="Z39" s="1655" t="str">
        <f t="shared" si="15"/>
        <v>市政基础设施</v>
      </c>
      <c r="AA39" s="1656">
        <f t="shared" si="3"/>
        <v>1</v>
      </c>
      <c r="AB39" s="1656">
        <f t="shared" si="4"/>
        <v>1</v>
      </c>
      <c r="AC39" s="1656">
        <f t="shared" si="5"/>
        <v>1</v>
      </c>
    </row>
    <row r="40" spans="1:29" ht="15">
      <c r="A40" s="1700"/>
      <c r="B40" s="1623" t="s">
        <v>2044</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596"/>
      <c r="Q40" s="1543" t="str">
        <f t="shared" si="11"/>
        <v>房型</v>
      </c>
      <c r="R40" s="1653" t="s">
        <v>28</v>
      </c>
      <c r="S40" s="1654">
        <f t="shared" si="12"/>
        <v>100</v>
      </c>
      <c r="T40" s="1653" t="s">
        <v>28</v>
      </c>
      <c r="U40" s="1654">
        <f t="shared" si="13"/>
        <v>100</v>
      </c>
      <c r="V40" s="1653" t="s">
        <v>28</v>
      </c>
      <c r="W40" s="1654">
        <f t="shared" si="14"/>
        <v>100</v>
      </c>
      <c r="X40" s="1593"/>
      <c r="Y40" s="3598"/>
      <c r="Z40" s="1655" t="str">
        <f t="shared" si="15"/>
        <v>房型</v>
      </c>
      <c r="AA40" s="1656">
        <f t="shared" si="3"/>
        <v>1</v>
      </c>
      <c r="AB40" s="1656">
        <f t="shared" si="4"/>
        <v>1</v>
      </c>
      <c r="AC40" s="1656">
        <f t="shared" si="5"/>
        <v>1</v>
      </c>
    </row>
    <row r="41" spans="1:29" s="1699" customFormat="1" ht="28.5">
      <c r="A41" s="1692"/>
      <c r="B41" s="1623" t="s">
        <v>2045</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596"/>
      <c r="Q41" s="1694" t="str">
        <f t="shared" si="11"/>
        <v>单套/主力户型建筑面积</v>
      </c>
      <c r="R41" s="1695" t="s">
        <v>28</v>
      </c>
      <c r="S41" s="1696">
        <f t="shared" si="12"/>
        <v>100</v>
      </c>
      <c r="T41" s="1695" t="s">
        <v>28</v>
      </c>
      <c r="U41" s="1696">
        <f t="shared" si="13"/>
        <v>100</v>
      </c>
      <c r="V41" s="1695" t="s">
        <v>28</v>
      </c>
      <c r="W41" s="1696">
        <f t="shared" si="14"/>
        <v>100</v>
      </c>
      <c r="X41" s="1697"/>
      <c r="Y41" s="3598"/>
      <c r="Z41" s="1698" t="str">
        <f t="shared" si="15"/>
        <v>单套/主力户型建筑面积</v>
      </c>
      <c r="AA41" s="1656">
        <f t="shared" si="3"/>
        <v>1</v>
      </c>
      <c r="AB41" s="1656">
        <f t="shared" si="4"/>
        <v>1</v>
      </c>
      <c r="AC41" s="1656">
        <f t="shared" si="5"/>
        <v>1</v>
      </c>
    </row>
    <row r="42" spans="1:29" ht="15">
      <c r="A42" s="1700"/>
      <c r="B42" s="1623" t="s">
        <v>2046</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596"/>
      <c r="Q42" s="1543" t="str">
        <f t="shared" si="11"/>
        <v>内部装修</v>
      </c>
      <c r="R42" s="1653" t="s">
        <v>28</v>
      </c>
      <c r="S42" s="1654">
        <f t="shared" si="12"/>
        <v>100</v>
      </c>
      <c r="T42" s="1653" t="s">
        <v>28</v>
      </c>
      <c r="U42" s="1654">
        <f t="shared" si="13"/>
        <v>100</v>
      </c>
      <c r="V42" s="1653" t="s">
        <v>28</v>
      </c>
      <c r="W42" s="1654">
        <f t="shared" si="14"/>
        <v>100</v>
      </c>
      <c r="X42" s="1593"/>
      <c r="Y42" s="3598"/>
      <c r="Z42" s="1655" t="str">
        <f t="shared" si="15"/>
        <v>内部装修</v>
      </c>
      <c r="AA42" s="1656">
        <f t="shared" si="3"/>
        <v>1</v>
      </c>
      <c r="AB42" s="1656">
        <f t="shared" si="4"/>
        <v>1</v>
      </c>
      <c r="AC42" s="1656">
        <f t="shared" si="5"/>
        <v>1</v>
      </c>
    </row>
    <row r="43" spans="1:29" ht="15">
      <c r="A43" s="1700"/>
      <c r="B43" s="1623" t="s">
        <v>2047</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596"/>
      <c r="Q43" s="1543" t="str">
        <f t="shared" si="11"/>
        <v>内部装修维护情况</v>
      </c>
      <c r="R43" s="1653" t="s">
        <v>28</v>
      </c>
      <c r="S43" s="1654">
        <f t="shared" si="12"/>
        <v>100</v>
      </c>
      <c r="T43" s="1653" t="s">
        <v>28</v>
      </c>
      <c r="U43" s="1654">
        <f t="shared" si="13"/>
        <v>100</v>
      </c>
      <c r="V43" s="1653" t="s">
        <v>28</v>
      </c>
      <c r="W43" s="1654">
        <f t="shared" si="14"/>
        <v>100</v>
      </c>
      <c r="X43" s="1593"/>
      <c r="Y43" s="3598"/>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596"/>
      <c r="Q44" s="1562">
        <f t="shared" si="11"/>
        <v>111</v>
      </c>
      <c r="R44" s="1608" t="s">
        <v>28</v>
      </c>
      <c r="S44" s="1609">
        <f t="shared" si="12"/>
        <v>100</v>
      </c>
      <c r="T44" s="1608" t="s">
        <v>28</v>
      </c>
      <c r="U44" s="1609">
        <f t="shared" si="13"/>
        <v>100</v>
      </c>
      <c r="V44" s="1608" t="s">
        <v>28</v>
      </c>
      <c r="W44" s="1609">
        <f t="shared" si="14"/>
        <v>100</v>
      </c>
      <c r="X44" s="1610"/>
      <c r="Y44" s="3598"/>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596"/>
      <c r="Q45" s="1543">
        <f t="shared" si="11"/>
        <v>111</v>
      </c>
      <c r="R45" s="1653" t="s">
        <v>28</v>
      </c>
      <c r="S45" s="1654">
        <f t="shared" si="12"/>
        <v>100</v>
      </c>
      <c r="T45" s="1653" t="s">
        <v>28</v>
      </c>
      <c r="U45" s="1654">
        <f t="shared" si="13"/>
        <v>100</v>
      </c>
      <c r="V45" s="1653" t="s">
        <v>28</v>
      </c>
      <c r="W45" s="1654">
        <f t="shared" si="14"/>
        <v>100</v>
      </c>
      <c r="X45" s="1593"/>
      <c r="Y45" s="3598"/>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597"/>
      <c r="Q46" s="1543">
        <f t="shared" si="11"/>
        <v>111</v>
      </c>
      <c r="R46" s="1653" t="s">
        <v>27</v>
      </c>
      <c r="S46" s="1654">
        <f t="shared" si="12"/>
        <v>100</v>
      </c>
      <c r="T46" s="1653" t="s">
        <v>27</v>
      </c>
      <c r="U46" s="1654">
        <f t="shared" si="13"/>
        <v>100</v>
      </c>
      <c r="V46" s="1653" t="s">
        <v>27</v>
      </c>
      <c r="W46" s="1654">
        <f t="shared" si="14"/>
        <v>100</v>
      </c>
      <c r="X46" s="1593"/>
      <c r="Y46" s="3599"/>
      <c r="Z46" s="1655">
        <f t="shared" si="15"/>
        <v>111</v>
      </c>
      <c r="AA46" s="1656">
        <f t="shared" si="3"/>
        <v>1</v>
      </c>
      <c r="AB46" s="1656">
        <f t="shared" si="4"/>
        <v>1</v>
      </c>
      <c r="AC46" s="1656">
        <f t="shared" si="5"/>
        <v>1</v>
      </c>
    </row>
    <row r="47" spans="1:29" ht="15">
      <c r="A47" s="1709" t="s">
        <v>2048</v>
      </c>
      <c r="B47" s="1710"/>
      <c r="C47" s="1711" t="s">
        <v>26</v>
      </c>
      <c r="D47" s="1712"/>
      <c r="E47" s="1713"/>
      <c r="F47" s="1714"/>
      <c r="G47" s="1715"/>
      <c r="H47" s="1716"/>
      <c r="I47" s="1713"/>
      <c r="J47" s="1716"/>
      <c r="K47" s="1717"/>
      <c r="L47" s="2920"/>
      <c r="N47" s="2915"/>
      <c r="P47" s="3600" t="str">
        <f>A47</f>
        <v>成交单价（元/平方米）</v>
      </c>
      <c r="Q47" s="3600"/>
      <c r="R47" s="3601">
        <f>E47</f>
        <v>0</v>
      </c>
      <c r="S47" s="3601"/>
      <c r="T47" s="3601">
        <f>G47</f>
        <v>0</v>
      </c>
      <c r="U47" s="3601"/>
      <c r="V47" s="3601">
        <f>I47</f>
        <v>0</v>
      </c>
      <c r="W47" s="3601"/>
      <c r="X47" s="1719"/>
      <c r="Y47" s="1720"/>
      <c r="Z47" s="1719"/>
      <c r="AA47" s="1719"/>
      <c r="AB47" s="1719"/>
      <c r="AC47" s="1719"/>
    </row>
    <row r="48" spans="1:29" ht="15.75" thickBot="1">
      <c r="A48" s="1721" t="s">
        <v>2049</v>
      </c>
      <c r="B48" s="1722"/>
      <c r="C48" s="1723" t="e">
        <f>R49</f>
        <v>#DIV/0!</v>
      </c>
      <c r="D48" s="1724" t="s">
        <v>2502</v>
      </c>
      <c r="E48" s="1725" t="e">
        <f>R48</f>
        <v>#DIV/0!</v>
      </c>
      <c r="F48" s="1726"/>
      <c r="G48" s="1723" t="e">
        <f>T48</f>
        <v>#DIV/0!</v>
      </c>
      <c r="H48" s="1726"/>
      <c r="I48" s="1725" t="e">
        <f>V48</f>
        <v>#DIV/0!</v>
      </c>
      <c r="J48" s="1726"/>
      <c r="K48" s="2429">
        <f>F48+H48+J48</f>
        <v>0</v>
      </c>
      <c r="L48" s="2920"/>
      <c r="P48" s="3600" t="str">
        <f>A48</f>
        <v>比较价值（元/平方米）</v>
      </c>
      <c r="Q48" s="3600"/>
      <c r="R48" s="3601" t="e">
        <f>IF(E1="售价",ROUND(PRODUCT(R47,AA7:AA46),0),ROUND(PRODUCT(R47,AA7:AA46),1))</f>
        <v>#DIV/0!</v>
      </c>
      <c r="S48" s="3601"/>
      <c r="T48" s="3633" t="e">
        <f>IF(E1="售价",ROUND(PRODUCT(T47,AB7:AB46),0),ROUND(PRODUCT(T47,AB7:AB46),1))</f>
        <v>#DIV/0!</v>
      </c>
      <c r="U48" s="3634"/>
      <c r="V48" s="3601" t="e">
        <f>IF(E1="售价",ROUND(PRODUCT(V47,AC7:AC46),0),ROUND(PRODUCT(V47,AC7:AC46),1))</f>
        <v>#DIV/0!</v>
      </c>
      <c r="W48" s="3601"/>
      <c r="X48" s="1719"/>
      <c r="Y48" s="1719"/>
      <c r="Z48" s="1719"/>
      <c r="AA48" s="1719"/>
      <c r="AB48" s="1719"/>
      <c r="AC48" s="1719"/>
    </row>
    <row r="49" spans="1:29" ht="15.75" thickBot="1">
      <c r="A49" s="1727" t="s">
        <v>2050</v>
      </c>
      <c r="B49" s="1728"/>
      <c r="C49" s="1729" t="e">
        <f>R49</f>
        <v>#DIV/0!</v>
      </c>
      <c r="D49" s="1730"/>
      <c r="E49" s="1730"/>
      <c r="F49" s="1730"/>
      <c r="G49" s="1730"/>
      <c r="H49" s="1730"/>
      <c r="I49" s="1730"/>
      <c r="J49" s="1730"/>
      <c r="K49" s="1731"/>
      <c r="L49" s="2920"/>
      <c r="P49" s="3602" t="str">
        <f>A49</f>
        <v>估价对象XX用房的比较价值（楼面单价，元/平方米）</v>
      </c>
      <c r="Q49" s="3603"/>
      <c r="R49" s="3604" t="e">
        <f>IF(E1="售价",ROUND(IF(D48="简单平均",AVERAGE(R48:V48),R48*F48+T48*H48+V48*J48),0),ROUND(IF(D48="简单平均",AVERAGE(R48:V48),R48*F48+T48*H48+V48*J48),1))</f>
        <v>#DIV/0!</v>
      </c>
      <c r="S49" s="3604"/>
      <c r="T49" s="3604"/>
      <c r="U49" s="3604"/>
      <c r="V49" s="3604"/>
      <c r="W49" s="3604"/>
      <c r="X49" s="1719"/>
      <c r="Y49" s="1719"/>
      <c r="Z49" s="1719"/>
      <c r="AA49" s="1719"/>
      <c r="AB49" s="1719"/>
      <c r="AC49" s="1719"/>
    </row>
    <row r="50" spans="1:29">
      <c r="G50" s="2924"/>
    </row>
    <row r="52" spans="1:29" ht="13.5" customHeight="1">
      <c r="C52" s="383" t="s">
        <v>2051</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2052</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2053</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2054</v>
      </c>
      <c r="B57" s="1719"/>
      <c r="C57" s="1745"/>
      <c r="D57" s="1745"/>
      <c r="E57" s="1745"/>
      <c r="F57" s="1745"/>
      <c r="G57" s="1745"/>
      <c r="H57" s="1745"/>
      <c r="I57" s="1745"/>
      <c r="J57" s="1745"/>
      <c r="K57" s="1746"/>
      <c r="L57" s="2922"/>
      <c r="M57" s="2923"/>
      <c r="N57" s="2923"/>
      <c r="O57" s="2923"/>
      <c r="P57" s="1748"/>
      <c r="Q57" s="1749"/>
    </row>
    <row r="58" spans="1:29" s="1755" customFormat="1" ht="15">
      <c r="A58" s="1750" t="s">
        <v>2055</v>
      </c>
      <c r="B58" s="1751"/>
      <c r="C58" s="1752" t="str">
        <f>YEAR(C7)&amp;"-"&amp;MONTH(C7)</f>
        <v>2022-8</v>
      </c>
      <c r="D58" s="1753">
        <f>EDATE(C58,-1)</f>
        <v>44743</v>
      </c>
      <c r="E58" s="1753">
        <f t="shared" ref="E58:O58" si="16">EDATE(D58,-1)</f>
        <v>44713</v>
      </c>
      <c r="F58" s="1753">
        <f t="shared" si="16"/>
        <v>44682</v>
      </c>
      <c r="G58" s="1753">
        <f t="shared" si="16"/>
        <v>44652</v>
      </c>
      <c r="H58" s="1753">
        <f t="shared" si="16"/>
        <v>44621</v>
      </c>
      <c r="I58" s="1753">
        <f t="shared" si="16"/>
        <v>44593</v>
      </c>
      <c r="J58" s="1753">
        <f t="shared" si="16"/>
        <v>44562</v>
      </c>
      <c r="K58" s="1753">
        <f t="shared" si="16"/>
        <v>44531</v>
      </c>
      <c r="L58" s="1753">
        <f t="shared" si="16"/>
        <v>44501</v>
      </c>
      <c r="M58" s="1753">
        <f t="shared" si="16"/>
        <v>44470</v>
      </c>
      <c r="N58" s="1753">
        <f t="shared" si="16"/>
        <v>44440</v>
      </c>
      <c r="O58" s="1753">
        <f t="shared" si="16"/>
        <v>44409</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2056</v>
      </c>
      <c r="B60" s="1763"/>
      <c r="C60" s="1764"/>
      <c r="D60" s="1765"/>
      <c r="E60" s="1765"/>
      <c r="F60" s="1765"/>
      <c r="G60" s="1765"/>
      <c r="H60" s="1765"/>
      <c r="I60" s="1765"/>
      <c r="J60" s="1765"/>
      <c r="K60" s="1765"/>
      <c r="L60" s="1765"/>
      <c r="M60" s="1766"/>
      <c r="N60" s="1765"/>
      <c r="O60" s="1766"/>
      <c r="P60" s="1761"/>
      <c r="Q60" s="1749"/>
    </row>
    <row r="61" spans="1:29" s="1612" customFormat="1" ht="15">
      <c r="A61" s="1767" t="s">
        <v>2057</v>
      </c>
      <c r="B61" s="1757"/>
      <c r="C61" s="1768" t="s">
        <v>2058</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2059</v>
      </c>
      <c r="B63" s="1775" t="s">
        <v>2024</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2027</v>
      </c>
      <c r="C65" s="1787" t="s">
        <v>2060</v>
      </c>
      <c r="D65" s="1787" t="s">
        <v>2061</v>
      </c>
      <c r="E65" s="1787" t="s">
        <v>2062</v>
      </c>
      <c r="F65" s="1787" t="s">
        <v>2063</v>
      </c>
      <c r="G65" s="1787" t="s">
        <v>2064</v>
      </c>
      <c r="H65" s="1787" t="s">
        <v>2065</v>
      </c>
      <c r="I65" s="1787" t="s">
        <v>2066</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2028</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2029</v>
      </c>
      <c r="B76" s="1775" t="s">
        <v>2067</v>
      </c>
      <c r="C76" s="1813" t="s">
        <v>2068</v>
      </c>
      <c r="D76" s="1813" t="s">
        <v>2069</v>
      </c>
      <c r="E76" s="1813" t="s">
        <v>2070</v>
      </c>
      <c r="F76" s="1813" t="s">
        <v>2071</v>
      </c>
      <c r="G76" s="1813" t="s">
        <v>2072</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2073</v>
      </c>
      <c r="C78" s="579" t="s">
        <v>2068</v>
      </c>
      <c r="D78" s="579" t="s">
        <v>2069</v>
      </c>
      <c r="E78" s="579" t="s">
        <v>2070</v>
      </c>
      <c r="F78" s="579" t="s">
        <v>2071</v>
      </c>
      <c r="G78" s="579" t="s">
        <v>2072</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2074</v>
      </c>
      <c r="C80" s="579" t="s">
        <v>2068</v>
      </c>
      <c r="D80" s="579" t="s">
        <v>2069</v>
      </c>
      <c r="E80" s="579" t="s">
        <v>2070</v>
      </c>
      <c r="F80" s="579" t="s">
        <v>2071</v>
      </c>
      <c r="G80" s="579" t="s">
        <v>2072</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2075</v>
      </c>
      <c r="D82" s="1787" t="s">
        <v>2076</v>
      </c>
      <c r="E82" s="1787" t="s">
        <v>2077</v>
      </c>
      <c r="F82" s="1787" t="s">
        <v>2078</v>
      </c>
      <c r="G82" s="1787" t="s">
        <v>2079</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2080</v>
      </c>
      <c r="C84" s="579" t="s">
        <v>2068</v>
      </c>
      <c r="D84" s="579" t="s">
        <v>2069</v>
      </c>
      <c r="E84" s="579" t="s">
        <v>2070</v>
      </c>
      <c r="F84" s="579" t="s">
        <v>2071</v>
      </c>
      <c r="G84" s="579" t="s">
        <v>2072</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2081</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2082</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2034</v>
      </c>
      <c r="B100" s="1775" t="s">
        <v>2083</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2085</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2086</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2087</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2089</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2090</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2091</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2045</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2092</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2093</v>
      </c>
      <c r="C124" s="579" t="s">
        <v>2068</v>
      </c>
      <c r="D124" s="579" t="s">
        <v>2069</v>
      </c>
      <c r="E124" s="579" t="s">
        <v>2070</v>
      </c>
      <c r="F124" s="579" t="s">
        <v>2071</v>
      </c>
      <c r="G124" s="579" t="s">
        <v>2072</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2094</v>
      </c>
    </row>
    <row r="137" spans="1:17" ht="15">
      <c r="B137" s="1839" t="s">
        <v>2095</v>
      </c>
      <c r="C137" s="1840"/>
      <c r="D137" s="1840"/>
      <c r="E137" s="1840"/>
      <c r="F137" s="1840"/>
      <c r="G137" s="1841"/>
      <c r="H137" s="1842"/>
      <c r="I137" s="1843" t="s">
        <v>2096</v>
      </c>
      <c r="J137" s="1840"/>
      <c r="K137" s="1844"/>
    </row>
    <row r="138" spans="1:17" ht="15">
      <c r="B138" s="1845"/>
      <c r="C138" s="1846" t="s">
        <v>2097</v>
      </c>
      <c r="D138" s="1846" t="s">
        <v>2098</v>
      </c>
      <c r="E138" s="1847" t="s">
        <v>2099</v>
      </c>
      <c r="F138" s="1848" t="s">
        <v>2100</v>
      </c>
      <c r="G138" s="1846" t="s">
        <v>2098</v>
      </c>
      <c r="H138" s="1849" t="s">
        <v>2099</v>
      </c>
      <c r="I138" s="1850"/>
      <c r="J138" s="1846" t="s">
        <v>2101</v>
      </c>
      <c r="K138" s="1849" t="s">
        <v>2102</v>
      </c>
    </row>
    <row r="139" spans="1:17" ht="15">
      <c r="B139" s="1851">
        <v>6</v>
      </c>
      <c r="C139" s="1852">
        <v>96</v>
      </c>
      <c r="D139" s="1853" t="s">
        <v>2103</v>
      </c>
      <c r="E139" s="1854">
        <v>100</v>
      </c>
      <c r="F139" s="1855">
        <v>102.5</v>
      </c>
      <c r="G139" s="1853" t="s">
        <v>2103</v>
      </c>
      <c r="H139" s="1856">
        <v>105</v>
      </c>
      <c r="I139" s="1857" t="s">
        <v>2104</v>
      </c>
      <c r="J139" s="1852">
        <v>20</v>
      </c>
      <c r="K139" s="1858">
        <f>C145/(J139-2)</f>
        <v>4.0555555555555553E-3</v>
      </c>
    </row>
    <row r="140" spans="1:17" ht="15">
      <c r="B140" s="1859">
        <v>5</v>
      </c>
      <c r="C140" s="1860">
        <v>100</v>
      </c>
      <c r="D140" s="1860"/>
      <c r="E140" s="1861"/>
      <c r="F140" s="1862">
        <v>102</v>
      </c>
      <c r="G140" s="1860"/>
      <c r="H140" s="1863"/>
      <c r="I140" s="1864" t="s">
        <v>2105</v>
      </c>
      <c r="J140" s="1865">
        <f>ROUNDUP((J139-1)/2,0)</f>
        <v>10</v>
      </c>
      <c r="K140" s="1866">
        <v>100</v>
      </c>
    </row>
    <row r="141" spans="1:17" ht="15">
      <c r="B141" s="1859">
        <v>4</v>
      </c>
      <c r="C141" s="1860">
        <v>102</v>
      </c>
      <c r="D141" s="1860"/>
      <c r="E141" s="1861"/>
      <c r="F141" s="1862">
        <v>101.5</v>
      </c>
      <c r="G141" s="1860"/>
      <c r="H141" s="1863"/>
      <c r="I141" s="1864" t="s">
        <v>2106</v>
      </c>
      <c r="J141" s="1865">
        <v>1</v>
      </c>
      <c r="K141" s="1867">
        <f>ROUND(100+(J141-J140)*K139*100,1)</f>
        <v>96.4</v>
      </c>
    </row>
    <row r="142" spans="1:17" ht="15">
      <c r="B142" s="1859">
        <v>3</v>
      </c>
      <c r="C142" s="1860">
        <v>103</v>
      </c>
      <c r="D142" s="1860"/>
      <c r="E142" s="1861"/>
      <c r="F142" s="1862">
        <v>101</v>
      </c>
      <c r="G142" s="1860"/>
      <c r="H142" s="1863"/>
      <c r="I142" s="1864" t="s">
        <v>2107</v>
      </c>
      <c r="J142" s="1865">
        <f>J139</f>
        <v>20</v>
      </c>
      <c r="K142" s="1868">
        <v>95</v>
      </c>
    </row>
    <row r="143" spans="1:17" ht="15">
      <c r="B143" s="1859">
        <v>2</v>
      </c>
      <c r="C143" s="1860">
        <v>100</v>
      </c>
      <c r="D143" s="1860"/>
      <c r="E143" s="1861"/>
      <c r="F143" s="1862">
        <v>100.5</v>
      </c>
      <c r="G143" s="1860"/>
      <c r="H143" s="1863"/>
      <c r="I143" s="1864" t="s">
        <v>2108</v>
      </c>
      <c r="J143" s="1860">
        <v>15</v>
      </c>
      <c r="K143" s="1867">
        <f>ROUND(100+(J143-J140)*K139*100,1)</f>
        <v>102</v>
      </c>
    </row>
    <row r="144" spans="1:17" ht="15">
      <c r="B144" s="1859">
        <v>1</v>
      </c>
      <c r="C144" s="1860">
        <v>98</v>
      </c>
      <c r="D144" s="1347" t="s">
        <v>2109</v>
      </c>
      <c r="E144" s="1861">
        <v>102</v>
      </c>
      <c r="F144" s="1869">
        <v>100</v>
      </c>
      <c r="G144" s="1347" t="s">
        <v>2109</v>
      </c>
      <c r="H144" s="1863">
        <v>105</v>
      </c>
      <c r="I144" s="1864" t="s">
        <v>2108</v>
      </c>
      <c r="J144" s="1860">
        <v>18</v>
      </c>
      <c r="K144" s="1867">
        <f>ROUND(100+(J144-J140)*K139*100,1)</f>
        <v>103.2</v>
      </c>
    </row>
    <row r="145" spans="2:11" ht="15.75" thickBot="1">
      <c r="B145" s="1870" t="s">
        <v>2110</v>
      </c>
      <c r="C145" s="1871">
        <f>ROUND(MAX(C139:C144)/MIN(C139:C144)-1,3)</f>
        <v>7.2999999999999995E-2</v>
      </c>
      <c r="D145" s="1872"/>
      <c r="E145" s="1872"/>
      <c r="F145" s="1501" t="s">
        <v>2111</v>
      </c>
      <c r="G145" s="1873"/>
      <c r="H145" s="1874"/>
      <c r="I145" s="1875" t="s">
        <v>2108</v>
      </c>
      <c r="J145" s="1876">
        <v>8</v>
      </c>
      <c r="K145" s="1877">
        <f>ROUND(100+(J145-J140)*K139*100,1)</f>
        <v>99.2</v>
      </c>
    </row>
    <row r="147" spans="2:11">
      <c r="B147" s="1500" t="s">
        <v>2112</v>
      </c>
    </row>
    <row r="148" spans="2:11">
      <c r="B148" s="1500" t="s">
        <v>2113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2001</v>
      </c>
      <c r="B1" s="1565" t="s">
        <v>2143</v>
      </c>
      <c r="C1" s="1566"/>
      <c r="D1" s="1565"/>
      <c r="E1" s="1568"/>
      <c r="F1" s="1569" t="s">
        <v>2003</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万元</v>
      </c>
      <c r="D2" s="1579"/>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2004</v>
      </c>
      <c r="D3" s="1587">
        <f>IF(C1="仅计算典型户型",'数据-取费表'!E5,'数据-取费表'!B5)</f>
        <v>400.8</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2005</v>
      </c>
      <c r="B4" s="1591"/>
      <c r="C4" s="3570" t="s">
        <v>2006</v>
      </c>
      <c r="D4" s="3571"/>
      <c r="E4" s="3572" t="s">
        <v>2007</v>
      </c>
      <c r="F4" s="3573"/>
      <c r="G4" s="3570" t="s">
        <v>2008</v>
      </c>
      <c r="H4" s="3571"/>
      <c r="I4" s="3570" t="s">
        <v>2009</v>
      </c>
      <c r="J4" s="3571"/>
      <c r="K4" s="1893" t="s">
        <v>2010</v>
      </c>
      <c r="L4" s="2914"/>
      <c r="M4" s="2915"/>
      <c r="N4" s="2915"/>
      <c r="O4" s="2915"/>
      <c r="P4" s="3574" t="s">
        <v>2011</v>
      </c>
      <c r="Q4" s="3575"/>
      <c r="R4" s="3580" t="s">
        <v>2007</v>
      </c>
      <c r="S4" s="3581"/>
      <c r="T4" s="3580" t="s">
        <v>2008</v>
      </c>
      <c r="U4" s="3581"/>
      <c r="V4" s="3586" t="s">
        <v>2009</v>
      </c>
      <c r="W4" s="3586"/>
      <c r="X4" s="2002"/>
      <c r="Y4" s="3580" t="s">
        <v>2011</v>
      </c>
      <c r="Z4" s="3581"/>
      <c r="AA4" s="3567" t="s">
        <v>2007</v>
      </c>
      <c r="AB4" s="3567" t="s">
        <v>2008</v>
      </c>
      <c r="AC4" s="3567" t="s">
        <v>2009</v>
      </c>
    </row>
    <row r="5" spans="1:29" ht="15">
      <c r="A5" s="1595"/>
      <c r="B5" s="1596"/>
      <c r="C5" s="3589" t="s">
        <v>2012</v>
      </c>
      <c r="D5" s="3564"/>
      <c r="E5" s="3632" t="s">
        <v>2013</v>
      </c>
      <c r="F5" s="3588"/>
      <c r="G5" s="3589" t="s">
        <v>2014</v>
      </c>
      <c r="H5" s="3564"/>
      <c r="I5" s="3589" t="s">
        <v>2015</v>
      </c>
      <c r="J5" s="3564"/>
      <c r="K5" s="1893"/>
      <c r="L5" s="2914"/>
      <c r="M5" s="2915"/>
      <c r="N5" s="2915"/>
      <c r="O5" s="2915"/>
      <c r="P5" s="3576"/>
      <c r="Q5" s="3577"/>
      <c r="R5" s="3582"/>
      <c r="S5" s="3583"/>
      <c r="T5" s="3582"/>
      <c r="U5" s="3583"/>
      <c r="V5" s="3586"/>
      <c r="W5" s="3586"/>
      <c r="X5" s="2002"/>
      <c r="Y5" s="3582"/>
      <c r="Z5" s="3583"/>
      <c r="AA5" s="3568"/>
      <c r="AB5" s="3568"/>
      <c r="AC5" s="3568"/>
    </row>
    <row r="6" spans="1:29" ht="15.75" thickBot="1">
      <c r="A6" s="1598"/>
      <c r="B6" s="1599"/>
      <c r="C6" s="3560" t="s">
        <v>2016</v>
      </c>
      <c r="D6" s="3561"/>
      <c r="E6" s="3558" t="s">
        <v>2016</v>
      </c>
      <c r="F6" s="3559"/>
      <c r="G6" s="3560" t="s">
        <v>2016</v>
      </c>
      <c r="H6" s="3561"/>
      <c r="I6" s="3560" t="s">
        <v>2016</v>
      </c>
      <c r="J6" s="3561"/>
      <c r="K6" s="1893" t="s">
        <v>2017</v>
      </c>
      <c r="L6" s="2914"/>
      <c r="M6" s="2915"/>
      <c r="N6" s="2915"/>
      <c r="O6" s="2915"/>
      <c r="P6" s="3578"/>
      <c r="Q6" s="3579"/>
      <c r="R6" s="3582"/>
      <c r="S6" s="3583"/>
      <c r="T6" s="3584"/>
      <c r="U6" s="3585"/>
      <c r="V6" s="3586"/>
      <c r="W6" s="3586"/>
      <c r="X6" s="2002"/>
      <c r="Y6" s="3584"/>
      <c r="Z6" s="3585"/>
      <c r="AA6" s="3569"/>
      <c r="AB6" s="3569"/>
      <c r="AC6" s="3569"/>
    </row>
    <row r="7" spans="1:29" s="1612" customFormat="1" ht="15.75" thickBot="1">
      <c r="A7" s="1600" t="s">
        <v>2018</v>
      </c>
      <c r="B7" s="1601"/>
      <c r="C7" s="1602">
        <f>'数据-取费表'!B2</f>
        <v>44795</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565" t="s">
        <v>2019</v>
      </c>
      <c r="Q7" s="3590"/>
      <c r="R7" s="1608" t="s">
        <v>25</v>
      </c>
      <c r="S7" s="1609">
        <f t="shared" ref="S7:S15" si="0">F7</f>
        <v>0</v>
      </c>
      <c r="T7" s="1608" t="s">
        <v>25</v>
      </c>
      <c r="U7" s="1609">
        <f t="shared" ref="U7:U15" si="1">H7</f>
        <v>0</v>
      </c>
      <c r="V7" s="1608" t="s">
        <v>25</v>
      </c>
      <c r="W7" s="1609">
        <f t="shared" ref="W7:W15" si="2">J7</f>
        <v>0</v>
      </c>
      <c r="X7" s="1610"/>
      <c r="Y7" s="3565" t="s">
        <v>2019</v>
      </c>
      <c r="Z7" s="3566"/>
      <c r="AA7" s="1611" t="e">
        <f>D7/F7</f>
        <v>#DIV/0!</v>
      </c>
      <c r="AB7" s="1611" t="e">
        <f>D7/H7</f>
        <v>#DIV/0!</v>
      </c>
      <c r="AC7" s="1611" t="e">
        <f>D7/J7</f>
        <v>#DIV/0!</v>
      </c>
    </row>
    <row r="8" spans="1:29" s="1612" customFormat="1" ht="15.75" thickBot="1">
      <c r="A8" s="1600" t="s">
        <v>2020</v>
      </c>
      <c r="B8" s="1601"/>
      <c r="C8" s="1613" t="s">
        <v>2021</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565" t="s">
        <v>2022</v>
      </c>
      <c r="Q8" s="3566"/>
      <c r="R8" s="1608" t="s">
        <v>25</v>
      </c>
      <c r="S8" s="1609">
        <f t="shared" si="0"/>
        <v>0</v>
      </c>
      <c r="T8" s="1608" t="s">
        <v>25</v>
      </c>
      <c r="U8" s="1609">
        <f t="shared" si="1"/>
        <v>0</v>
      </c>
      <c r="V8" s="1608" t="s">
        <v>25</v>
      </c>
      <c r="W8" s="1609">
        <f t="shared" si="2"/>
        <v>0</v>
      </c>
      <c r="X8" s="1610"/>
      <c r="Y8" s="3565" t="s">
        <v>2022</v>
      </c>
      <c r="Z8" s="3566"/>
      <c r="AA8" s="1611" t="e">
        <f t="shared" ref="AA8:AA47" si="3">D8/F8</f>
        <v>#DIV/0!</v>
      </c>
      <c r="AB8" s="1611" t="e">
        <f t="shared" ref="AB8:AB47" si="4">D8/H8</f>
        <v>#DIV/0!</v>
      </c>
      <c r="AC8" s="1611" t="e">
        <f t="shared" ref="AC8:AC47" si="5">D8/J8</f>
        <v>#DIV/0!</v>
      </c>
    </row>
    <row r="9" spans="1:29" s="1612" customFormat="1">
      <c r="A9" s="1994" t="s">
        <v>2023</v>
      </c>
      <c r="B9" s="1615" t="s">
        <v>2024</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600" t="s">
        <v>2025</v>
      </c>
      <c r="Q9" s="2832" t="str">
        <f t="shared" ref="Q9:Q15" si="6">B9</f>
        <v>用途</v>
      </c>
      <c r="R9" s="1608" t="s">
        <v>25</v>
      </c>
      <c r="S9" s="1609">
        <f t="shared" si="0"/>
        <v>100</v>
      </c>
      <c r="T9" s="1608" t="s">
        <v>25</v>
      </c>
      <c r="U9" s="1609">
        <f t="shared" si="1"/>
        <v>100</v>
      </c>
      <c r="V9" s="1608" t="s">
        <v>25</v>
      </c>
      <c r="W9" s="1609">
        <f t="shared" si="2"/>
        <v>100</v>
      </c>
      <c r="X9" s="1610"/>
      <c r="Y9" s="3488" t="s">
        <v>2026</v>
      </c>
      <c r="Z9" s="1621" t="str">
        <f t="shared" ref="Z9:Z15" si="7">Q9</f>
        <v>用途</v>
      </c>
      <c r="AA9" s="1611">
        <f t="shared" si="3"/>
        <v>1</v>
      </c>
      <c r="AB9" s="1611">
        <f t="shared" si="4"/>
        <v>1</v>
      </c>
      <c r="AC9" s="1611">
        <f t="shared" si="5"/>
        <v>1</v>
      </c>
    </row>
    <row r="10" spans="1:29" s="1629" customFormat="1" ht="27">
      <c r="A10" s="1622"/>
      <c r="B10" s="1623" t="s">
        <v>2027</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600"/>
      <c r="Q10" s="2832" t="str">
        <f t="shared" si="6"/>
        <v>土地使用年限（年）</v>
      </c>
      <c r="R10" s="1608" t="s">
        <v>25</v>
      </c>
      <c r="S10" s="1609">
        <f t="shared" si="0"/>
        <v>100</v>
      </c>
      <c r="T10" s="1608" t="s">
        <v>25</v>
      </c>
      <c r="U10" s="1609">
        <f t="shared" si="1"/>
        <v>100</v>
      </c>
      <c r="V10" s="1608" t="s">
        <v>25</v>
      </c>
      <c r="W10" s="1609">
        <f t="shared" si="2"/>
        <v>100</v>
      </c>
      <c r="X10" s="1610"/>
      <c r="Y10" s="3488"/>
      <c r="Z10" s="1621" t="str">
        <f t="shared" si="7"/>
        <v>土地使用年限（年）</v>
      </c>
      <c r="AA10" s="1611">
        <f t="shared" si="3"/>
        <v>1</v>
      </c>
      <c r="AB10" s="1611">
        <f t="shared" si="4"/>
        <v>1</v>
      </c>
      <c r="AC10" s="1611">
        <f t="shared" si="5"/>
        <v>1</v>
      </c>
    </row>
    <row r="11" spans="1:29" ht="15">
      <c r="A11" s="1630"/>
      <c r="B11" s="1623" t="s">
        <v>2028</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600"/>
      <c r="Q11" s="2832" t="str">
        <f t="shared" si="6"/>
        <v>容积率</v>
      </c>
      <c r="R11" s="1608" t="s">
        <v>25</v>
      </c>
      <c r="S11" s="1609" t="e">
        <f t="shared" si="0"/>
        <v>#N/A</v>
      </c>
      <c r="T11" s="1608" t="s">
        <v>25</v>
      </c>
      <c r="U11" s="1609" t="e">
        <f t="shared" si="1"/>
        <v>#N/A</v>
      </c>
      <c r="V11" s="1608" t="s">
        <v>25</v>
      </c>
      <c r="W11" s="1609" t="e">
        <f t="shared" si="2"/>
        <v>#N/A</v>
      </c>
      <c r="X11" s="1610"/>
      <c r="Y11" s="3488"/>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600"/>
      <c r="Q12" s="2832">
        <f t="shared" si="6"/>
        <v>111</v>
      </c>
      <c r="R12" s="1608" t="s">
        <v>25</v>
      </c>
      <c r="S12" s="1609">
        <f t="shared" si="0"/>
        <v>100</v>
      </c>
      <c r="T12" s="1608" t="s">
        <v>25</v>
      </c>
      <c r="U12" s="1609">
        <f t="shared" si="1"/>
        <v>100</v>
      </c>
      <c r="V12" s="1608" t="s">
        <v>25</v>
      </c>
      <c r="W12" s="1609">
        <f t="shared" si="2"/>
        <v>100</v>
      </c>
      <c r="X12" s="1610"/>
      <c r="Y12" s="3488"/>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600"/>
      <c r="Q13" s="2832">
        <f t="shared" si="6"/>
        <v>111</v>
      </c>
      <c r="R13" s="1608" t="s">
        <v>25</v>
      </c>
      <c r="S13" s="1609">
        <f t="shared" si="0"/>
        <v>100</v>
      </c>
      <c r="T13" s="1608" t="s">
        <v>25</v>
      </c>
      <c r="U13" s="1609">
        <f t="shared" si="1"/>
        <v>100</v>
      </c>
      <c r="V13" s="1608" t="s">
        <v>25</v>
      </c>
      <c r="W13" s="1609">
        <f t="shared" si="2"/>
        <v>100</v>
      </c>
      <c r="X13" s="1610"/>
      <c r="Y13" s="3488"/>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600"/>
      <c r="Q14" s="2832">
        <f t="shared" si="6"/>
        <v>111</v>
      </c>
      <c r="R14" s="1608" t="s">
        <v>25</v>
      </c>
      <c r="S14" s="1609">
        <f t="shared" si="0"/>
        <v>100</v>
      </c>
      <c r="T14" s="1608" t="s">
        <v>25</v>
      </c>
      <c r="U14" s="1609">
        <f t="shared" si="1"/>
        <v>100</v>
      </c>
      <c r="V14" s="1608" t="s">
        <v>25</v>
      </c>
      <c r="W14" s="1609">
        <f t="shared" si="2"/>
        <v>100</v>
      </c>
      <c r="X14" s="1610"/>
      <c r="Y14" s="3488"/>
      <c r="Z14" s="1621">
        <f t="shared" si="7"/>
        <v>111</v>
      </c>
      <c r="AA14" s="1611">
        <f t="shared" si="3"/>
        <v>1</v>
      </c>
      <c r="AB14" s="1611">
        <f t="shared" si="4"/>
        <v>1</v>
      </c>
      <c r="AC14" s="1611">
        <f t="shared" si="5"/>
        <v>1</v>
      </c>
    </row>
    <row r="15" spans="1:29" ht="71.25">
      <c r="A15" s="1645" t="s">
        <v>2029</v>
      </c>
      <c r="B15" s="2410" t="s">
        <v>2144</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593" t="s">
        <v>2030</v>
      </c>
      <c r="Q15" s="2833" t="str">
        <f t="shared" si="6"/>
        <v>办公集聚程度</v>
      </c>
      <c r="R15" s="1653" t="s">
        <v>25</v>
      </c>
      <c r="S15" s="1654">
        <f t="shared" si="0"/>
        <v>100</v>
      </c>
      <c r="T15" s="1653" t="s">
        <v>25</v>
      </c>
      <c r="U15" s="1654">
        <f t="shared" si="1"/>
        <v>100</v>
      </c>
      <c r="V15" s="1653" t="s">
        <v>25</v>
      </c>
      <c r="W15" s="1654">
        <f t="shared" si="2"/>
        <v>100</v>
      </c>
      <c r="X15" s="2002"/>
      <c r="Y15" s="3593" t="s">
        <v>2030</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594"/>
      <c r="Q16" s="2833"/>
      <c r="R16" s="1653"/>
      <c r="S16" s="1654"/>
      <c r="T16" s="1653"/>
      <c r="U16" s="1654"/>
      <c r="V16" s="1653"/>
      <c r="W16" s="1654"/>
      <c r="X16" s="2002"/>
      <c r="Y16" s="3594"/>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594"/>
      <c r="Q17" s="2833" t="str">
        <f>B17</f>
        <v>交通便捷度</v>
      </c>
      <c r="R17" s="1653" t="s">
        <v>25</v>
      </c>
      <c r="S17" s="1654">
        <f>F17</f>
        <v>100</v>
      </c>
      <c r="T17" s="1653" t="s">
        <v>25</v>
      </c>
      <c r="U17" s="1654">
        <f>H17</f>
        <v>100</v>
      </c>
      <c r="V17" s="1653" t="s">
        <v>25</v>
      </c>
      <c r="W17" s="1654">
        <f>J17</f>
        <v>100</v>
      </c>
      <c r="X17" s="2002"/>
      <c r="Y17" s="3594"/>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594"/>
      <c r="Q18" s="2833"/>
      <c r="R18" s="1653"/>
      <c r="S18" s="1654"/>
      <c r="T18" s="1653"/>
      <c r="U18" s="1654"/>
      <c r="V18" s="1653"/>
      <c r="W18" s="1654"/>
      <c r="X18" s="2002"/>
      <c r="Y18" s="3594"/>
      <c r="Z18" s="2006"/>
      <c r="AA18" s="1997">
        <v>1</v>
      </c>
      <c r="AB18" s="1997">
        <v>1</v>
      </c>
      <c r="AC18" s="1997">
        <v>1</v>
      </c>
    </row>
    <row r="19" spans="1:29" ht="42.75">
      <c r="A19" s="1630"/>
      <c r="B19" s="2412" t="s">
        <v>2145</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594"/>
      <c r="Q19" s="2833" t="str">
        <f>B19</f>
        <v>公共配套设施</v>
      </c>
      <c r="R19" s="1653" t="s">
        <v>25</v>
      </c>
      <c r="S19" s="1654">
        <f>F19</f>
        <v>100</v>
      </c>
      <c r="T19" s="1653" t="s">
        <v>25</v>
      </c>
      <c r="U19" s="1654">
        <f>H19</f>
        <v>100</v>
      </c>
      <c r="V19" s="1653" t="s">
        <v>25</v>
      </c>
      <c r="W19" s="1654">
        <f>J19</f>
        <v>100</v>
      </c>
      <c r="X19" s="2002"/>
      <c r="Y19" s="3594"/>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594"/>
      <c r="Q20" s="2833"/>
      <c r="R20" s="1653"/>
      <c r="S20" s="1654"/>
      <c r="T20" s="1653"/>
      <c r="U20" s="1654"/>
      <c r="V20" s="1653"/>
      <c r="W20" s="1654"/>
      <c r="X20" s="2002"/>
      <c r="Y20" s="3594"/>
      <c r="Z20" s="2006"/>
      <c r="AA20" s="1997">
        <v>1</v>
      </c>
      <c r="AB20" s="1997">
        <v>1</v>
      </c>
      <c r="AC20" s="1997">
        <v>1</v>
      </c>
    </row>
    <row r="21" spans="1:29" ht="28.5">
      <c r="A21" s="1630"/>
      <c r="B21" s="2414" t="s">
        <v>2146</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594"/>
      <c r="Q21" s="2833" t="str">
        <f>B21</f>
        <v>基础设施水平</v>
      </c>
      <c r="R21" s="1653" t="s">
        <v>25</v>
      </c>
      <c r="S21" s="1654">
        <f>F21</f>
        <v>100</v>
      </c>
      <c r="T21" s="1653" t="s">
        <v>25</v>
      </c>
      <c r="U21" s="1654">
        <f>H21</f>
        <v>100</v>
      </c>
      <c r="V21" s="1653" t="s">
        <v>25</v>
      </c>
      <c r="W21" s="1654">
        <f>J21</f>
        <v>100</v>
      </c>
      <c r="X21" s="2002"/>
      <c r="Y21" s="3594"/>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594"/>
      <c r="Q22" s="2833"/>
      <c r="R22" s="1653"/>
      <c r="S22" s="1654"/>
      <c r="T22" s="1653"/>
      <c r="U22" s="1654"/>
      <c r="V22" s="1653"/>
      <c r="W22" s="1654"/>
      <c r="X22" s="2002"/>
      <c r="Y22" s="3594"/>
      <c r="Z22" s="2006"/>
      <c r="AA22" s="1997">
        <v>1</v>
      </c>
      <c r="AB22" s="1997">
        <v>1</v>
      </c>
      <c r="AC22" s="1997">
        <v>1</v>
      </c>
    </row>
    <row r="23" spans="1:29" ht="57">
      <c r="A23" s="1630"/>
      <c r="B23" s="2412" t="s">
        <v>2147</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594"/>
      <c r="Q23" s="2833" t="str">
        <f>B23</f>
        <v>环境质量</v>
      </c>
      <c r="R23" s="1653" t="s">
        <v>25</v>
      </c>
      <c r="S23" s="1654">
        <f>F23</f>
        <v>100</v>
      </c>
      <c r="T23" s="1653" t="s">
        <v>25</v>
      </c>
      <c r="U23" s="1654">
        <f>H23</f>
        <v>100</v>
      </c>
      <c r="V23" s="1653" t="s">
        <v>25</v>
      </c>
      <c r="W23" s="1654">
        <f>J23</f>
        <v>100</v>
      </c>
      <c r="X23" s="2002"/>
      <c r="Y23" s="3594"/>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594"/>
      <c r="Q24" s="2833"/>
      <c r="R24" s="1653"/>
      <c r="S24" s="1654"/>
      <c r="T24" s="1653"/>
      <c r="U24" s="1654"/>
      <c r="V24" s="1653"/>
      <c r="W24" s="1654"/>
      <c r="X24" s="2002"/>
      <c r="Y24" s="3594"/>
      <c r="Z24" s="2006"/>
      <c r="AA24" s="1997">
        <v>1</v>
      </c>
      <c r="AB24" s="1997">
        <v>1</v>
      </c>
      <c r="AC24" s="1997">
        <v>1</v>
      </c>
    </row>
    <row r="25" spans="1:29" ht="27">
      <c r="A25" s="1595"/>
      <c r="B25" s="2412" t="s">
        <v>2148</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594"/>
      <c r="Q25" s="2833" t="str">
        <f>B25</f>
        <v>毗邻道路的类型与等级</v>
      </c>
      <c r="R25" s="1653" t="s">
        <v>25</v>
      </c>
      <c r="S25" s="1654">
        <f>F25</f>
        <v>100</v>
      </c>
      <c r="T25" s="1653" t="s">
        <v>25</v>
      </c>
      <c r="U25" s="1654">
        <f>H25</f>
        <v>100</v>
      </c>
      <c r="V25" s="1653" t="s">
        <v>25</v>
      </c>
      <c r="W25" s="1654">
        <f>J25</f>
        <v>100</v>
      </c>
      <c r="X25" s="2002"/>
      <c r="Y25" s="3594"/>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594"/>
      <c r="Q26" s="2833"/>
      <c r="R26" s="1653"/>
      <c r="S26" s="1654"/>
      <c r="T26" s="1653"/>
      <c r="U26" s="1654"/>
      <c r="V26" s="1653"/>
      <c r="W26" s="1654"/>
      <c r="X26" s="2002"/>
      <c r="Y26" s="3594"/>
      <c r="Z26" s="2006"/>
      <c r="AA26" s="1997">
        <v>1</v>
      </c>
      <c r="AB26" s="1997">
        <v>1</v>
      </c>
      <c r="AC26" s="1997">
        <v>1</v>
      </c>
    </row>
    <row r="27" spans="1:29" ht="15">
      <c r="A27" s="1630"/>
      <c r="B27" s="2413" t="s">
        <v>2121</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594"/>
      <c r="Q27" s="2833" t="str">
        <f t="shared" ref="Q27:Q47" si="11">B27</f>
        <v>楼层</v>
      </c>
      <c r="R27" s="1653" t="s">
        <v>25</v>
      </c>
      <c r="S27" s="1654">
        <f>F27</f>
        <v>100</v>
      </c>
      <c r="T27" s="1653" t="s">
        <v>25</v>
      </c>
      <c r="U27" s="1654">
        <f>H27</f>
        <v>100</v>
      </c>
      <c r="V27" s="1653" t="s">
        <v>25</v>
      </c>
      <c r="W27" s="1654">
        <f>J27</f>
        <v>100</v>
      </c>
      <c r="X27" s="2002"/>
      <c r="Y27" s="3594"/>
      <c r="Z27" s="2006" t="str">
        <f>Q27</f>
        <v>楼层</v>
      </c>
      <c r="AA27" s="1997">
        <f t="shared" si="3"/>
        <v>1</v>
      </c>
      <c r="AB27" s="1997">
        <f t="shared" si="4"/>
        <v>1</v>
      </c>
      <c r="AC27" s="1997">
        <f t="shared" si="5"/>
        <v>1</v>
      </c>
    </row>
    <row r="28" spans="1:29" s="1612" customFormat="1" ht="15">
      <c r="A28" s="1633"/>
      <c r="B28" s="2412" t="s">
        <v>2149</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594"/>
      <c r="Q28" s="2832" t="str">
        <f t="shared" si="11"/>
        <v>朝向</v>
      </c>
      <c r="R28" s="1608" t="s">
        <v>25</v>
      </c>
      <c r="S28" s="1609">
        <f>F28</f>
        <v>100</v>
      </c>
      <c r="T28" s="1608" t="s">
        <v>25</v>
      </c>
      <c r="U28" s="1609">
        <f>H28</f>
        <v>100</v>
      </c>
      <c r="V28" s="1608" t="s">
        <v>25</v>
      </c>
      <c r="W28" s="1609">
        <f>J28</f>
        <v>100</v>
      </c>
      <c r="X28" s="1610"/>
      <c r="Y28" s="3594"/>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594"/>
      <c r="Q29" s="2833">
        <f t="shared" si="11"/>
        <v>111</v>
      </c>
      <c r="R29" s="1653" t="s">
        <v>25</v>
      </c>
      <c r="S29" s="1654">
        <f t="shared" ref="S29:S47" si="12">F29</f>
        <v>100</v>
      </c>
      <c r="T29" s="1653" t="s">
        <v>25</v>
      </c>
      <c r="U29" s="1654">
        <f t="shared" ref="U29:U47" si="13">H29</f>
        <v>100</v>
      </c>
      <c r="V29" s="1653" t="s">
        <v>25</v>
      </c>
      <c r="W29" s="1654">
        <f t="shared" ref="W29:W47" si="14">J29</f>
        <v>100</v>
      </c>
      <c r="X29" s="2002"/>
      <c r="Y29" s="3594"/>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594"/>
      <c r="Q30" s="2833">
        <f t="shared" si="11"/>
        <v>111</v>
      </c>
      <c r="R30" s="1653" t="s">
        <v>25</v>
      </c>
      <c r="S30" s="1654">
        <f t="shared" si="12"/>
        <v>100</v>
      </c>
      <c r="T30" s="1653" t="s">
        <v>25</v>
      </c>
      <c r="U30" s="1654">
        <f t="shared" si="13"/>
        <v>100</v>
      </c>
      <c r="V30" s="1653" t="s">
        <v>25</v>
      </c>
      <c r="W30" s="1654">
        <f t="shared" si="14"/>
        <v>100</v>
      </c>
      <c r="X30" s="2002"/>
      <c r="Y30" s="3594"/>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594"/>
      <c r="Q31" s="2833">
        <f t="shared" si="11"/>
        <v>111</v>
      </c>
      <c r="R31" s="1653" t="s">
        <v>25</v>
      </c>
      <c r="S31" s="1654">
        <f t="shared" si="12"/>
        <v>100</v>
      </c>
      <c r="T31" s="1653" t="s">
        <v>25</v>
      </c>
      <c r="U31" s="1654">
        <f t="shared" si="13"/>
        <v>100</v>
      </c>
      <c r="V31" s="1653" t="s">
        <v>25</v>
      </c>
      <c r="W31" s="1654">
        <f t="shared" si="14"/>
        <v>100</v>
      </c>
      <c r="X31" s="2002"/>
      <c r="Y31" s="3594"/>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594"/>
      <c r="Q32" s="2833">
        <f t="shared" si="11"/>
        <v>111</v>
      </c>
      <c r="R32" s="1653" t="s">
        <v>25</v>
      </c>
      <c r="S32" s="1654">
        <f t="shared" si="12"/>
        <v>100</v>
      </c>
      <c r="T32" s="1653" t="s">
        <v>25</v>
      </c>
      <c r="U32" s="1654">
        <f t="shared" si="13"/>
        <v>100</v>
      </c>
      <c r="V32" s="1653" t="s">
        <v>25</v>
      </c>
      <c r="W32" s="1654">
        <f t="shared" si="14"/>
        <v>100</v>
      </c>
      <c r="X32" s="2002"/>
      <c r="Y32" s="3594"/>
      <c r="Z32" s="2006">
        <f t="shared" si="15"/>
        <v>111</v>
      </c>
      <c r="AA32" s="1997">
        <f t="shared" si="3"/>
        <v>1</v>
      </c>
      <c r="AB32" s="1997">
        <f t="shared" si="4"/>
        <v>1</v>
      </c>
      <c r="AC32" s="1997">
        <f t="shared" si="5"/>
        <v>1</v>
      </c>
    </row>
    <row r="33" spans="1:29" ht="15">
      <c r="A33" s="1645" t="s">
        <v>2034</v>
      </c>
      <c r="B33" s="1615" t="s">
        <v>2150</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35" t="s">
        <v>2036</v>
      </c>
      <c r="Q33" s="2833" t="str">
        <f t="shared" si="11"/>
        <v>建筑类型</v>
      </c>
      <c r="R33" s="1653" t="s">
        <v>25</v>
      </c>
      <c r="S33" s="1654">
        <f t="shared" si="12"/>
        <v>100</v>
      </c>
      <c r="T33" s="1653" t="s">
        <v>25</v>
      </c>
      <c r="U33" s="1654">
        <f t="shared" si="13"/>
        <v>100</v>
      </c>
      <c r="V33" s="1653" t="s">
        <v>25</v>
      </c>
      <c r="W33" s="1654">
        <f t="shared" si="14"/>
        <v>100</v>
      </c>
      <c r="X33" s="2002"/>
      <c r="Y33" s="3598" t="s">
        <v>2036</v>
      </c>
      <c r="Z33" s="2006" t="str">
        <f t="shared" si="15"/>
        <v>建筑类型</v>
      </c>
      <c r="AA33" s="1997">
        <f t="shared" si="3"/>
        <v>1</v>
      </c>
      <c r="AB33" s="1997">
        <f t="shared" si="4"/>
        <v>1</v>
      </c>
      <c r="AC33" s="1997">
        <f t="shared" si="5"/>
        <v>1</v>
      </c>
    </row>
    <row r="34" spans="1:29" s="1699" customFormat="1" ht="15">
      <c r="A34" s="1692"/>
      <c r="B34" s="1623" t="s">
        <v>2037</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598"/>
      <c r="Q34" s="1694" t="str">
        <f t="shared" si="11"/>
        <v>项目建筑规模</v>
      </c>
      <c r="R34" s="1695" t="s">
        <v>25</v>
      </c>
      <c r="S34" s="1696" t="e">
        <f t="shared" si="12"/>
        <v>#N/A</v>
      </c>
      <c r="T34" s="1695" t="s">
        <v>25</v>
      </c>
      <c r="U34" s="1696" t="e">
        <f t="shared" si="13"/>
        <v>#N/A</v>
      </c>
      <c r="V34" s="1695" t="s">
        <v>25</v>
      </c>
      <c r="W34" s="1696" t="e">
        <f t="shared" si="14"/>
        <v>#N/A</v>
      </c>
      <c r="X34" s="1697"/>
      <c r="Y34" s="3598"/>
      <c r="Z34" s="1698" t="str">
        <f t="shared" si="15"/>
        <v>项目建筑规模</v>
      </c>
      <c r="AA34" s="1997" t="e">
        <f t="shared" si="3"/>
        <v>#N/A</v>
      </c>
      <c r="AB34" s="1997" t="e">
        <f t="shared" si="4"/>
        <v>#N/A</v>
      </c>
      <c r="AC34" s="1997" t="e">
        <f t="shared" si="5"/>
        <v>#N/A</v>
      </c>
    </row>
    <row r="35" spans="1:29" ht="15">
      <c r="A35" s="1700"/>
      <c r="B35" s="1623" t="s">
        <v>2038</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598"/>
      <c r="Q35" s="2833" t="str">
        <f t="shared" si="11"/>
        <v>建筑结构</v>
      </c>
      <c r="R35" s="1653" t="s">
        <v>25</v>
      </c>
      <c r="S35" s="1654">
        <f t="shared" si="12"/>
        <v>100</v>
      </c>
      <c r="T35" s="1653" t="s">
        <v>25</v>
      </c>
      <c r="U35" s="1654">
        <f t="shared" si="13"/>
        <v>100</v>
      </c>
      <c r="V35" s="1653" t="s">
        <v>25</v>
      </c>
      <c r="W35" s="1654">
        <f t="shared" si="14"/>
        <v>100</v>
      </c>
      <c r="X35" s="2002"/>
      <c r="Y35" s="3598"/>
      <c r="Z35" s="2006" t="str">
        <f t="shared" si="15"/>
        <v>建筑结构</v>
      </c>
      <c r="AA35" s="1997">
        <f t="shared" si="3"/>
        <v>1</v>
      </c>
      <c r="AB35" s="1997">
        <f t="shared" si="4"/>
        <v>1</v>
      </c>
      <c r="AC35" s="1997">
        <f t="shared" si="5"/>
        <v>1</v>
      </c>
    </row>
    <row r="36" spans="1:29" ht="15">
      <c r="A36" s="1700"/>
      <c r="B36" s="1623" t="s">
        <v>2123</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598"/>
      <c r="Q36" s="2833" t="str">
        <f t="shared" si="11"/>
        <v>公共部分装修</v>
      </c>
      <c r="R36" s="1653" t="s">
        <v>25</v>
      </c>
      <c r="S36" s="1654">
        <f t="shared" si="12"/>
        <v>100</v>
      </c>
      <c r="T36" s="1653" t="s">
        <v>25</v>
      </c>
      <c r="U36" s="1654">
        <f t="shared" si="13"/>
        <v>100</v>
      </c>
      <c r="V36" s="1653" t="s">
        <v>25</v>
      </c>
      <c r="W36" s="1654">
        <f t="shared" si="14"/>
        <v>100</v>
      </c>
      <c r="X36" s="2002"/>
      <c r="Y36" s="3598"/>
      <c r="Z36" s="2006" t="str">
        <f t="shared" si="15"/>
        <v>公共部分装修</v>
      </c>
      <c r="AA36" s="1997">
        <f t="shared" si="3"/>
        <v>1</v>
      </c>
      <c r="AB36" s="1997">
        <f t="shared" si="4"/>
        <v>1</v>
      </c>
      <c r="AC36" s="1997">
        <f t="shared" si="5"/>
        <v>1</v>
      </c>
    </row>
    <row r="37" spans="1:29" ht="15">
      <c r="A37" s="1700"/>
      <c r="B37" s="1623" t="s">
        <v>2124</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598"/>
      <c r="Q37" s="2833" t="str">
        <f t="shared" si="11"/>
        <v>成新度</v>
      </c>
      <c r="R37" s="1653" t="s">
        <v>25</v>
      </c>
      <c r="S37" s="1654" t="e">
        <f t="shared" si="12"/>
        <v>#N/A</v>
      </c>
      <c r="T37" s="1653" t="s">
        <v>25</v>
      </c>
      <c r="U37" s="1654" t="e">
        <f t="shared" si="13"/>
        <v>#N/A</v>
      </c>
      <c r="V37" s="1653" t="s">
        <v>25</v>
      </c>
      <c r="W37" s="1654" t="e">
        <f t="shared" si="14"/>
        <v>#N/A</v>
      </c>
      <c r="X37" s="2002"/>
      <c r="Y37" s="3598"/>
      <c r="Z37" s="2006" t="str">
        <f t="shared" si="15"/>
        <v>成新度</v>
      </c>
      <c r="AA37" s="1997" t="e">
        <f t="shared" si="3"/>
        <v>#N/A</v>
      </c>
      <c r="AB37" s="1997" t="e">
        <f t="shared" si="4"/>
        <v>#N/A</v>
      </c>
      <c r="AC37" s="1997" t="e">
        <f t="shared" si="5"/>
        <v>#N/A</v>
      </c>
    </row>
    <row r="38" spans="1:29" s="1612" customFormat="1" ht="15">
      <c r="A38" s="1703"/>
      <c r="B38" s="1623" t="s">
        <v>2151</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598"/>
      <c r="Q38" s="2832" t="str">
        <f t="shared" si="11"/>
        <v>写字楼等级</v>
      </c>
      <c r="R38" s="1608" t="s">
        <v>25</v>
      </c>
      <c r="S38" s="1609">
        <f t="shared" si="12"/>
        <v>100</v>
      </c>
      <c r="T38" s="1608" t="s">
        <v>25</v>
      </c>
      <c r="U38" s="1609">
        <f t="shared" si="13"/>
        <v>100</v>
      </c>
      <c r="V38" s="1608" t="s">
        <v>25</v>
      </c>
      <c r="W38" s="1609">
        <f t="shared" si="14"/>
        <v>100</v>
      </c>
      <c r="X38" s="1610"/>
      <c r="Y38" s="3598"/>
      <c r="Z38" s="1621" t="str">
        <f t="shared" si="15"/>
        <v>写字楼等级</v>
      </c>
      <c r="AA38" s="1611">
        <f t="shared" si="3"/>
        <v>1</v>
      </c>
      <c r="AB38" s="1611">
        <f t="shared" si="4"/>
        <v>1</v>
      </c>
      <c r="AC38" s="1611">
        <f t="shared" si="5"/>
        <v>1</v>
      </c>
    </row>
    <row r="39" spans="1:29" ht="15">
      <c r="A39" s="1700"/>
      <c r="B39" s="1623" t="s">
        <v>2152</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598" t="s">
        <v>2036</v>
      </c>
      <c r="Q39" s="2833" t="str">
        <f t="shared" si="11"/>
        <v>物业管理</v>
      </c>
      <c r="R39" s="1653" t="s">
        <v>25</v>
      </c>
      <c r="S39" s="1654">
        <f t="shared" si="12"/>
        <v>100</v>
      </c>
      <c r="T39" s="1653" t="s">
        <v>25</v>
      </c>
      <c r="U39" s="1654">
        <f t="shared" si="13"/>
        <v>100</v>
      </c>
      <c r="V39" s="1653" t="s">
        <v>25</v>
      </c>
      <c r="W39" s="1654">
        <f t="shared" si="14"/>
        <v>100</v>
      </c>
      <c r="X39" s="2002"/>
      <c r="Y39" s="3598" t="s">
        <v>2036</v>
      </c>
      <c r="Z39" s="2006" t="str">
        <f t="shared" si="15"/>
        <v>物业管理</v>
      </c>
      <c r="AA39" s="1997">
        <f t="shared" si="3"/>
        <v>1</v>
      </c>
      <c r="AB39" s="1997">
        <f t="shared" si="4"/>
        <v>1</v>
      </c>
      <c r="AC39" s="1997">
        <f t="shared" si="5"/>
        <v>1</v>
      </c>
    </row>
    <row r="40" spans="1:29" ht="15">
      <c r="A40" s="1700"/>
      <c r="B40" s="1623" t="s">
        <v>2125</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598"/>
      <c r="Q40" s="2833" t="str">
        <f t="shared" si="11"/>
        <v>市政基础设施</v>
      </c>
      <c r="R40" s="1653" t="s">
        <v>25</v>
      </c>
      <c r="S40" s="1654">
        <f t="shared" si="12"/>
        <v>100</v>
      </c>
      <c r="T40" s="1653" t="s">
        <v>25</v>
      </c>
      <c r="U40" s="1654">
        <f t="shared" si="13"/>
        <v>100</v>
      </c>
      <c r="V40" s="1653" t="s">
        <v>25</v>
      </c>
      <c r="W40" s="1654">
        <f t="shared" si="14"/>
        <v>100</v>
      </c>
      <c r="X40" s="2002"/>
      <c r="Y40" s="3598"/>
      <c r="Z40" s="2006" t="str">
        <f t="shared" si="15"/>
        <v>市政基础设施</v>
      </c>
      <c r="AA40" s="1997">
        <f t="shared" si="3"/>
        <v>1</v>
      </c>
      <c r="AB40" s="1997">
        <f t="shared" si="4"/>
        <v>1</v>
      </c>
      <c r="AC40" s="1997">
        <f t="shared" si="5"/>
        <v>1</v>
      </c>
    </row>
    <row r="41" spans="1:29" ht="15">
      <c r="A41" s="1700"/>
      <c r="B41" s="1623" t="s">
        <v>2127</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598"/>
      <c r="Q41" s="2833" t="str">
        <f t="shared" si="11"/>
        <v>层高</v>
      </c>
      <c r="R41" s="1653" t="s">
        <v>25</v>
      </c>
      <c r="S41" s="1654">
        <f t="shared" si="12"/>
        <v>100</v>
      </c>
      <c r="T41" s="1653" t="s">
        <v>25</v>
      </c>
      <c r="U41" s="1654">
        <f t="shared" si="13"/>
        <v>100</v>
      </c>
      <c r="V41" s="1653" t="s">
        <v>25</v>
      </c>
      <c r="W41" s="1654">
        <f t="shared" si="14"/>
        <v>100</v>
      </c>
      <c r="X41" s="2002"/>
      <c r="Y41" s="3598"/>
      <c r="Z41" s="2006" t="str">
        <f t="shared" si="15"/>
        <v>层高</v>
      </c>
      <c r="AA41" s="1997">
        <f t="shared" si="3"/>
        <v>1</v>
      </c>
      <c r="AB41" s="1997">
        <f t="shared" si="4"/>
        <v>1</v>
      </c>
      <c r="AC41" s="1997">
        <f t="shared" si="5"/>
        <v>1</v>
      </c>
    </row>
    <row r="42" spans="1:29" s="1699" customFormat="1" ht="15">
      <c r="A42" s="1692"/>
      <c r="B42" s="1998" t="s">
        <v>2153</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598"/>
      <c r="Q42" s="1694" t="str">
        <f t="shared" si="11"/>
        <v>单套建筑面积</v>
      </c>
      <c r="R42" s="1695" t="s">
        <v>25</v>
      </c>
      <c r="S42" s="1696">
        <f t="shared" si="12"/>
        <v>100</v>
      </c>
      <c r="T42" s="1695" t="s">
        <v>25</v>
      </c>
      <c r="U42" s="1696">
        <f t="shared" si="13"/>
        <v>100</v>
      </c>
      <c r="V42" s="1695" t="s">
        <v>25</v>
      </c>
      <c r="W42" s="1696">
        <f t="shared" si="14"/>
        <v>100</v>
      </c>
      <c r="X42" s="1697"/>
      <c r="Y42" s="3598"/>
      <c r="Z42" s="1698" t="str">
        <f t="shared" si="15"/>
        <v>单套建筑面积</v>
      </c>
      <c r="AA42" s="1997">
        <f t="shared" si="3"/>
        <v>1</v>
      </c>
      <c r="AB42" s="1997">
        <f t="shared" si="4"/>
        <v>1</v>
      </c>
      <c r="AC42" s="1997">
        <f t="shared" si="5"/>
        <v>1</v>
      </c>
    </row>
    <row r="43" spans="1:29" ht="15">
      <c r="A43" s="1700"/>
      <c r="B43" s="1623" t="s">
        <v>2130</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598"/>
      <c r="Q43" s="2833" t="str">
        <f t="shared" si="11"/>
        <v>内部装修</v>
      </c>
      <c r="R43" s="1653" t="s">
        <v>25</v>
      </c>
      <c r="S43" s="1654">
        <f t="shared" si="12"/>
        <v>100</v>
      </c>
      <c r="T43" s="1653" t="s">
        <v>25</v>
      </c>
      <c r="U43" s="1654">
        <f t="shared" si="13"/>
        <v>100</v>
      </c>
      <c r="V43" s="1653" t="s">
        <v>25</v>
      </c>
      <c r="W43" s="1654">
        <f t="shared" si="14"/>
        <v>100</v>
      </c>
      <c r="X43" s="2002"/>
      <c r="Y43" s="3598"/>
      <c r="Z43" s="2006" t="str">
        <f t="shared" si="15"/>
        <v>内部装修</v>
      </c>
      <c r="AA43" s="1997">
        <f t="shared" si="3"/>
        <v>1</v>
      </c>
      <c r="AB43" s="1997">
        <f t="shared" si="4"/>
        <v>1</v>
      </c>
      <c r="AC43" s="1997">
        <f t="shared" si="5"/>
        <v>1</v>
      </c>
    </row>
    <row r="44" spans="1:29" ht="15">
      <c r="A44" s="1700"/>
      <c r="B44" s="1623" t="s">
        <v>2047</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598"/>
      <c r="Q44" s="2833" t="str">
        <f t="shared" si="11"/>
        <v>内部装修维护情况</v>
      </c>
      <c r="R44" s="1653" t="s">
        <v>25</v>
      </c>
      <c r="S44" s="1654">
        <f t="shared" si="12"/>
        <v>100</v>
      </c>
      <c r="T44" s="1653" t="s">
        <v>25</v>
      </c>
      <c r="U44" s="1654">
        <f t="shared" si="13"/>
        <v>100</v>
      </c>
      <c r="V44" s="1653" t="s">
        <v>25</v>
      </c>
      <c r="W44" s="1654">
        <f t="shared" si="14"/>
        <v>100</v>
      </c>
      <c r="X44" s="2002"/>
      <c r="Y44" s="3598"/>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598"/>
      <c r="Q45" s="2832">
        <f t="shared" si="11"/>
        <v>111</v>
      </c>
      <c r="R45" s="1608" t="s">
        <v>25</v>
      </c>
      <c r="S45" s="1609">
        <f t="shared" si="12"/>
        <v>100</v>
      </c>
      <c r="T45" s="1608" t="s">
        <v>25</v>
      </c>
      <c r="U45" s="1609">
        <f t="shared" si="13"/>
        <v>100</v>
      </c>
      <c r="V45" s="1608" t="s">
        <v>25</v>
      </c>
      <c r="W45" s="1609">
        <f t="shared" si="14"/>
        <v>100</v>
      </c>
      <c r="X45" s="1610"/>
      <c r="Y45" s="3598"/>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598"/>
      <c r="Q46" s="2833">
        <f t="shared" si="11"/>
        <v>111</v>
      </c>
      <c r="R46" s="1653" t="s">
        <v>25</v>
      </c>
      <c r="S46" s="1654">
        <f t="shared" si="12"/>
        <v>100</v>
      </c>
      <c r="T46" s="1653" t="s">
        <v>25</v>
      </c>
      <c r="U46" s="1654">
        <f t="shared" si="13"/>
        <v>100</v>
      </c>
      <c r="V46" s="1653" t="s">
        <v>25</v>
      </c>
      <c r="W46" s="1654">
        <f t="shared" si="14"/>
        <v>100</v>
      </c>
      <c r="X46" s="2002"/>
      <c r="Y46" s="3598"/>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599"/>
      <c r="Q47" s="2833">
        <f t="shared" si="11"/>
        <v>111</v>
      </c>
      <c r="R47" s="1653" t="s">
        <v>25</v>
      </c>
      <c r="S47" s="1654">
        <f t="shared" si="12"/>
        <v>100</v>
      </c>
      <c r="T47" s="1653" t="s">
        <v>25</v>
      </c>
      <c r="U47" s="1654">
        <f t="shared" si="13"/>
        <v>100</v>
      </c>
      <c r="V47" s="1653" t="s">
        <v>25</v>
      </c>
      <c r="W47" s="1654">
        <f t="shared" si="14"/>
        <v>100</v>
      </c>
      <c r="X47" s="2002"/>
      <c r="Y47" s="3599"/>
      <c r="Z47" s="2006">
        <f t="shared" si="15"/>
        <v>111</v>
      </c>
      <c r="AA47" s="1997">
        <f t="shared" si="3"/>
        <v>1</v>
      </c>
      <c r="AB47" s="1997">
        <f t="shared" si="4"/>
        <v>1</v>
      </c>
      <c r="AC47" s="1997">
        <f t="shared" si="5"/>
        <v>1</v>
      </c>
    </row>
    <row r="48" spans="1:29" ht="15">
      <c r="A48" s="1709" t="s">
        <v>2048</v>
      </c>
      <c r="B48" s="1710"/>
      <c r="C48" s="1711" t="s">
        <v>1</v>
      </c>
      <c r="D48" s="1712"/>
      <c r="E48" s="1713"/>
      <c r="F48" s="1714"/>
      <c r="G48" s="1715"/>
      <c r="H48" s="1716"/>
      <c r="I48" s="1713"/>
      <c r="J48" s="1716"/>
      <c r="K48" s="1941"/>
      <c r="L48" s="2920"/>
      <c r="M48" s="2915"/>
      <c r="N48" s="2915"/>
      <c r="O48" s="2915"/>
      <c r="P48" s="3600" t="str">
        <f>A48</f>
        <v>成交单价（元/平方米）</v>
      </c>
      <c r="Q48" s="3600"/>
      <c r="R48" s="3601">
        <f>E48</f>
        <v>0</v>
      </c>
      <c r="S48" s="3601"/>
      <c r="T48" s="3601">
        <f>G48</f>
        <v>0</v>
      </c>
      <c r="U48" s="3601"/>
      <c r="V48" s="3601">
        <f>I48</f>
        <v>0</v>
      </c>
      <c r="W48" s="3601"/>
      <c r="X48" s="1719"/>
      <c r="Y48" s="2001"/>
      <c r="Z48" s="1719"/>
      <c r="AA48" s="1719"/>
      <c r="AB48" s="1719"/>
      <c r="AC48" s="1719"/>
    </row>
    <row r="49" spans="1:29" ht="15.75" thickBot="1">
      <c r="A49" s="1721" t="s">
        <v>2131</v>
      </c>
      <c r="B49" s="1722"/>
      <c r="C49" s="1723" t="e">
        <f>R50</f>
        <v>#DIV/0!</v>
      </c>
      <c r="D49" s="1724" t="s">
        <v>2502</v>
      </c>
      <c r="E49" s="1725" t="e">
        <f>R49</f>
        <v>#DIV/0!</v>
      </c>
      <c r="F49" s="1726"/>
      <c r="G49" s="1723" t="e">
        <f>T49</f>
        <v>#DIV/0!</v>
      </c>
      <c r="H49" s="1726"/>
      <c r="I49" s="1725" t="e">
        <f>V49</f>
        <v>#DIV/0!</v>
      </c>
      <c r="J49" s="1726"/>
      <c r="K49" s="2428">
        <f>F49+H49+J49</f>
        <v>0</v>
      </c>
      <c r="L49" s="2920"/>
      <c r="M49" s="2915"/>
      <c r="N49" s="2915"/>
      <c r="O49" s="2915"/>
      <c r="P49" s="3600" t="str">
        <f>A49</f>
        <v>比较价值（元/平方米）</v>
      </c>
      <c r="Q49" s="3600"/>
      <c r="R49" s="3601" t="e">
        <f>IF(E1="售价",ROUND(PRODUCT(R48,AA7:AA47),0),ROUND(PRODUCT(R48,AA7:AA47),1))</f>
        <v>#DIV/0!</v>
      </c>
      <c r="S49" s="3601"/>
      <c r="T49" s="3601" t="e">
        <f>IF(E1="售价",ROUND(PRODUCT(T48,AB7:AB47),0),ROUND(PRODUCT(T48,AB7:AB47),1))</f>
        <v>#DIV/0!</v>
      </c>
      <c r="U49" s="3601"/>
      <c r="V49" s="3601" t="e">
        <f>IF(E1="售价",ROUND(PRODUCT(V48,AC7:AC47),0),ROUND(PRODUCT(V48,AC7:AC47),1))</f>
        <v>#DIV/0!</v>
      </c>
      <c r="W49" s="3601"/>
      <c r="X49" s="1719"/>
      <c r="Y49" s="1719"/>
      <c r="Z49" s="1719"/>
      <c r="AA49" s="1719"/>
      <c r="AB49" s="1719"/>
      <c r="AC49" s="1719"/>
    </row>
    <row r="50" spans="1:29" ht="15.75" thickBot="1">
      <c r="A50" s="1727" t="s">
        <v>2154</v>
      </c>
      <c r="B50" s="1728"/>
      <c r="C50" s="1730" t="e">
        <f>R50</f>
        <v>#DIV/0!</v>
      </c>
      <c r="D50" s="1730"/>
      <c r="E50" s="1730"/>
      <c r="F50" s="1730"/>
      <c r="G50" s="1730"/>
      <c r="H50" s="1730"/>
      <c r="I50" s="1730"/>
      <c r="J50" s="1730"/>
      <c r="K50" s="1946"/>
      <c r="L50" s="2920"/>
      <c r="M50" s="2915"/>
      <c r="N50" s="2915"/>
      <c r="O50" s="2915"/>
      <c r="P50" s="3602" t="str">
        <f>A50</f>
        <v>估价对象XX用房的比较价值（楼面单价，元/平方米）</v>
      </c>
      <c r="Q50" s="3603"/>
      <c r="R50" s="3604" t="e">
        <f>IF(E1="售价",ROUND(IF(D49="简单平均",AVERAGE(R49:V49),R49*F49+T49*H49+V49*J49),0),ROUND(IF(D49="简单平均",AVERAGE(R49:V49),R49*F49+T49*H49+V49*J49),1))</f>
        <v>#DIV/0!</v>
      </c>
      <c r="S50" s="3604"/>
      <c r="T50" s="3604"/>
      <c r="U50" s="3604"/>
      <c r="V50" s="3604"/>
      <c r="W50" s="3604"/>
      <c r="X50" s="1719"/>
      <c r="Y50" s="1719"/>
      <c r="Z50" s="1719"/>
      <c r="AA50" s="1719"/>
      <c r="AB50" s="1719"/>
      <c r="AC50" s="1719"/>
    </row>
    <row r="51" spans="1:29">
      <c r="G51" s="2924"/>
    </row>
    <row r="53" spans="1:29" ht="13.5" customHeight="1">
      <c r="C53" s="383" t="s">
        <v>2133</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2134</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2135</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2136</v>
      </c>
      <c r="B58" s="1719"/>
      <c r="C58" s="1745"/>
      <c r="D58" s="1745"/>
      <c r="E58" s="1745"/>
      <c r="F58" s="1745"/>
      <c r="G58" s="1745"/>
      <c r="H58" s="1745"/>
      <c r="I58" s="1745"/>
      <c r="J58" s="1745"/>
      <c r="K58" s="1746"/>
      <c r="L58" s="1747"/>
      <c r="M58" s="1745"/>
      <c r="N58" s="2923"/>
      <c r="O58" s="2923"/>
      <c r="P58" s="1973"/>
      <c r="Q58" s="1749"/>
    </row>
    <row r="59" spans="1:29" s="1755" customFormat="1" ht="15">
      <c r="A59" s="1750" t="s">
        <v>2018</v>
      </c>
      <c r="B59" s="1751"/>
      <c r="C59" s="1752" t="str">
        <f>YEAR(C7)&amp;"-"&amp;MONTH(C7)</f>
        <v>2022-8</v>
      </c>
      <c r="D59" s="1753">
        <f>EDATE(C59,-1)</f>
        <v>44743</v>
      </c>
      <c r="E59" s="1753">
        <f t="shared" ref="E59:O59" si="16">EDATE(D59,-1)</f>
        <v>44713</v>
      </c>
      <c r="F59" s="1753">
        <f t="shared" si="16"/>
        <v>44682</v>
      </c>
      <c r="G59" s="1753">
        <f t="shared" si="16"/>
        <v>44652</v>
      </c>
      <c r="H59" s="1753">
        <f t="shared" si="16"/>
        <v>44621</v>
      </c>
      <c r="I59" s="1753">
        <f t="shared" si="16"/>
        <v>44593</v>
      </c>
      <c r="J59" s="1753">
        <f t="shared" si="16"/>
        <v>44562</v>
      </c>
      <c r="K59" s="1753">
        <f t="shared" si="16"/>
        <v>44531</v>
      </c>
      <c r="L59" s="1753">
        <f t="shared" si="16"/>
        <v>44501</v>
      </c>
      <c r="M59" s="1753">
        <f t="shared" si="16"/>
        <v>44470</v>
      </c>
      <c r="N59" s="1753">
        <f t="shared" si="16"/>
        <v>44440</v>
      </c>
      <c r="O59" s="1753">
        <f t="shared" si="16"/>
        <v>44409</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2056</v>
      </c>
      <c r="B61" s="1763"/>
      <c r="C61" s="1764"/>
      <c r="D61" s="1765"/>
      <c r="E61" s="1765"/>
      <c r="F61" s="1765"/>
      <c r="G61" s="1765"/>
      <c r="H61" s="1765"/>
      <c r="I61" s="1765"/>
      <c r="J61" s="1765"/>
      <c r="K61" s="1765"/>
      <c r="L61" s="1765"/>
      <c r="M61" s="1766"/>
      <c r="N61" s="1765"/>
      <c r="O61" s="2422"/>
      <c r="P61" s="1749"/>
      <c r="Q61" s="1749"/>
    </row>
    <row r="62" spans="1:29" s="1612" customFormat="1" ht="15">
      <c r="A62" s="1767" t="s">
        <v>2020</v>
      </c>
      <c r="B62" s="1757"/>
      <c r="C62" s="1768" t="s">
        <v>2021</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2059</v>
      </c>
      <c r="B64" s="1775" t="s">
        <v>2024</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2027</v>
      </c>
      <c r="C66" s="1787" t="s">
        <v>2060</v>
      </c>
      <c r="D66" s="1787" t="s">
        <v>2061</v>
      </c>
      <c r="E66" s="1787" t="s">
        <v>2062</v>
      </c>
      <c r="F66" s="1787" t="s">
        <v>2063</v>
      </c>
      <c r="G66" s="1787" t="s">
        <v>2064</v>
      </c>
      <c r="H66" s="1787" t="s">
        <v>2065</v>
      </c>
      <c r="I66" s="1787" t="s">
        <v>2066</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2028</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2029</v>
      </c>
      <c r="B77" s="1775" t="s">
        <v>2155</v>
      </c>
      <c r="C77" s="1813" t="s">
        <v>2068</v>
      </c>
      <c r="D77" s="1813" t="s">
        <v>2069</v>
      </c>
      <c r="E77" s="1813" t="s">
        <v>2070</v>
      </c>
      <c r="F77" s="1813" t="s">
        <v>2071</v>
      </c>
      <c r="G77" s="1813" t="s">
        <v>2072</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2073</v>
      </c>
      <c r="C79" s="579" t="s">
        <v>2068</v>
      </c>
      <c r="D79" s="579" t="s">
        <v>2069</v>
      </c>
      <c r="E79" s="579" t="s">
        <v>2070</v>
      </c>
      <c r="F79" s="579" t="s">
        <v>2071</v>
      </c>
      <c r="G79" s="579" t="s">
        <v>2072</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2074</v>
      </c>
      <c r="C81" s="579" t="s">
        <v>2068</v>
      </c>
      <c r="D81" s="579" t="s">
        <v>2069</v>
      </c>
      <c r="E81" s="579" t="s">
        <v>2070</v>
      </c>
      <c r="F81" s="579" t="s">
        <v>2071</v>
      </c>
      <c r="G81" s="579" t="s">
        <v>2072</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2117</v>
      </c>
      <c r="C83" s="1787" t="s">
        <v>2075</v>
      </c>
      <c r="D83" s="1787" t="s">
        <v>2076</v>
      </c>
      <c r="E83" s="1787" t="s">
        <v>2077</v>
      </c>
      <c r="F83" s="1787" t="s">
        <v>2078</v>
      </c>
      <c r="G83" s="1787" t="s">
        <v>2079</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2156</v>
      </c>
      <c r="C85" s="579" t="s">
        <v>2068</v>
      </c>
      <c r="D85" s="579" t="s">
        <v>2069</v>
      </c>
      <c r="E85" s="579" t="s">
        <v>2070</v>
      </c>
      <c r="F85" s="579" t="s">
        <v>2071</v>
      </c>
      <c r="G85" s="579" t="s">
        <v>2072</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2157</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2034</v>
      </c>
      <c r="B101" s="1775" t="s">
        <v>2083</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2085</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2087</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2158</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2089</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2090</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2159</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2141</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2092</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2093</v>
      </c>
      <c r="C125" s="579" t="s">
        <v>2068</v>
      </c>
      <c r="D125" s="579" t="s">
        <v>2069</v>
      </c>
      <c r="E125" s="579" t="s">
        <v>2070</v>
      </c>
      <c r="F125" s="579" t="s">
        <v>2071</v>
      </c>
      <c r="G125" s="579" t="s">
        <v>2072</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2001</v>
      </c>
      <c r="B1" s="1154" t="s">
        <v>2160</v>
      </c>
      <c r="C1" s="1146"/>
      <c r="D1" s="1159"/>
      <c r="E1" s="1486"/>
      <c r="F1" s="1160" t="s">
        <v>2003</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4"/>
      <c r="Q2" s="624"/>
      <c r="R2" s="624"/>
      <c r="S2" s="624"/>
      <c r="T2" s="624"/>
      <c r="U2" s="624"/>
      <c r="V2" s="624"/>
      <c r="W2" s="624"/>
      <c r="X2" s="624"/>
      <c r="Y2" s="624"/>
      <c r="Z2" s="624"/>
      <c r="AA2" s="624"/>
      <c r="AB2" s="624"/>
      <c r="AC2" s="638"/>
    </row>
    <row r="3" spans="1:29" s="291" customFormat="1" ht="28.5" customHeight="1" thickBot="1">
      <c r="A3" s="83" t="s">
        <v>1675</v>
      </c>
      <c r="B3" s="495" t="e">
        <f ca="1">ROUND(IF(D2="——",C43,IF(C2="万元",B2*10000/D3,B2/D3)),0)</f>
        <v>#DIV/0!</v>
      </c>
      <c r="C3" s="293" t="s">
        <v>2004</v>
      </c>
      <c r="D3" s="292">
        <f>IF(C1="仅计算典型户型",'数据-取费表'!E5,'数据-取费表'!B5)</f>
        <v>400.8</v>
      </c>
      <c r="E3" s="2937"/>
      <c r="F3" s="2940"/>
      <c r="G3" s="2937"/>
      <c r="H3" s="2937"/>
      <c r="I3" s="2937"/>
      <c r="J3" s="2937"/>
      <c r="K3" s="2941"/>
      <c r="L3" s="2938"/>
      <c r="M3" s="2939"/>
      <c r="N3" s="2939"/>
      <c r="O3" s="2939"/>
      <c r="P3" s="624"/>
      <c r="Q3" s="624"/>
      <c r="R3" s="624"/>
      <c r="S3" s="624"/>
      <c r="T3" s="624"/>
      <c r="U3" s="624"/>
      <c r="V3" s="624"/>
      <c r="W3" s="624"/>
      <c r="X3" s="624"/>
      <c r="Y3" s="624"/>
      <c r="Z3" s="624"/>
      <c r="AA3" s="624"/>
      <c r="AB3" s="643"/>
      <c r="AC3" s="638"/>
    </row>
    <row r="4" spans="1:29" ht="15">
      <c r="A4" s="294" t="s">
        <v>2005</v>
      </c>
      <c r="B4" s="295"/>
      <c r="C4" s="3648" t="s">
        <v>2006</v>
      </c>
      <c r="D4" s="3649"/>
      <c r="E4" s="3650" t="s">
        <v>2007</v>
      </c>
      <c r="F4" s="3651"/>
      <c r="G4" s="3648" t="s">
        <v>2008</v>
      </c>
      <c r="H4" s="3649"/>
      <c r="I4" s="3648" t="s">
        <v>2009</v>
      </c>
      <c r="J4" s="3649"/>
      <c r="K4" s="496" t="s">
        <v>2010</v>
      </c>
      <c r="L4" s="2942"/>
      <c r="M4" s="2943"/>
      <c r="N4" s="2943"/>
      <c r="O4" s="2943"/>
      <c r="P4" s="3652" t="s">
        <v>2011</v>
      </c>
      <c r="Q4" s="3653"/>
      <c r="R4" s="3658" t="s">
        <v>2007</v>
      </c>
      <c r="S4" s="3659"/>
      <c r="T4" s="3658" t="s">
        <v>2008</v>
      </c>
      <c r="U4" s="3659"/>
      <c r="V4" s="3664" t="s">
        <v>2009</v>
      </c>
      <c r="W4" s="3664"/>
      <c r="X4" s="1262"/>
      <c r="Y4" s="3658" t="s">
        <v>2011</v>
      </c>
      <c r="Z4" s="3659"/>
      <c r="AA4" s="3645" t="s">
        <v>2007</v>
      </c>
      <c r="AB4" s="3646" t="s">
        <v>2008</v>
      </c>
      <c r="AC4" s="3645" t="s">
        <v>2009</v>
      </c>
    </row>
    <row r="5" spans="1:29" ht="15">
      <c r="A5" s="297"/>
      <c r="B5" s="298"/>
      <c r="C5" s="3641" t="s">
        <v>2012</v>
      </c>
      <c r="D5" s="3642"/>
      <c r="E5" s="3665" t="s">
        <v>2013</v>
      </c>
      <c r="F5" s="3666"/>
      <c r="G5" s="3641" t="s">
        <v>2014</v>
      </c>
      <c r="H5" s="3642"/>
      <c r="I5" s="3641" t="s">
        <v>2015</v>
      </c>
      <c r="J5" s="3642"/>
      <c r="K5" s="496"/>
      <c r="L5" s="2942"/>
      <c r="M5" s="2943"/>
      <c r="N5" s="2943"/>
      <c r="O5" s="2943"/>
      <c r="P5" s="3654"/>
      <c r="Q5" s="3655"/>
      <c r="R5" s="3660"/>
      <c r="S5" s="3661"/>
      <c r="T5" s="3660"/>
      <c r="U5" s="3661"/>
      <c r="V5" s="3664"/>
      <c r="W5" s="3664"/>
      <c r="X5" s="1262"/>
      <c r="Y5" s="3660"/>
      <c r="Z5" s="3661"/>
      <c r="AA5" s="3646"/>
      <c r="AB5" s="3646"/>
      <c r="AC5" s="3646"/>
    </row>
    <row r="6" spans="1:29" ht="15.75" thickBot="1">
      <c r="A6" s="299"/>
      <c r="B6" s="300"/>
      <c r="C6" s="3638" t="s">
        <v>2016</v>
      </c>
      <c r="D6" s="3639"/>
      <c r="E6" s="3636" t="s">
        <v>2016</v>
      </c>
      <c r="F6" s="3637"/>
      <c r="G6" s="3638" t="s">
        <v>2016</v>
      </c>
      <c r="H6" s="3639"/>
      <c r="I6" s="3638" t="s">
        <v>2016</v>
      </c>
      <c r="J6" s="3639"/>
      <c r="K6" s="496" t="s">
        <v>2017</v>
      </c>
      <c r="L6" s="2942"/>
      <c r="M6" s="2943"/>
      <c r="N6" s="2943"/>
      <c r="O6" s="2943"/>
      <c r="P6" s="3656"/>
      <c r="Q6" s="3657"/>
      <c r="R6" s="3660"/>
      <c r="S6" s="3661"/>
      <c r="T6" s="3662"/>
      <c r="U6" s="3663"/>
      <c r="V6" s="3664"/>
      <c r="W6" s="3664"/>
      <c r="X6" s="1262"/>
      <c r="Y6" s="3662"/>
      <c r="Z6" s="3663"/>
      <c r="AA6" s="3647"/>
      <c r="AB6" s="3647"/>
      <c r="AC6" s="3647"/>
    </row>
    <row r="7" spans="1:29" s="25" customFormat="1" ht="15.75" thickBot="1">
      <c r="A7" s="301" t="s">
        <v>2018</v>
      </c>
      <c r="B7" s="302"/>
      <c r="C7" s="303">
        <f>'数据-取费表'!B2</f>
        <v>44795</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3" t="s">
        <v>2019</v>
      </c>
      <c r="Q7" s="3667"/>
      <c r="R7" s="626" t="s">
        <v>25</v>
      </c>
      <c r="S7" s="627">
        <f t="shared" ref="S7:S15" si="0">F7</f>
        <v>0</v>
      </c>
      <c r="T7" s="626" t="s">
        <v>25</v>
      </c>
      <c r="U7" s="627">
        <f t="shared" ref="U7:U15" si="1">H7</f>
        <v>0</v>
      </c>
      <c r="V7" s="626" t="s">
        <v>25</v>
      </c>
      <c r="W7" s="627">
        <f t="shared" ref="W7:W15" si="2">J7</f>
        <v>0</v>
      </c>
      <c r="X7" s="628"/>
      <c r="Y7" s="3643" t="s">
        <v>2019</v>
      </c>
      <c r="Z7" s="3644"/>
      <c r="AA7" s="629" t="e">
        <f>D7/F7</f>
        <v>#DIV/0!</v>
      </c>
      <c r="AB7" s="629" t="e">
        <f>D7/H7</f>
        <v>#DIV/0!</v>
      </c>
      <c r="AC7" s="629" t="e">
        <f>D7/J7</f>
        <v>#DIV/0!</v>
      </c>
    </row>
    <row r="8" spans="1:29" s="25" customFormat="1" ht="15.75" thickBot="1">
      <c r="A8" s="301" t="s">
        <v>2020</v>
      </c>
      <c r="B8" s="302"/>
      <c r="C8" s="307" t="s">
        <v>2638</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3" t="s">
        <v>2022</v>
      </c>
      <c r="Q8" s="3644"/>
      <c r="R8" s="626" t="s">
        <v>25</v>
      </c>
      <c r="S8" s="627">
        <f t="shared" si="0"/>
        <v>0</v>
      </c>
      <c r="T8" s="626" t="s">
        <v>25</v>
      </c>
      <c r="U8" s="627">
        <f t="shared" si="1"/>
        <v>0</v>
      </c>
      <c r="V8" s="626" t="s">
        <v>25</v>
      </c>
      <c r="W8" s="627">
        <f t="shared" si="2"/>
        <v>0</v>
      </c>
      <c r="X8" s="628"/>
      <c r="Y8" s="3643" t="s">
        <v>2022</v>
      </c>
      <c r="Z8" s="3644"/>
      <c r="AA8" s="629" t="e">
        <f t="shared" ref="AA8:AA40" si="3">D8/F8</f>
        <v>#DIV/0!</v>
      </c>
      <c r="AB8" s="629" t="e">
        <f t="shared" ref="AB8:AB40" si="4">D8/H8</f>
        <v>#DIV/0!</v>
      </c>
      <c r="AC8" s="629" t="e">
        <f t="shared" ref="AC8:AC40" si="5">D8/J8</f>
        <v>#DIV/0!</v>
      </c>
    </row>
    <row r="9" spans="1:29" s="25" customFormat="1">
      <c r="A9" s="308" t="s">
        <v>2023</v>
      </c>
      <c r="B9" s="24" t="s">
        <v>2024</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40" t="s">
        <v>2025</v>
      </c>
      <c r="Q9" s="1254" t="str">
        <f t="shared" ref="Q9:Q15" si="6">B9</f>
        <v>用途</v>
      </c>
      <c r="R9" s="626" t="s">
        <v>25</v>
      </c>
      <c r="S9" s="627">
        <f t="shared" si="0"/>
        <v>100</v>
      </c>
      <c r="T9" s="626" t="s">
        <v>25</v>
      </c>
      <c r="U9" s="627">
        <f t="shared" si="1"/>
        <v>100</v>
      </c>
      <c r="V9" s="626" t="s">
        <v>25</v>
      </c>
      <c r="W9" s="627">
        <f t="shared" si="2"/>
        <v>100</v>
      </c>
      <c r="X9" s="628"/>
      <c r="Y9" s="3670" t="s">
        <v>2026</v>
      </c>
      <c r="Z9" s="19" t="str">
        <f t="shared" ref="Z9:Z15" si="7">Q9</f>
        <v>用途</v>
      </c>
      <c r="AA9" s="629">
        <f t="shared" si="3"/>
        <v>1</v>
      </c>
      <c r="AB9" s="629">
        <f t="shared" si="4"/>
        <v>1</v>
      </c>
      <c r="AC9" s="629">
        <f t="shared" si="5"/>
        <v>1</v>
      </c>
    </row>
    <row r="10" spans="1:29" s="317" customFormat="1" ht="27">
      <c r="A10" s="312"/>
      <c r="B10" s="313" t="s">
        <v>2027</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40"/>
      <c r="Q10" s="1254" t="str">
        <f t="shared" si="6"/>
        <v>土地使用年限（年）</v>
      </c>
      <c r="R10" s="626" t="s">
        <v>25</v>
      </c>
      <c r="S10" s="627">
        <f t="shared" si="0"/>
        <v>100</v>
      </c>
      <c r="T10" s="626" t="s">
        <v>25</v>
      </c>
      <c r="U10" s="627">
        <f t="shared" si="1"/>
        <v>100</v>
      </c>
      <c r="V10" s="626" t="s">
        <v>25</v>
      </c>
      <c r="W10" s="627">
        <f t="shared" si="2"/>
        <v>100</v>
      </c>
      <c r="X10" s="628"/>
      <c r="Y10" s="3670"/>
      <c r="Z10" s="19" t="str">
        <f t="shared" si="7"/>
        <v>土地使用年限（年）</v>
      </c>
      <c r="AA10" s="629">
        <f t="shared" si="3"/>
        <v>1</v>
      </c>
      <c r="AB10" s="629">
        <f t="shared" si="4"/>
        <v>1</v>
      </c>
      <c r="AC10" s="629">
        <f t="shared" si="5"/>
        <v>1</v>
      </c>
    </row>
    <row r="11" spans="1:29" ht="15">
      <c r="A11" s="318"/>
      <c r="B11" s="313" t="s">
        <v>2028</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40"/>
      <c r="Q11" s="1254" t="str">
        <f t="shared" si="6"/>
        <v>容积率</v>
      </c>
      <c r="R11" s="626" t="s">
        <v>25</v>
      </c>
      <c r="S11" s="627" t="e">
        <f t="shared" si="0"/>
        <v>#N/A</v>
      </c>
      <c r="T11" s="626" t="s">
        <v>25</v>
      </c>
      <c r="U11" s="627" t="e">
        <f t="shared" si="1"/>
        <v>#N/A</v>
      </c>
      <c r="V11" s="626" t="s">
        <v>25</v>
      </c>
      <c r="W11" s="627" t="e">
        <f t="shared" si="2"/>
        <v>#N/A</v>
      </c>
      <c r="X11" s="628"/>
      <c r="Y11" s="3670"/>
      <c r="Z11" s="19" t="str">
        <f t="shared" si="7"/>
        <v>容积率</v>
      </c>
      <c r="AA11" s="629" t="e">
        <f t="shared" si="3"/>
        <v>#N/A</v>
      </c>
      <c r="AB11" s="629" t="e">
        <f t="shared" si="4"/>
        <v>#N/A</v>
      </c>
      <c r="AC11" s="629"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40"/>
      <c r="Q12" s="1254">
        <f t="shared" si="6"/>
        <v>111</v>
      </c>
      <c r="R12" s="626" t="s">
        <v>25</v>
      </c>
      <c r="S12" s="627">
        <f t="shared" si="0"/>
        <v>100</v>
      </c>
      <c r="T12" s="626" t="s">
        <v>25</v>
      </c>
      <c r="U12" s="627">
        <f t="shared" si="1"/>
        <v>100</v>
      </c>
      <c r="V12" s="626" t="s">
        <v>25</v>
      </c>
      <c r="W12" s="627">
        <f t="shared" si="2"/>
        <v>100</v>
      </c>
      <c r="X12" s="628"/>
      <c r="Y12" s="3670"/>
      <c r="Z12" s="19">
        <f t="shared" si="7"/>
        <v>111</v>
      </c>
      <c r="AA12" s="629">
        <f>D12/F12</f>
        <v>1</v>
      </c>
      <c r="AB12" s="629">
        <f>D12/H12</f>
        <v>1</v>
      </c>
      <c r="AC12" s="629">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40"/>
      <c r="Q13" s="1254">
        <f t="shared" si="6"/>
        <v>111</v>
      </c>
      <c r="R13" s="626" t="s">
        <v>25</v>
      </c>
      <c r="S13" s="627">
        <f t="shared" si="0"/>
        <v>100</v>
      </c>
      <c r="T13" s="626" t="s">
        <v>25</v>
      </c>
      <c r="U13" s="627">
        <f t="shared" si="1"/>
        <v>100</v>
      </c>
      <c r="V13" s="626" t="s">
        <v>25</v>
      </c>
      <c r="W13" s="627">
        <f t="shared" si="2"/>
        <v>100</v>
      </c>
      <c r="X13" s="628"/>
      <c r="Y13" s="3670"/>
      <c r="Z13" s="19">
        <f t="shared" si="7"/>
        <v>111</v>
      </c>
      <c r="AA13" s="629">
        <f t="shared" si="3"/>
        <v>1</v>
      </c>
      <c r="AB13" s="629">
        <f t="shared" si="4"/>
        <v>1</v>
      </c>
      <c r="AC13" s="629">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40"/>
      <c r="Q14" s="1254">
        <f t="shared" si="6"/>
        <v>111</v>
      </c>
      <c r="R14" s="626" t="s">
        <v>25</v>
      </c>
      <c r="S14" s="627">
        <f t="shared" si="0"/>
        <v>100</v>
      </c>
      <c r="T14" s="626" t="s">
        <v>25</v>
      </c>
      <c r="U14" s="627">
        <f t="shared" si="1"/>
        <v>100</v>
      </c>
      <c r="V14" s="626" t="s">
        <v>25</v>
      </c>
      <c r="W14" s="627">
        <f t="shared" si="2"/>
        <v>100</v>
      </c>
      <c r="X14" s="628"/>
      <c r="Y14" s="3670"/>
      <c r="Z14" s="19">
        <f t="shared" si="7"/>
        <v>111</v>
      </c>
      <c r="AA14" s="629">
        <f t="shared" si="3"/>
        <v>1</v>
      </c>
      <c r="AB14" s="629">
        <f t="shared" si="4"/>
        <v>1</v>
      </c>
      <c r="AC14" s="629">
        <f t="shared" si="5"/>
        <v>1</v>
      </c>
    </row>
    <row r="15" spans="1:29" ht="57">
      <c r="A15" s="329" t="s">
        <v>2029</v>
      </c>
      <c r="B15" s="22" t="s">
        <v>2161</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68" t="s">
        <v>2030</v>
      </c>
      <c r="Q15" s="1261" t="str">
        <f t="shared" si="6"/>
        <v>产业集聚程度</v>
      </c>
      <c r="R15" s="630" t="s">
        <v>25</v>
      </c>
      <c r="S15" s="631">
        <f t="shared" si="0"/>
        <v>100</v>
      </c>
      <c r="T15" s="630" t="s">
        <v>25</v>
      </c>
      <c r="U15" s="631">
        <f t="shared" si="1"/>
        <v>100</v>
      </c>
      <c r="V15" s="630" t="s">
        <v>25</v>
      </c>
      <c r="W15" s="631">
        <f t="shared" si="2"/>
        <v>100</v>
      </c>
      <c r="X15" s="1262"/>
      <c r="Y15" s="3668" t="s">
        <v>2030</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69"/>
      <c r="Q16" s="1261"/>
      <c r="R16" s="630"/>
      <c r="S16" s="631"/>
      <c r="T16" s="630"/>
      <c r="U16" s="631"/>
      <c r="V16" s="630"/>
      <c r="W16" s="631"/>
      <c r="X16" s="1262"/>
      <c r="Y16" s="3669"/>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69"/>
      <c r="Q17" s="1261" t="str">
        <f>B17</f>
        <v>交通便捷度</v>
      </c>
      <c r="R17" s="630" t="s">
        <v>25</v>
      </c>
      <c r="S17" s="631">
        <f>F17</f>
        <v>100</v>
      </c>
      <c r="T17" s="630" t="s">
        <v>25</v>
      </c>
      <c r="U17" s="631">
        <f>H17</f>
        <v>100</v>
      </c>
      <c r="V17" s="630" t="s">
        <v>25</v>
      </c>
      <c r="W17" s="631">
        <f>J17</f>
        <v>100</v>
      </c>
      <c r="X17" s="1262"/>
      <c r="Y17" s="3669"/>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69"/>
      <c r="Q18" s="1261"/>
      <c r="R18" s="630"/>
      <c r="S18" s="631"/>
      <c r="T18" s="630"/>
      <c r="U18" s="631"/>
      <c r="V18" s="630"/>
      <c r="W18" s="631"/>
      <c r="X18" s="1262"/>
      <c r="Y18" s="3669"/>
      <c r="Z18" s="1263"/>
      <c r="AA18" s="1264">
        <v>1</v>
      </c>
      <c r="AB18" s="1264">
        <v>1</v>
      </c>
      <c r="AC18" s="1264">
        <v>1</v>
      </c>
    </row>
    <row r="19" spans="1:29" ht="42.75">
      <c r="A19" s="318"/>
      <c r="B19" s="513" t="s">
        <v>2145</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69"/>
      <c r="Q19" s="1261" t="str">
        <f>B19</f>
        <v>公共配套设施</v>
      </c>
      <c r="R19" s="630" t="s">
        <v>25</v>
      </c>
      <c r="S19" s="631">
        <f>F19</f>
        <v>100</v>
      </c>
      <c r="T19" s="630" t="s">
        <v>25</v>
      </c>
      <c r="U19" s="631">
        <f>H19</f>
        <v>100</v>
      </c>
      <c r="V19" s="630" t="s">
        <v>25</v>
      </c>
      <c r="W19" s="631">
        <f>J19</f>
        <v>100</v>
      </c>
      <c r="X19" s="1262"/>
      <c r="Y19" s="3669"/>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69"/>
      <c r="Q20" s="1261"/>
      <c r="R20" s="630"/>
      <c r="S20" s="631"/>
      <c r="T20" s="630"/>
      <c r="U20" s="631"/>
      <c r="V20" s="630"/>
      <c r="W20" s="631"/>
      <c r="X20" s="1262"/>
      <c r="Y20" s="3669"/>
      <c r="Z20" s="1263"/>
      <c r="AA20" s="1264">
        <v>1</v>
      </c>
      <c r="AB20" s="1264">
        <v>1</v>
      </c>
      <c r="AC20" s="1264">
        <v>1</v>
      </c>
    </row>
    <row r="21" spans="1:29" ht="28.5">
      <c r="A21" s="318"/>
      <c r="B21" s="515" t="s">
        <v>2146</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69"/>
      <c r="Q21" s="1261" t="str">
        <f>B21</f>
        <v>基础设施水平</v>
      </c>
      <c r="R21" s="630" t="s">
        <v>25</v>
      </c>
      <c r="S21" s="631">
        <f>F21</f>
        <v>100</v>
      </c>
      <c r="T21" s="630" t="s">
        <v>25</v>
      </c>
      <c r="U21" s="631">
        <f>H21</f>
        <v>100</v>
      </c>
      <c r="V21" s="630" t="s">
        <v>25</v>
      </c>
      <c r="W21" s="631">
        <f>J21</f>
        <v>100</v>
      </c>
      <c r="X21" s="1262"/>
      <c r="Y21" s="3669"/>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69"/>
      <c r="Q22" s="1261"/>
      <c r="R22" s="630"/>
      <c r="S22" s="631"/>
      <c r="T22" s="630"/>
      <c r="U22" s="631"/>
      <c r="V22" s="630"/>
      <c r="W22" s="631"/>
      <c r="X22" s="1262"/>
      <c r="Y22" s="3669"/>
      <c r="Z22" s="1263"/>
      <c r="AA22" s="1264">
        <v>1</v>
      </c>
      <c r="AB22" s="1264">
        <v>1</v>
      </c>
      <c r="AC22" s="1264">
        <v>1</v>
      </c>
    </row>
    <row r="23" spans="1:29" ht="71.25">
      <c r="A23" s="318"/>
      <c r="B23" s="340" t="s">
        <v>2147</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69"/>
      <c r="Q23" s="1261" t="str">
        <f>B23</f>
        <v>环境质量</v>
      </c>
      <c r="R23" s="630" t="s">
        <v>25</v>
      </c>
      <c r="S23" s="631">
        <f>F23</f>
        <v>100</v>
      </c>
      <c r="T23" s="630" t="s">
        <v>25</v>
      </c>
      <c r="U23" s="631">
        <f>H23</f>
        <v>100</v>
      </c>
      <c r="V23" s="630" t="s">
        <v>25</v>
      </c>
      <c r="W23" s="631">
        <f>J23</f>
        <v>100</v>
      </c>
      <c r="X23" s="1262"/>
      <c r="Y23" s="3669"/>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69"/>
      <c r="Q24" s="1261"/>
      <c r="R24" s="630"/>
      <c r="S24" s="631"/>
      <c r="T24" s="630"/>
      <c r="U24" s="631"/>
      <c r="V24" s="630"/>
      <c r="W24" s="631"/>
      <c r="X24" s="1262"/>
      <c r="Y24" s="3669"/>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69"/>
      <c r="Q25" s="1261">
        <f>B25</f>
        <v>111</v>
      </c>
      <c r="R25" s="630" t="s">
        <v>25</v>
      </c>
      <c r="S25" s="631">
        <f>F25</f>
        <v>100</v>
      </c>
      <c r="T25" s="630" t="s">
        <v>25</v>
      </c>
      <c r="U25" s="631">
        <f>H25</f>
        <v>100</v>
      </c>
      <c r="V25" s="630" t="s">
        <v>25</v>
      </c>
      <c r="W25" s="631">
        <f>J25</f>
        <v>100</v>
      </c>
      <c r="X25" s="1262"/>
      <c r="Y25" s="3669"/>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69"/>
      <c r="Q26" s="1261">
        <f t="shared" ref="Q26:Q40" si="11">B26</f>
        <v>111</v>
      </c>
      <c r="R26" s="630" t="s">
        <v>25</v>
      </c>
      <c r="S26" s="631">
        <f>F26</f>
        <v>100</v>
      </c>
      <c r="T26" s="630" t="s">
        <v>25</v>
      </c>
      <c r="U26" s="631">
        <f>H26</f>
        <v>100</v>
      </c>
      <c r="V26" s="630" t="s">
        <v>25</v>
      </c>
      <c r="W26" s="631">
        <f>J26</f>
        <v>100</v>
      </c>
      <c r="X26" s="1262"/>
      <c r="Y26" s="3669"/>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69"/>
      <c r="Q27" s="1254">
        <f t="shared" si="11"/>
        <v>111</v>
      </c>
      <c r="R27" s="626" t="s">
        <v>25</v>
      </c>
      <c r="S27" s="627">
        <f>F27</f>
        <v>100</v>
      </c>
      <c r="T27" s="626" t="s">
        <v>25</v>
      </c>
      <c r="U27" s="627">
        <f>H27</f>
        <v>100</v>
      </c>
      <c r="V27" s="626" t="s">
        <v>25</v>
      </c>
      <c r="W27" s="627">
        <f>J27</f>
        <v>100</v>
      </c>
      <c r="X27" s="628"/>
      <c r="Y27" s="3669"/>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69"/>
      <c r="Q28" s="1261">
        <f t="shared" si="11"/>
        <v>111</v>
      </c>
      <c r="R28" s="630" t="s">
        <v>25</v>
      </c>
      <c r="S28" s="631">
        <f t="shared" ref="S28:S40" si="12">F28</f>
        <v>100</v>
      </c>
      <c r="T28" s="630" t="s">
        <v>25</v>
      </c>
      <c r="U28" s="631">
        <f t="shared" ref="U28:U40" si="13">H28</f>
        <v>100</v>
      </c>
      <c r="V28" s="630" t="s">
        <v>25</v>
      </c>
      <c r="W28" s="631">
        <f t="shared" ref="W28:W40" si="14">J28</f>
        <v>100</v>
      </c>
      <c r="X28" s="1262"/>
      <c r="Y28" s="3669"/>
      <c r="Z28" s="1263">
        <f t="shared" ref="Z28:Z40" si="15">Q28</f>
        <v>111</v>
      </c>
      <c r="AA28" s="1264">
        <f t="shared" si="3"/>
        <v>1</v>
      </c>
      <c r="AB28" s="1264">
        <f t="shared" si="4"/>
        <v>1</v>
      </c>
      <c r="AC28" s="1264">
        <f t="shared" si="5"/>
        <v>1</v>
      </c>
    </row>
    <row r="29" spans="1:29" ht="28.5">
      <c r="A29" s="354" t="s">
        <v>2034</v>
      </c>
      <c r="B29" s="24" t="s">
        <v>2150</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71" t="s">
        <v>2036</v>
      </c>
      <c r="Q29" s="1261" t="str">
        <f t="shared" si="11"/>
        <v>建筑类型</v>
      </c>
      <c r="R29" s="630" t="s">
        <v>25</v>
      </c>
      <c r="S29" s="631">
        <f t="shared" si="12"/>
        <v>100</v>
      </c>
      <c r="T29" s="630" t="s">
        <v>25</v>
      </c>
      <c r="U29" s="631">
        <f t="shared" si="13"/>
        <v>100</v>
      </c>
      <c r="V29" s="630" t="s">
        <v>25</v>
      </c>
      <c r="W29" s="631">
        <f t="shared" si="14"/>
        <v>100</v>
      </c>
      <c r="X29" s="1262"/>
      <c r="Y29" s="3672" t="s">
        <v>2036</v>
      </c>
      <c r="Z29" s="1263" t="str">
        <f t="shared" si="15"/>
        <v>建筑类型</v>
      </c>
      <c r="AA29" s="1264">
        <f t="shared" si="3"/>
        <v>1</v>
      </c>
      <c r="AB29" s="1264">
        <f t="shared" si="4"/>
        <v>1</v>
      </c>
      <c r="AC29" s="1264">
        <f t="shared" si="5"/>
        <v>1</v>
      </c>
    </row>
    <row r="30" spans="1:29" s="359" customFormat="1" ht="15">
      <c r="A30" s="356"/>
      <c r="B30" s="313" t="s">
        <v>2037</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72"/>
      <c r="Q30" s="632" t="str">
        <f t="shared" si="11"/>
        <v>项目建筑规模</v>
      </c>
      <c r="R30" s="633" t="s">
        <v>25</v>
      </c>
      <c r="S30" s="634" t="e">
        <f t="shared" si="12"/>
        <v>#N/A</v>
      </c>
      <c r="T30" s="633" t="s">
        <v>25</v>
      </c>
      <c r="U30" s="634" t="e">
        <f t="shared" si="13"/>
        <v>#N/A</v>
      </c>
      <c r="V30" s="633" t="s">
        <v>25</v>
      </c>
      <c r="W30" s="634" t="e">
        <f t="shared" si="14"/>
        <v>#N/A</v>
      </c>
      <c r="X30" s="635"/>
      <c r="Y30" s="3672"/>
      <c r="Z30" s="636" t="str">
        <f t="shared" si="15"/>
        <v>项目建筑规模</v>
      </c>
      <c r="AA30" s="1264" t="e">
        <f t="shared" si="3"/>
        <v>#N/A</v>
      </c>
      <c r="AB30" s="1264" t="e">
        <f t="shared" si="4"/>
        <v>#N/A</v>
      </c>
      <c r="AC30" s="1264" t="e">
        <f t="shared" si="5"/>
        <v>#N/A</v>
      </c>
    </row>
    <row r="31" spans="1:29" ht="15">
      <c r="A31" s="360"/>
      <c r="B31" s="313" t="s">
        <v>2038</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72"/>
      <c r="Q31" s="1261" t="str">
        <f t="shared" si="11"/>
        <v>建筑结构</v>
      </c>
      <c r="R31" s="630" t="s">
        <v>25</v>
      </c>
      <c r="S31" s="631">
        <f t="shared" si="12"/>
        <v>100</v>
      </c>
      <c r="T31" s="630" t="s">
        <v>25</v>
      </c>
      <c r="U31" s="631">
        <f t="shared" si="13"/>
        <v>100</v>
      </c>
      <c r="V31" s="630" t="s">
        <v>25</v>
      </c>
      <c r="W31" s="631">
        <f t="shared" si="14"/>
        <v>100</v>
      </c>
      <c r="X31" s="1262"/>
      <c r="Y31" s="3672"/>
      <c r="Z31" s="1263" t="str">
        <f t="shared" si="15"/>
        <v>建筑结构</v>
      </c>
      <c r="AA31" s="1264">
        <f t="shared" si="3"/>
        <v>1</v>
      </c>
      <c r="AB31" s="1264">
        <f t="shared" si="4"/>
        <v>1</v>
      </c>
      <c r="AC31" s="1264">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72"/>
      <c r="Q32" s="1261" t="str">
        <f t="shared" si="11"/>
        <v>公共部分装修</v>
      </c>
      <c r="R32" s="630" t="s">
        <v>25</v>
      </c>
      <c r="S32" s="631">
        <f t="shared" si="12"/>
        <v>100</v>
      </c>
      <c r="T32" s="630" t="s">
        <v>25</v>
      </c>
      <c r="U32" s="631">
        <f t="shared" si="13"/>
        <v>100</v>
      </c>
      <c r="V32" s="630" t="s">
        <v>25</v>
      </c>
      <c r="W32" s="631">
        <f t="shared" si="14"/>
        <v>100</v>
      </c>
      <c r="X32" s="1262"/>
      <c r="Y32" s="3672"/>
      <c r="Z32" s="1263" t="str">
        <f t="shared" si="15"/>
        <v>公共部分装修</v>
      </c>
      <c r="AA32" s="1264">
        <f t="shared" si="3"/>
        <v>1</v>
      </c>
      <c r="AB32" s="1264">
        <f t="shared" si="4"/>
        <v>1</v>
      </c>
      <c r="AC32" s="1264">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72"/>
      <c r="Q33" s="1261" t="str">
        <f t="shared" si="11"/>
        <v>成新度</v>
      </c>
      <c r="R33" s="630" t="s">
        <v>25</v>
      </c>
      <c r="S33" s="631" t="e">
        <f t="shared" si="12"/>
        <v>#N/A</v>
      </c>
      <c r="T33" s="630" t="s">
        <v>25</v>
      </c>
      <c r="U33" s="631" t="e">
        <f t="shared" si="13"/>
        <v>#N/A</v>
      </c>
      <c r="V33" s="630" t="s">
        <v>25</v>
      </c>
      <c r="W33" s="631" t="e">
        <f t="shared" si="14"/>
        <v>#N/A</v>
      </c>
      <c r="X33" s="1262"/>
      <c r="Y33" s="3672"/>
      <c r="Z33" s="1263" t="str">
        <f t="shared" si="15"/>
        <v>成新度</v>
      </c>
      <c r="AA33" s="1264" t="e">
        <f t="shared" si="3"/>
        <v>#N/A</v>
      </c>
      <c r="AB33" s="1264" t="e">
        <f t="shared" si="4"/>
        <v>#N/A</v>
      </c>
      <c r="AC33" s="1264"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72"/>
      <c r="Q34" s="1254" t="str">
        <f t="shared" si="11"/>
        <v>物业管理</v>
      </c>
      <c r="R34" s="626" t="s">
        <v>25</v>
      </c>
      <c r="S34" s="627">
        <f t="shared" si="12"/>
        <v>100</v>
      </c>
      <c r="T34" s="626" t="s">
        <v>25</v>
      </c>
      <c r="U34" s="627">
        <f t="shared" si="13"/>
        <v>100</v>
      </c>
      <c r="V34" s="626" t="s">
        <v>25</v>
      </c>
      <c r="W34" s="627">
        <f t="shared" si="14"/>
        <v>100</v>
      </c>
      <c r="X34" s="628"/>
      <c r="Y34" s="3672"/>
      <c r="Z34" s="19" t="str">
        <f t="shared" si="15"/>
        <v>物业管理</v>
      </c>
      <c r="AA34" s="629">
        <f t="shared" si="3"/>
        <v>1</v>
      </c>
      <c r="AB34" s="629">
        <f t="shared" si="4"/>
        <v>1</v>
      </c>
      <c r="AC34" s="629">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72" t="s">
        <v>2036</v>
      </c>
      <c r="Q35" s="1261" t="str">
        <f t="shared" si="11"/>
        <v>市政基础设施</v>
      </c>
      <c r="R35" s="630" t="s">
        <v>25</v>
      </c>
      <c r="S35" s="631">
        <f t="shared" si="12"/>
        <v>100</v>
      </c>
      <c r="T35" s="630" t="s">
        <v>25</v>
      </c>
      <c r="U35" s="631">
        <f t="shared" si="13"/>
        <v>100</v>
      </c>
      <c r="V35" s="630" t="s">
        <v>25</v>
      </c>
      <c r="W35" s="631">
        <f t="shared" si="14"/>
        <v>100</v>
      </c>
      <c r="X35" s="1262"/>
      <c r="Y35" s="3672" t="s">
        <v>2036</v>
      </c>
      <c r="Z35" s="1263" t="str">
        <f t="shared" si="15"/>
        <v>市政基础设施</v>
      </c>
      <c r="AA35" s="1264">
        <f t="shared" si="3"/>
        <v>1</v>
      </c>
      <c r="AB35" s="1264">
        <f t="shared" si="4"/>
        <v>1</v>
      </c>
      <c r="AC35" s="1264">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72"/>
      <c r="Q36" s="1261" t="str">
        <f t="shared" si="11"/>
        <v>内部装修</v>
      </c>
      <c r="R36" s="630" t="s">
        <v>25</v>
      </c>
      <c r="S36" s="631">
        <f t="shared" si="12"/>
        <v>100</v>
      </c>
      <c r="T36" s="630" t="s">
        <v>25</v>
      </c>
      <c r="U36" s="631">
        <f t="shared" si="13"/>
        <v>100</v>
      </c>
      <c r="V36" s="630" t="s">
        <v>25</v>
      </c>
      <c r="W36" s="631">
        <f t="shared" si="14"/>
        <v>100</v>
      </c>
      <c r="X36" s="1262"/>
      <c r="Y36" s="3672"/>
      <c r="Z36" s="1263" t="str">
        <f t="shared" si="15"/>
        <v>内部装修</v>
      </c>
      <c r="AA36" s="1264">
        <f t="shared" si="3"/>
        <v>1</v>
      </c>
      <c r="AB36" s="1264">
        <f t="shared" si="4"/>
        <v>1</v>
      </c>
      <c r="AC36" s="1264">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72"/>
      <c r="Q37" s="1261" t="str">
        <f t="shared" si="11"/>
        <v>内部装修状况</v>
      </c>
      <c r="R37" s="630" t="s">
        <v>25</v>
      </c>
      <c r="S37" s="631">
        <f t="shared" si="12"/>
        <v>100</v>
      </c>
      <c r="T37" s="630" t="s">
        <v>25</v>
      </c>
      <c r="U37" s="631">
        <f t="shared" si="13"/>
        <v>100</v>
      </c>
      <c r="V37" s="630" t="s">
        <v>25</v>
      </c>
      <c r="W37" s="631">
        <f t="shared" si="14"/>
        <v>100</v>
      </c>
      <c r="X37" s="1262"/>
      <c r="Y37" s="3672"/>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72"/>
      <c r="Q38" s="632">
        <f t="shared" si="11"/>
        <v>111</v>
      </c>
      <c r="R38" s="633" t="s">
        <v>25</v>
      </c>
      <c r="S38" s="634">
        <f t="shared" si="12"/>
        <v>100</v>
      </c>
      <c r="T38" s="633" t="s">
        <v>25</v>
      </c>
      <c r="U38" s="634">
        <f t="shared" si="13"/>
        <v>100</v>
      </c>
      <c r="V38" s="633" t="s">
        <v>25</v>
      </c>
      <c r="W38" s="634">
        <f t="shared" si="14"/>
        <v>100</v>
      </c>
      <c r="X38" s="635"/>
      <c r="Y38" s="3672"/>
      <c r="Z38" s="636">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72"/>
      <c r="Q39" s="1261">
        <f t="shared" si="11"/>
        <v>111</v>
      </c>
      <c r="R39" s="630" t="s">
        <v>25</v>
      </c>
      <c r="S39" s="631">
        <f t="shared" si="12"/>
        <v>100</v>
      </c>
      <c r="T39" s="630" t="s">
        <v>25</v>
      </c>
      <c r="U39" s="631">
        <f t="shared" si="13"/>
        <v>100</v>
      </c>
      <c r="V39" s="630" t="s">
        <v>25</v>
      </c>
      <c r="W39" s="631">
        <f t="shared" si="14"/>
        <v>100</v>
      </c>
      <c r="X39" s="1262"/>
      <c r="Y39" s="3672"/>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73"/>
      <c r="Q40" s="1261">
        <f t="shared" si="11"/>
        <v>111</v>
      </c>
      <c r="R40" s="630" t="s">
        <v>25</v>
      </c>
      <c r="S40" s="631">
        <f t="shared" si="12"/>
        <v>100</v>
      </c>
      <c r="T40" s="630" t="s">
        <v>25</v>
      </c>
      <c r="U40" s="631">
        <f t="shared" si="13"/>
        <v>100</v>
      </c>
      <c r="V40" s="630" t="s">
        <v>25</v>
      </c>
      <c r="W40" s="631">
        <f t="shared" si="14"/>
        <v>100</v>
      </c>
      <c r="X40" s="1262"/>
      <c r="Y40" s="3673"/>
      <c r="Z40" s="1263">
        <f t="shared" si="15"/>
        <v>111</v>
      </c>
      <c r="AA40" s="1264">
        <f t="shared" si="3"/>
        <v>1</v>
      </c>
      <c r="AB40" s="1264">
        <f t="shared" si="4"/>
        <v>1</v>
      </c>
      <c r="AC40" s="1264">
        <f t="shared" si="5"/>
        <v>1</v>
      </c>
    </row>
    <row r="41" spans="1:29" ht="15">
      <c r="A41" s="367" t="s">
        <v>2048</v>
      </c>
      <c r="B41" s="368"/>
      <c r="C41" s="1081" t="s">
        <v>1</v>
      </c>
      <c r="D41" s="1082"/>
      <c r="E41" s="1083"/>
      <c r="F41" s="1084"/>
      <c r="G41" s="1085"/>
      <c r="H41" s="1086"/>
      <c r="I41" s="1083"/>
      <c r="J41" s="1086"/>
      <c r="K41" s="639"/>
      <c r="L41" s="2954"/>
      <c r="N41" s="2943"/>
      <c r="P41" s="3640" t="str">
        <f>A41</f>
        <v>成交单价（元/平方米）</v>
      </c>
      <c r="Q41" s="3640"/>
      <c r="R41" s="3674">
        <f>E41</f>
        <v>0</v>
      </c>
      <c r="S41" s="3674"/>
      <c r="T41" s="3674">
        <f>G41</f>
        <v>0</v>
      </c>
      <c r="U41" s="3674"/>
      <c r="V41" s="3674">
        <f>I41</f>
        <v>0</v>
      </c>
      <c r="W41" s="3674"/>
      <c r="X41" s="617"/>
      <c r="Y41" s="637"/>
      <c r="Z41" s="617"/>
      <c r="AA41" s="617"/>
      <c r="AB41" s="617"/>
      <c r="AC41" s="617"/>
    </row>
    <row r="42" spans="1:29" ht="15.75" thickBot="1">
      <c r="A42" s="374" t="s">
        <v>2131</v>
      </c>
      <c r="B42" s="375"/>
      <c r="C42" s="1087" t="e">
        <f>R43</f>
        <v>#DIV/0!</v>
      </c>
      <c r="D42" s="1724" t="s">
        <v>2502</v>
      </c>
      <c r="E42" s="1088" t="e">
        <f>R42</f>
        <v>#DIV/0!</v>
      </c>
      <c r="F42" s="1726"/>
      <c r="G42" s="1087" t="e">
        <f>T42</f>
        <v>#DIV/0!</v>
      </c>
      <c r="H42" s="1726"/>
      <c r="I42" s="1088" t="e">
        <f>V42</f>
        <v>#DIV/0!</v>
      </c>
      <c r="J42" s="1726"/>
      <c r="K42" s="2428">
        <f>F42+H42+J42</f>
        <v>0</v>
      </c>
      <c r="L42" s="2954"/>
      <c r="N42" s="2943"/>
      <c r="P42" s="3640" t="str">
        <f>A42</f>
        <v>比较价值（元/平方米）</v>
      </c>
      <c r="Q42" s="3640"/>
      <c r="R42" s="3674" t="e">
        <f>IF(E1="售价",ROUND(PRODUCT(R41,AA7:AA40),0),ROUND(PRODUCT(R41,AA7:AA40),1))</f>
        <v>#DIV/0!</v>
      </c>
      <c r="S42" s="3674"/>
      <c r="T42" s="3674" t="e">
        <f>IF(E1="售价",ROUND(PRODUCT(T41,AB7:AB40),0),ROUND(PRODUCT(T41,AB7:AB40),1))</f>
        <v>#DIV/0!</v>
      </c>
      <c r="U42" s="3674"/>
      <c r="V42" s="3674" t="e">
        <f>IF(E1="售价",ROUND(PRODUCT(V41,AC7:AC40),0),ROUND(PRODUCT(V41,AC7:AC40),1))</f>
        <v>#DIV/0!</v>
      </c>
      <c r="W42" s="3674"/>
      <c r="X42" s="617"/>
      <c r="Y42" s="617"/>
      <c r="Z42" s="617"/>
      <c r="AA42" s="617"/>
      <c r="AB42" s="617"/>
      <c r="AC42" s="617"/>
    </row>
    <row r="43" spans="1:29" ht="15.75" thickBot="1">
      <c r="A43" s="378" t="s">
        <v>2154</v>
      </c>
      <c r="B43" s="379"/>
      <c r="C43" s="1089" t="e">
        <f>R43</f>
        <v>#DIV/0!</v>
      </c>
      <c r="D43" s="1089"/>
      <c r="E43" s="1089"/>
      <c r="F43" s="1089"/>
      <c r="G43" s="1089"/>
      <c r="H43" s="1089"/>
      <c r="I43" s="1089"/>
      <c r="J43" s="1089"/>
      <c r="K43" s="640"/>
      <c r="L43" s="2954"/>
      <c r="P43" s="3675" t="str">
        <f>A43</f>
        <v>估价对象XX用房的比较价值（楼面单价，元/平方米）</v>
      </c>
      <c r="Q43" s="3676"/>
      <c r="R43" s="3677" t="e">
        <f>IF(E1="售价",ROUND(IF(D42="简单平均",AVERAGE(R42:V42),R42*F42+T42*H42+V42*J42),0),ROUND(IF(D42="简单平均",AVERAGE(R42:V42),R42*F42+T42*H42+V42*J42),1))</f>
        <v>#DIV/0!</v>
      </c>
      <c r="S43" s="3677"/>
      <c r="T43" s="3677"/>
      <c r="U43" s="3677"/>
      <c r="V43" s="3677"/>
      <c r="W43" s="3677"/>
      <c r="X43" s="617"/>
      <c r="Y43" s="617"/>
      <c r="Z43" s="617"/>
      <c r="AA43" s="617"/>
      <c r="AB43" s="617"/>
      <c r="AC43" s="617"/>
    </row>
    <row r="44" spans="1:29">
      <c r="G44" s="2957"/>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19" t="s">
        <v>2136</v>
      </c>
      <c r="B51" s="617"/>
      <c r="C51" s="620"/>
      <c r="D51" s="620"/>
      <c r="E51" s="620"/>
      <c r="F51" s="621"/>
      <c r="G51" s="621"/>
      <c r="H51" s="620"/>
      <c r="I51" s="620"/>
      <c r="J51" s="620"/>
      <c r="K51" s="622"/>
      <c r="L51" s="623"/>
      <c r="M51" s="620"/>
      <c r="N51" s="2960"/>
      <c r="O51" s="2960"/>
      <c r="P51" s="389"/>
      <c r="Q51" s="390"/>
    </row>
    <row r="52" spans="1:17" s="394" customFormat="1" ht="15">
      <c r="A52" s="391" t="s">
        <v>2018</v>
      </c>
      <c r="B52" s="392"/>
      <c r="C52" s="1115" t="str">
        <f>YEAR(C7)&amp;"-"&amp;MONTH(C7)</f>
        <v>2022-8</v>
      </c>
      <c r="D52" s="1116">
        <f>EDATE(C52,-1)</f>
        <v>44743</v>
      </c>
      <c r="E52" s="1117">
        <f t="shared" ref="E52:O52" si="16">EDATE(D52,-1)</f>
        <v>44713</v>
      </c>
      <c r="F52" s="1117">
        <f t="shared" si="16"/>
        <v>44682</v>
      </c>
      <c r="G52" s="1117">
        <f t="shared" si="16"/>
        <v>44652</v>
      </c>
      <c r="H52" s="1117">
        <f t="shared" si="16"/>
        <v>44621</v>
      </c>
      <c r="I52" s="1117">
        <f t="shared" si="16"/>
        <v>44593</v>
      </c>
      <c r="J52" s="1117">
        <f t="shared" si="16"/>
        <v>44562</v>
      </c>
      <c r="K52" s="1117">
        <f t="shared" si="16"/>
        <v>44531</v>
      </c>
      <c r="L52" s="1117">
        <f t="shared" si="16"/>
        <v>44501</v>
      </c>
      <c r="M52" s="1117">
        <f t="shared" si="16"/>
        <v>44470</v>
      </c>
      <c r="N52" s="1117">
        <f t="shared" si="16"/>
        <v>44440</v>
      </c>
      <c r="O52" s="1117">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2056</v>
      </c>
      <c r="B54" s="401"/>
      <c r="C54" s="402"/>
      <c r="D54" s="403"/>
      <c r="E54" s="403"/>
      <c r="F54" s="403"/>
      <c r="G54" s="403"/>
      <c r="H54" s="403"/>
      <c r="I54" s="403"/>
      <c r="J54" s="403"/>
      <c r="K54" s="403"/>
      <c r="L54" s="403"/>
      <c r="M54" s="404"/>
      <c r="N54" s="403"/>
      <c r="O54" s="405"/>
      <c r="P54" s="390"/>
      <c r="Q54" s="390"/>
    </row>
    <row r="55" spans="1:17" s="25" customFormat="1" ht="15">
      <c r="A55" s="406" t="s">
        <v>2020</v>
      </c>
      <c r="B55" s="396"/>
      <c r="C55" s="407" t="s">
        <v>2021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2059</v>
      </c>
      <c r="B57" s="413" t="s">
        <v>2024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2027</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2029</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2146</v>
      </c>
      <c r="C76" s="426" t="s">
        <v>2075</v>
      </c>
      <c r="D76" s="426" t="s">
        <v>2076</v>
      </c>
      <c r="E76" s="426" t="s">
        <v>2077</v>
      </c>
      <c r="F76" s="426" t="s">
        <v>2078</v>
      </c>
      <c r="G76" s="426" t="s">
        <v>2079</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2034</v>
      </c>
      <c r="B88" s="413" t="s">
        <v>2083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2165</v>
      </c>
      <c r="B1" s="1509"/>
      <c r="C1" s="1149"/>
      <c r="D1" s="1150"/>
      <c r="E1" s="1486"/>
      <c r="F1" s="1151" t="s">
        <v>2003</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4" t="e">
        <f ca="1">SUMIF(INDIRECT("'"&amp;G2&amp;"'"&amp;"!A:A"),"承租人权益价值",INDIRECT("'"&amp;G2&amp;"'"&amp;"!c:c"))</f>
        <v>#REF!</v>
      </c>
      <c r="F2" s="1488" t="str">
        <f>C2</f>
        <v>万元</v>
      </c>
      <c r="G2" s="1489"/>
      <c r="H2" s="2937"/>
      <c r="I2" s="2937"/>
      <c r="J2" s="2937"/>
      <c r="K2" s="2941"/>
      <c r="L2" s="2938"/>
      <c r="M2" s="2939"/>
      <c r="N2" s="2939"/>
      <c r="O2" s="2939"/>
      <c r="P2" s="624"/>
      <c r="Q2" s="624"/>
      <c r="R2" s="624"/>
      <c r="S2" s="624"/>
      <c r="T2" s="624"/>
      <c r="U2" s="624"/>
      <c r="V2" s="624"/>
      <c r="W2" s="624"/>
      <c r="X2" s="624"/>
      <c r="Y2" s="624"/>
      <c r="Z2" s="624"/>
      <c r="AA2" s="624"/>
      <c r="AB2" s="624"/>
      <c r="AC2" s="625"/>
    </row>
    <row r="3" spans="1:29" s="291" customFormat="1" ht="28.5" customHeight="1" thickBot="1">
      <c r="A3" s="83" t="s">
        <v>1675</v>
      </c>
      <c r="B3" s="495" t="e">
        <f>IF(AND(D2="——",B37="元/平方米"),C39,ROUND(F3*C39/D3,0))</f>
        <v>#DIV/0!</v>
      </c>
      <c r="C3" s="293" t="s">
        <v>2004</v>
      </c>
      <c r="D3" s="292">
        <f>IF(C1="仅计算典型户型",'数据-取费表'!E5,'数据-取费表'!B5)</f>
        <v>400.8</v>
      </c>
      <c r="E3" s="796" t="s">
        <v>2166</v>
      </c>
      <c r="F3" s="293">
        <f>'数据-取费表'!B42</f>
        <v>0</v>
      </c>
      <c r="G3" s="2937"/>
      <c r="H3" s="2937"/>
      <c r="I3" s="2937"/>
      <c r="J3" s="2937"/>
      <c r="K3" s="2941"/>
      <c r="L3" s="2938"/>
      <c r="M3" s="2939"/>
      <c r="N3" s="2939"/>
      <c r="O3" s="2939"/>
      <c r="P3" s="624"/>
      <c r="Q3" s="624"/>
      <c r="R3" s="624"/>
      <c r="S3" s="624"/>
      <c r="T3" s="624"/>
      <c r="U3" s="624"/>
      <c r="V3" s="624"/>
      <c r="W3" s="624"/>
      <c r="X3" s="624"/>
      <c r="Y3" s="624"/>
      <c r="Z3" s="624"/>
      <c r="AA3" s="624"/>
      <c r="AB3" s="643"/>
      <c r="AC3" s="638"/>
    </row>
    <row r="4" spans="1:29" ht="15">
      <c r="A4" s="294" t="s">
        <v>2005</v>
      </c>
      <c r="B4" s="295"/>
      <c r="C4" s="3648" t="s">
        <v>2006</v>
      </c>
      <c r="D4" s="3649"/>
      <c r="E4" s="3650" t="s">
        <v>2007</v>
      </c>
      <c r="F4" s="3651"/>
      <c r="G4" s="3648" t="s">
        <v>2008</v>
      </c>
      <c r="H4" s="3649"/>
      <c r="I4" s="3648" t="s">
        <v>2009</v>
      </c>
      <c r="J4" s="3649"/>
      <c r="K4" s="496" t="s">
        <v>2010</v>
      </c>
      <c r="L4" s="2942"/>
      <c r="M4" s="2943"/>
      <c r="N4" s="2943"/>
      <c r="O4" s="2943"/>
      <c r="P4" s="3652" t="s">
        <v>2011</v>
      </c>
      <c r="Q4" s="3653"/>
      <c r="R4" s="3658" t="s">
        <v>2007</v>
      </c>
      <c r="S4" s="3659"/>
      <c r="T4" s="3658" t="s">
        <v>2008</v>
      </c>
      <c r="U4" s="3659"/>
      <c r="V4" s="3664" t="s">
        <v>2009</v>
      </c>
      <c r="W4" s="3664"/>
      <c r="X4" s="1262"/>
      <c r="Y4" s="3658" t="s">
        <v>2011</v>
      </c>
      <c r="Z4" s="3659"/>
      <c r="AA4" s="3645" t="s">
        <v>2007</v>
      </c>
      <c r="AB4" s="3646" t="s">
        <v>2008</v>
      </c>
      <c r="AC4" s="3645" t="s">
        <v>2009</v>
      </c>
    </row>
    <row r="5" spans="1:29" ht="15">
      <c r="A5" s="297"/>
      <c r="B5" s="298"/>
      <c r="C5" s="3641" t="s">
        <v>2012</v>
      </c>
      <c r="D5" s="3642"/>
      <c r="E5" s="3665" t="s">
        <v>2013</v>
      </c>
      <c r="F5" s="3666"/>
      <c r="G5" s="3641" t="s">
        <v>2014</v>
      </c>
      <c r="H5" s="3642"/>
      <c r="I5" s="3641" t="s">
        <v>2015</v>
      </c>
      <c r="J5" s="3642"/>
      <c r="K5" s="496"/>
      <c r="L5" s="2942"/>
      <c r="M5" s="2943"/>
      <c r="N5" s="2943"/>
      <c r="O5" s="2943"/>
      <c r="P5" s="3654"/>
      <c r="Q5" s="3655"/>
      <c r="R5" s="3660"/>
      <c r="S5" s="3661"/>
      <c r="T5" s="3660"/>
      <c r="U5" s="3661"/>
      <c r="V5" s="3664"/>
      <c r="W5" s="3664"/>
      <c r="X5" s="1262"/>
      <c r="Y5" s="3660"/>
      <c r="Z5" s="3661"/>
      <c r="AA5" s="3646"/>
      <c r="AB5" s="3646"/>
      <c r="AC5" s="3646"/>
    </row>
    <row r="6" spans="1:29" ht="15.75" thickBot="1">
      <c r="A6" s="299"/>
      <c r="B6" s="300"/>
      <c r="C6" s="3638" t="s">
        <v>2016</v>
      </c>
      <c r="D6" s="3639"/>
      <c r="E6" s="3636" t="s">
        <v>2016</v>
      </c>
      <c r="F6" s="3637"/>
      <c r="G6" s="3638" t="s">
        <v>2016</v>
      </c>
      <c r="H6" s="3639"/>
      <c r="I6" s="3638" t="s">
        <v>2016</v>
      </c>
      <c r="J6" s="3639"/>
      <c r="K6" s="496" t="s">
        <v>2017</v>
      </c>
      <c r="L6" s="2942"/>
      <c r="M6" s="2943"/>
      <c r="N6" s="2943"/>
      <c r="O6" s="2943"/>
      <c r="P6" s="3656"/>
      <c r="Q6" s="3657"/>
      <c r="R6" s="3660"/>
      <c r="S6" s="3661"/>
      <c r="T6" s="3662"/>
      <c r="U6" s="3663"/>
      <c r="V6" s="3664"/>
      <c r="W6" s="3664"/>
      <c r="X6" s="1262"/>
      <c r="Y6" s="3662"/>
      <c r="Z6" s="3663"/>
      <c r="AA6" s="3647"/>
      <c r="AB6" s="3647"/>
      <c r="AC6" s="3647"/>
    </row>
    <row r="7" spans="1:29" s="25" customFormat="1" ht="15.75" thickBot="1">
      <c r="A7" s="301" t="s">
        <v>2018</v>
      </c>
      <c r="B7" s="302"/>
      <c r="C7" s="303">
        <f>'数据-取费表'!B2</f>
        <v>44795</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3" t="s">
        <v>2019</v>
      </c>
      <c r="Q7" s="3667"/>
      <c r="R7" s="626" t="s">
        <v>25</v>
      </c>
      <c r="S7" s="627">
        <f t="shared" ref="S7:S14" si="0">F7</f>
        <v>0</v>
      </c>
      <c r="T7" s="626" t="s">
        <v>25</v>
      </c>
      <c r="U7" s="627">
        <f t="shared" ref="U7:U14" si="1">H7</f>
        <v>0</v>
      </c>
      <c r="V7" s="626" t="s">
        <v>25</v>
      </c>
      <c r="W7" s="627">
        <f t="shared" ref="W7:W14" si="2">J7</f>
        <v>0</v>
      </c>
      <c r="X7" s="628"/>
      <c r="Y7" s="3643" t="s">
        <v>2019</v>
      </c>
      <c r="Z7" s="3644"/>
      <c r="AA7" s="629" t="e">
        <f>D7/F7</f>
        <v>#DIV/0!</v>
      </c>
      <c r="AB7" s="629" t="e">
        <f>D7/H7</f>
        <v>#DIV/0!</v>
      </c>
      <c r="AC7" s="629" t="e">
        <f>D7/J7</f>
        <v>#DIV/0!</v>
      </c>
    </row>
    <row r="8" spans="1:29" s="25" customFormat="1" ht="15.75" thickBot="1">
      <c r="A8" s="301" t="s">
        <v>2020</v>
      </c>
      <c r="B8" s="302"/>
      <c r="C8" s="307" t="s">
        <v>2021</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3" t="s">
        <v>2022</v>
      </c>
      <c r="Q8" s="3644"/>
      <c r="R8" s="626" t="s">
        <v>25</v>
      </c>
      <c r="S8" s="627">
        <f t="shared" si="0"/>
        <v>0</v>
      </c>
      <c r="T8" s="626" t="s">
        <v>25</v>
      </c>
      <c r="U8" s="627">
        <f t="shared" si="1"/>
        <v>0</v>
      </c>
      <c r="V8" s="626" t="s">
        <v>25</v>
      </c>
      <c r="W8" s="627">
        <f t="shared" si="2"/>
        <v>0</v>
      </c>
      <c r="X8" s="628"/>
      <c r="Y8" s="3643" t="s">
        <v>2022</v>
      </c>
      <c r="Z8" s="3644"/>
      <c r="AA8" s="629" t="e">
        <f t="shared" ref="AA8:AA36" si="3">D8/F8</f>
        <v>#DIV/0!</v>
      </c>
      <c r="AB8" s="629" t="e">
        <f t="shared" ref="AB8:AB36" si="4">D8/H8</f>
        <v>#DIV/0!</v>
      </c>
      <c r="AC8" s="629" t="e">
        <f t="shared" ref="AC8:AC36" si="5">D8/J8</f>
        <v>#DIV/0!</v>
      </c>
    </row>
    <row r="9" spans="1:29" s="25" customFormat="1">
      <c r="A9" s="21" t="s">
        <v>2023</v>
      </c>
      <c r="B9" s="522" t="s">
        <v>2024</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40" t="s">
        <v>2025</v>
      </c>
      <c r="Q9" s="1254" t="str">
        <f t="shared" ref="Q9:Q14" si="6">B9</f>
        <v>用途</v>
      </c>
      <c r="R9" s="626" t="s">
        <v>25</v>
      </c>
      <c r="S9" s="627">
        <f t="shared" si="0"/>
        <v>100</v>
      </c>
      <c r="T9" s="626" t="s">
        <v>25</v>
      </c>
      <c r="U9" s="627">
        <f t="shared" si="1"/>
        <v>100</v>
      </c>
      <c r="V9" s="626" t="s">
        <v>25</v>
      </c>
      <c r="W9" s="627">
        <f t="shared" si="2"/>
        <v>100</v>
      </c>
      <c r="X9" s="628"/>
      <c r="Y9" s="3670" t="s">
        <v>2026</v>
      </c>
      <c r="Z9" s="19" t="str">
        <f t="shared" ref="Z9:Z14" si="7">Q9</f>
        <v>用途</v>
      </c>
      <c r="AA9" s="629">
        <f t="shared" si="3"/>
        <v>1</v>
      </c>
      <c r="AB9" s="629">
        <f t="shared" si="4"/>
        <v>1</v>
      </c>
      <c r="AC9" s="629">
        <f t="shared" si="5"/>
        <v>1</v>
      </c>
    </row>
    <row r="10" spans="1:29" s="317" customFormat="1" ht="27">
      <c r="A10" s="523"/>
      <c r="B10" s="524" t="s">
        <v>2027</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40"/>
      <c r="Q10" s="1254" t="str">
        <f t="shared" si="6"/>
        <v>土地使用年限（年）</v>
      </c>
      <c r="R10" s="626" t="s">
        <v>25</v>
      </c>
      <c r="S10" s="627">
        <f t="shared" si="0"/>
        <v>100</v>
      </c>
      <c r="T10" s="626" t="s">
        <v>25</v>
      </c>
      <c r="U10" s="627">
        <f t="shared" si="1"/>
        <v>100</v>
      </c>
      <c r="V10" s="626" t="s">
        <v>25</v>
      </c>
      <c r="W10" s="627">
        <f t="shared" si="2"/>
        <v>100</v>
      </c>
      <c r="X10" s="628"/>
      <c r="Y10" s="3670"/>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40"/>
      <c r="Q11" s="1254">
        <f t="shared" si="6"/>
        <v>111</v>
      </c>
      <c r="R11" s="626" t="s">
        <v>25</v>
      </c>
      <c r="S11" s="627">
        <f t="shared" si="0"/>
        <v>100</v>
      </c>
      <c r="T11" s="626" t="s">
        <v>25</v>
      </c>
      <c r="U11" s="627">
        <f t="shared" si="1"/>
        <v>100</v>
      </c>
      <c r="V11" s="626" t="s">
        <v>25</v>
      </c>
      <c r="W11" s="627">
        <f t="shared" si="2"/>
        <v>100</v>
      </c>
      <c r="X11" s="628"/>
      <c r="Y11" s="3670"/>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40"/>
      <c r="Q12" s="1254">
        <f t="shared" si="6"/>
        <v>111</v>
      </c>
      <c r="R12" s="626" t="s">
        <v>25</v>
      </c>
      <c r="S12" s="627">
        <f t="shared" si="0"/>
        <v>100</v>
      </c>
      <c r="T12" s="626" t="s">
        <v>25</v>
      </c>
      <c r="U12" s="627">
        <f t="shared" si="1"/>
        <v>100</v>
      </c>
      <c r="V12" s="626" t="s">
        <v>25</v>
      </c>
      <c r="W12" s="627">
        <f t="shared" si="2"/>
        <v>100</v>
      </c>
      <c r="X12" s="628"/>
      <c r="Y12" s="3670"/>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40"/>
      <c r="Q13" s="1254">
        <f t="shared" si="6"/>
        <v>111</v>
      </c>
      <c r="R13" s="626" t="s">
        <v>25</v>
      </c>
      <c r="S13" s="627">
        <f t="shared" si="0"/>
        <v>100</v>
      </c>
      <c r="T13" s="626" t="s">
        <v>25</v>
      </c>
      <c r="U13" s="627">
        <f t="shared" si="1"/>
        <v>100</v>
      </c>
      <c r="V13" s="626" t="s">
        <v>25</v>
      </c>
      <c r="W13" s="627">
        <f t="shared" si="2"/>
        <v>100</v>
      </c>
      <c r="X13" s="628"/>
      <c r="Y13" s="3670"/>
      <c r="Z13" s="19">
        <f t="shared" si="7"/>
        <v>111</v>
      </c>
      <c r="AA13" s="629">
        <f t="shared" si="3"/>
        <v>1</v>
      </c>
      <c r="AB13" s="629">
        <f t="shared" si="4"/>
        <v>1</v>
      </c>
      <c r="AC13" s="629">
        <f t="shared" si="5"/>
        <v>1</v>
      </c>
    </row>
    <row r="14" spans="1:29" ht="85.5">
      <c r="A14" s="294" t="s">
        <v>2029</v>
      </c>
      <c r="B14" s="511" t="s">
        <v>2167</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68" t="s">
        <v>2030</v>
      </c>
      <c r="Q14" s="1261" t="str">
        <f t="shared" si="6"/>
        <v>交通便捷度</v>
      </c>
      <c r="R14" s="630" t="s">
        <v>25</v>
      </c>
      <c r="S14" s="631">
        <f t="shared" si="0"/>
        <v>100</v>
      </c>
      <c r="T14" s="630" t="s">
        <v>25</v>
      </c>
      <c r="U14" s="631">
        <f t="shared" si="1"/>
        <v>100</v>
      </c>
      <c r="V14" s="630" t="s">
        <v>25</v>
      </c>
      <c r="W14" s="631">
        <f t="shared" si="2"/>
        <v>100</v>
      </c>
      <c r="X14" s="1262"/>
      <c r="Y14" s="3668" t="s">
        <v>2030</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69"/>
      <c r="Q15" s="1261"/>
      <c r="R15" s="630"/>
      <c r="S15" s="631"/>
      <c r="T15" s="630"/>
      <c r="U15" s="631"/>
      <c r="V15" s="630"/>
      <c r="W15" s="631"/>
      <c r="X15" s="1262"/>
      <c r="Y15" s="3669"/>
      <c r="Z15" s="1263"/>
      <c r="AA15" s="1264">
        <v>1</v>
      </c>
      <c r="AB15" s="1264">
        <v>1</v>
      </c>
      <c r="AC15" s="1264">
        <v>1</v>
      </c>
    </row>
    <row r="16" spans="1:29" ht="42.75">
      <c r="A16" s="297"/>
      <c r="B16" s="513" t="s">
        <v>2145</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69"/>
      <c r="Q16" s="1261" t="str">
        <f>B16</f>
        <v>公共配套设施</v>
      </c>
      <c r="R16" s="630" t="s">
        <v>25</v>
      </c>
      <c r="S16" s="631">
        <f>F16</f>
        <v>100</v>
      </c>
      <c r="T16" s="630" t="s">
        <v>25</v>
      </c>
      <c r="U16" s="631">
        <f>H16</f>
        <v>100</v>
      </c>
      <c r="V16" s="630" t="s">
        <v>25</v>
      </c>
      <c r="W16" s="631">
        <f>J16</f>
        <v>100</v>
      </c>
      <c r="X16" s="1262"/>
      <c r="Y16" s="3669"/>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69"/>
      <c r="Q17" s="1261"/>
      <c r="R17" s="630"/>
      <c r="S17" s="631"/>
      <c r="T17" s="630"/>
      <c r="U17" s="631"/>
      <c r="V17" s="630"/>
      <c r="W17" s="631"/>
      <c r="X17" s="1262"/>
      <c r="Y17" s="3669"/>
      <c r="Z17" s="1263"/>
      <c r="AA17" s="1264">
        <v>1</v>
      </c>
      <c r="AB17" s="1264">
        <v>1</v>
      </c>
      <c r="AC17" s="1264">
        <v>1</v>
      </c>
    </row>
    <row r="18" spans="1:29" ht="28.5">
      <c r="A18" s="297"/>
      <c r="B18" s="515" t="s">
        <v>2146</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69"/>
      <c r="Q18" s="1261" t="str">
        <f>B18</f>
        <v>基础设施水平</v>
      </c>
      <c r="R18" s="630" t="s">
        <v>25</v>
      </c>
      <c r="S18" s="631">
        <f>F18</f>
        <v>100</v>
      </c>
      <c r="T18" s="630" t="s">
        <v>25</v>
      </c>
      <c r="U18" s="631">
        <f>H18</f>
        <v>100</v>
      </c>
      <c r="V18" s="630" t="s">
        <v>25</v>
      </c>
      <c r="W18" s="631">
        <f>J18</f>
        <v>100</v>
      </c>
      <c r="X18" s="1262"/>
      <c r="Y18" s="3669"/>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69"/>
      <c r="Q19" s="1261"/>
      <c r="R19" s="630"/>
      <c r="S19" s="631"/>
      <c r="T19" s="630"/>
      <c r="U19" s="631"/>
      <c r="V19" s="630"/>
      <c r="W19" s="631"/>
      <c r="X19" s="1262"/>
      <c r="Y19" s="3669"/>
      <c r="Z19" s="1263"/>
      <c r="AA19" s="1264">
        <v>1</v>
      </c>
      <c r="AB19" s="1264">
        <v>1</v>
      </c>
      <c r="AC19" s="1264">
        <v>1</v>
      </c>
    </row>
    <row r="20" spans="1:29" ht="57">
      <c r="A20" s="297"/>
      <c r="B20" s="513" t="s">
        <v>2168</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69"/>
      <c r="Q20" s="1261" t="str">
        <f>B20</f>
        <v>自然及人文环境</v>
      </c>
      <c r="R20" s="630" t="s">
        <v>25</v>
      </c>
      <c r="S20" s="631">
        <f>F20</f>
        <v>100</v>
      </c>
      <c r="T20" s="630" t="s">
        <v>25</v>
      </c>
      <c r="U20" s="631">
        <f>H20</f>
        <v>100</v>
      </c>
      <c r="V20" s="630" t="s">
        <v>25</v>
      </c>
      <c r="W20" s="631">
        <f>J20</f>
        <v>100</v>
      </c>
      <c r="X20" s="1262"/>
      <c r="Y20" s="3669"/>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69"/>
      <c r="Q21" s="1261"/>
      <c r="R21" s="630"/>
      <c r="S21" s="631"/>
      <c r="T21" s="630"/>
      <c r="U21" s="631"/>
      <c r="V21" s="630"/>
      <c r="W21" s="631"/>
      <c r="X21" s="1262"/>
      <c r="Y21" s="3669"/>
      <c r="Z21" s="1263"/>
      <c r="AA21" s="1264">
        <v>1</v>
      </c>
      <c r="AB21" s="1264">
        <v>1</v>
      </c>
      <c r="AC21" s="1264">
        <v>1</v>
      </c>
    </row>
    <row r="22" spans="1:29" ht="15">
      <c r="A22" s="297"/>
      <c r="B22" s="513" t="s">
        <v>2169</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69"/>
      <c r="Q22" s="1261" t="str">
        <f>B22</f>
        <v>楼层</v>
      </c>
      <c r="R22" s="630" t="s">
        <v>25</v>
      </c>
      <c r="S22" s="631">
        <f>F22</f>
        <v>100</v>
      </c>
      <c r="T22" s="630" t="s">
        <v>25</v>
      </c>
      <c r="U22" s="631">
        <f>H22</f>
        <v>100</v>
      </c>
      <c r="V22" s="630" t="s">
        <v>25</v>
      </c>
      <c r="W22" s="631">
        <f>J22</f>
        <v>100</v>
      </c>
      <c r="X22" s="1262"/>
      <c r="Y22" s="3669"/>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69"/>
      <c r="Q23" s="1261">
        <f>B23</f>
        <v>111</v>
      </c>
      <c r="R23" s="630" t="s">
        <v>25</v>
      </c>
      <c r="S23" s="631">
        <f>F23</f>
        <v>100</v>
      </c>
      <c r="T23" s="630" t="s">
        <v>25</v>
      </c>
      <c r="U23" s="631">
        <f>H23</f>
        <v>100</v>
      </c>
      <c r="V23" s="630" t="s">
        <v>25</v>
      </c>
      <c r="W23" s="631">
        <f>J23</f>
        <v>100</v>
      </c>
      <c r="X23" s="1262"/>
      <c r="Y23" s="3669"/>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69"/>
      <c r="Q24" s="1261">
        <f t="shared" ref="Q24:Q36" si="11">B24</f>
        <v>111</v>
      </c>
      <c r="R24" s="630" t="s">
        <v>25</v>
      </c>
      <c r="S24" s="631">
        <f>F24</f>
        <v>100</v>
      </c>
      <c r="T24" s="630" t="s">
        <v>25</v>
      </c>
      <c r="U24" s="631">
        <f>H24</f>
        <v>100</v>
      </c>
      <c r="V24" s="630" t="s">
        <v>25</v>
      </c>
      <c r="W24" s="631">
        <f>J24</f>
        <v>100</v>
      </c>
      <c r="X24" s="1262"/>
      <c r="Y24" s="3669"/>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69"/>
      <c r="Q25" s="1254">
        <f t="shared" si="11"/>
        <v>111</v>
      </c>
      <c r="R25" s="626" t="s">
        <v>25</v>
      </c>
      <c r="S25" s="627">
        <f>F25</f>
        <v>100</v>
      </c>
      <c r="T25" s="626" t="s">
        <v>25</v>
      </c>
      <c r="U25" s="627">
        <f>H25</f>
        <v>100</v>
      </c>
      <c r="V25" s="626" t="s">
        <v>25</v>
      </c>
      <c r="W25" s="627">
        <f>J25</f>
        <v>100</v>
      </c>
      <c r="X25" s="628"/>
      <c r="Y25" s="3669"/>
      <c r="Z25" s="19">
        <f>Q25</f>
        <v>111</v>
      </c>
      <c r="AA25" s="1264">
        <f>D25/F25</f>
        <v>1</v>
      </c>
      <c r="AB25" s="1264">
        <f>D25/H25</f>
        <v>1</v>
      </c>
      <c r="AC25" s="1264">
        <f>D25/J25</f>
        <v>1</v>
      </c>
    </row>
    <row r="26" spans="1:29" ht="28.5">
      <c r="A26" s="533" t="s">
        <v>2034</v>
      </c>
      <c r="B26" s="23" t="s">
        <v>2170</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71" t="s">
        <v>2036</v>
      </c>
      <c r="Q26" s="1261" t="str">
        <f t="shared" si="11"/>
        <v>配套类型</v>
      </c>
      <c r="R26" s="630" t="s">
        <v>25</v>
      </c>
      <c r="S26" s="631">
        <f t="shared" ref="S26:S36" si="12">F26</f>
        <v>100</v>
      </c>
      <c r="T26" s="630" t="s">
        <v>25</v>
      </c>
      <c r="U26" s="631">
        <f t="shared" ref="U26:U36" si="13">H26</f>
        <v>100</v>
      </c>
      <c r="V26" s="630" t="s">
        <v>25</v>
      </c>
      <c r="W26" s="631">
        <f t="shared" ref="W26:W36" si="14">J26</f>
        <v>100</v>
      </c>
      <c r="X26" s="1262"/>
      <c r="Y26" s="3672" t="s">
        <v>2036</v>
      </c>
      <c r="Z26" s="1263" t="str">
        <f t="shared" ref="Z26:Z36" si="15">Q26</f>
        <v>配套类型</v>
      </c>
      <c r="AA26" s="1264">
        <f t="shared" si="3"/>
        <v>1</v>
      </c>
      <c r="AB26" s="1264">
        <f t="shared" si="4"/>
        <v>1</v>
      </c>
      <c r="AC26" s="1264">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72"/>
      <c r="Q27" s="632" t="str">
        <f t="shared" si="11"/>
        <v>项目停车位配比</v>
      </c>
      <c r="R27" s="633" t="s">
        <v>25</v>
      </c>
      <c r="S27" s="634">
        <f t="shared" si="12"/>
        <v>100</v>
      </c>
      <c r="T27" s="633" t="s">
        <v>25</v>
      </c>
      <c r="U27" s="634">
        <f t="shared" si="13"/>
        <v>100</v>
      </c>
      <c r="V27" s="633" t="s">
        <v>25</v>
      </c>
      <c r="W27" s="634">
        <f t="shared" si="14"/>
        <v>100</v>
      </c>
      <c r="X27" s="635"/>
      <c r="Y27" s="3672"/>
      <c r="Z27" s="636" t="str">
        <f t="shared" si="15"/>
        <v>项目停车位配比</v>
      </c>
      <c r="AA27" s="1264">
        <f t="shared" si="3"/>
        <v>1</v>
      </c>
      <c r="AB27" s="1264">
        <f t="shared" si="4"/>
        <v>1</v>
      </c>
      <c r="AC27" s="1264">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72"/>
      <c r="Q28" s="1261" t="str">
        <f t="shared" si="11"/>
        <v>公共部分装修</v>
      </c>
      <c r="R28" s="630" t="s">
        <v>25</v>
      </c>
      <c r="S28" s="631">
        <f t="shared" si="12"/>
        <v>100</v>
      </c>
      <c r="T28" s="630" t="s">
        <v>25</v>
      </c>
      <c r="U28" s="631">
        <f t="shared" si="13"/>
        <v>100</v>
      </c>
      <c r="V28" s="630" t="s">
        <v>25</v>
      </c>
      <c r="W28" s="631">
        <f t="shared" si="14"/>
        <v>100</v>
      </c>
      <c r="X28" s="1262"/>
      <c r="Y28" s="3672"/>
      <c r="Z28" s="1263" t="str">
        <f t="shared" si="15"/>
        <v>公共部分装修</v>
      </c>
      <c r="AA28" s="1264">
        <f t="shared" si="3"/>
        <v>1</v>
      </c>
      <c r="AB28" s="1264">
        <f t="shared" si="4"/>
        <v>1</v>
      </c>
      <c r="AC28" s="1264">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72"/>
      <c r="Q29" s="1261" t="str">
        <f t="shared" si="11"/>
        <v>成新率</v>
      </c>
      <c r="R29" s="630" t="s">
        <v>25</v>
      </c>
      <c r="S29" s="631" t="e">
        <f t="shared" si="12"/>
        <v>#N/A</v>
      </c>
      <c r="T29" s="630" t="s">
        <v>25</v>
      </c>
      <c r="U29" s="631" t="e">
        <f t="shared" si="13"/>
        <v>#N/A</v>
      </c>
      <c r="V29" s="630" t="s">
        <v>25</v>
      </c>
      <c r="W29" s="631" t="e">
        <f t="shared" si="14"/>
        <v>#N/A</v>
      </c>
      <c r="X29" s="1262"/>
      <c r="Y29" s="3672"/>
      <c r="Z29" s="1263" t="str">
        <f t="shared" si="15"/>
        <v>成新率</v>
      </c>
      <c r="AA29" s="1264" t="e">
        <f t="shared" si="3"/>
        <v>#N/A</v>
      </c>
      <c r="AB29" s="1264" t="e">
        <f t="shared" si="4"/>
        <v>#N/A</v>
      </c>
      <c r="AC29" s="1264"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72"/>
      <c r="Q30" s="1261" t="str">
        <f t="shared" si="11"/>
        <v>物业等级</v>
      </c>
      <c r="R30" s="630" t="s">
        <v>25</v>
      </c>
      <c r="S30" s="631">
        <f t="shared" si="12"/>
        <v>100</v>
      </c>
      <c r="T30" s="630" t="s">
        <v>25</v>
      </c>
      <c r="U30" s="631">
        <f t="shared" si="13"/>
        <v>100</v>
      </c>
      <c r="V30" s="630" t="s">
        <v>25</v>
      </c>
      <c r="W30" s="631">
        <f t="shared" si="14"/>
        <v>100</v>
      </c>
      <c r="X30" s="1262"/>
      <c r="Y30" s="3672"/>
      <c r="Z30" s="1263" t="str">
        <f t="shared" si="15"/>
        <v>物业等级</v>
      </c>
      <c r="AA30" s="1264">
        <f t="shared" si="3"/>
        <v>1</v>
      </c>
      <c r="AB30" s="1264">
        <f t="shared" si="4"/>
        <v>1</v>
      </c>
      <c r="AC30" s="1264">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72"/>
      <c r="Q31" s="1254" t="str">
        <f t="shared" si="11"/>
        <v>停车位面积</v>
      </c>
      <c r="R31" s="626" t="s">
        <v>25</v>
      </c>
      <c r="S31" s="627" t="e">
        <f t="shared" si="12"/>
        <v>#N/A</v>
      </c>
      <c r="T31" s="626" t="s">
        <v>25</v>
      </c>
      <c r="U31" s="627" t="e">
        <f t="shared" si="13"/>
        <v>#N/A</v>
      </c>
      <c r="V31" s="626" t="s">
        <v>25</v>
      </c>
      <c r="W31" s="627" t="e">
        <f t="shared" si="14"/>
        <v>#N/A</v>
      </c>
      <c r="X31" s="628"/>
      <c r="Y31" s="3672"/>
      <c r="Z31" s="19" t="str">
        <f t="shared" si="15"/>
        <v>停车位面积</v>
      </c>
      <c r="AA31" s="629" t="e">
        <f t="shared" si="3"/>
        <v>#N/A</v>
      </c>
      <c r="AB31" s="629" t="e">
        <f t="shared" si="4"/>
        <v>#N/A</v>
      </c>
      <c r="AC31" s="629"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72" t="s">
        <v>2036</v>
      </c>
      <c r="Q32" s="1261" t="str">
        <f t="shared" si="11"/>
        <v>车位类型</v>
      </c>
      <c r="R32" s="630" t="s">
        <v>25</v>
      </c>
      <c r="S32" s="631">
        <f t="shared" si="12"/>
        <v>100</v>
      </c>
      <c r="T32" s="630" t="s">
        <v>25</v>
      </c>
      <c r="U32" s="631">
        <f t="shared" si="13"/>
        <v>100</v>
      </c>
      <c r="V32" s="630" t="s">
        <v>25</v>
      </c>
      <c r="W32" s="631">
        <f t="shared" si="14"/>
        <v>100</v>
      </c>
      <c r="X32" s="1262"/>
      <c r="Y32" s="3672" t="s">
        <v>2036</v>
      </c>
      <c r="Z32" s="1263" t="str">
        <f t="shared" si="15"/>
        <v>车位类型</v>
      </c>
      <c r="AA32" s="1264">
        <f t="shared" si="3"/>
        <v>1</v>
      </c>
      <c r="AB32" s="1264">
        <f t="shared" si="4"/>
        <v>1</v>
      </c>
      <c r="AC32" s="1264">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72"/>
      <c r="Q33" s="1261" t="str">
        <f t="shared" si="11"/>
        <v>是否直接入户</v>
      </c>
      <c r="R33" s="630" t="s">
        <v>25</v>
      </c>
      <c r="S33" s="631">
        <f t="shared" si="12"/>
        <v>100</v>
      </c>
      <c r="T33" s="630" t="s">
        <v>25</v>
      </c>
      <c r="U33" s="631">
        <f t="shared" si="13"/>
        <v>100</v>
      </c>
      <c r="V33" s="630" t="s">
        <v>25</v>
      </c>
      <c r="W33" s="631">
        <f t="shared" si="14"/>
        <v>100</v>
      </c>
      <c r="X33" s="1262"/>
      <c r="Y33" s="3672"/>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72"/>
      <c r="Q34" s="1261">
        <f t="shared" si="11"/>
        <v>111</v>
      </c>
      <c r="R34" s="630" t="s">
        <v>25</v>
      </c>
      <c r="S34" s="631">
        <f t="shared" si="12"/>
        <v>100</v>
      </c>
      <c r="T34" s="630" t="s">
        <v>25</v>
      </c>
      <c r="U34" s="631">
        <f t="shared" si="13"/>
        <v>100</v>
      </c>
      <c r="V34" s="630" t="s">
        <v>25</v>
      </c>
      <c r="W34" s="631">
        <f t="shared" si="14"/>
        <v>100</v>
      </c>
      <c r="X34" s="1262"/>
      <c r="Y34" s="3672"/>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72"/>
      <c r="Q35" s="632">
        <f t="shared" si="11"/>
        <v>111</v>
      </c>
      <c r="R35" s="633" t="s">
        <v>25</v>
      </c>
      <c r="S35" s="634">
        <f t="shared" si="12"/>
        <v>100</v>
      </c>
      <c r="T35" s="633" t="s">
        <v>25</v>
      </c>
      <c r="U35" s="634">
        <f t="shared" si="13"/>
        <v>100</v>
      </c>
      <c r="V35" s="633" t="s">
        <v>25</v>
      </c>
      <c r="W35" s="634">
        <f t="shared" si="14"/>
        <v>100</v>
      </c>
      <c r="X35" s="635"/>
      <c r="Y35" s="3672"/>
      <c r="Z35" s="636">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72"/>
      <c r="Q36" s="1261">
        <f t="shared" si="11"/>
        <v>111</v>
      </c>
      <c r="R36" s="630" t="s">
        <v>25</v>
      </c>
      <c r="S36" s="631">
        <f t="shared" si="12"/>
        <v>100</v>
      </c>
      <c r="T36" s="630" t="s">
        <v>25</v>
      </c>
      <c r="U36" s="631">
        <f t="shared" si="13"/>
        <v>100</v>
      </c>
      <c r="V36" s="630" t="s">
        <v>25</v>
      </c>
      <c r="W36" s="631">
        <f t="shared" si="14"/>
        <v>100</v>
      </c>
      <c r="X36" s="1262"/>
      <c r="Y36" s="3672"/>
      <c r="Z36" s="1263">
        <f t="shared" si="15"/>
        <v>111</v>
      </c>
      <c r="AA36" s="1264">
        <f t="shared" si="3"/>
        <v>1</v>
      </c>
      <c r="AB36" s="1264">
        <f t="shared" si="4"/>
        <v>1</v>
      </c>
      <c r="AC36" s="1264">
        <f t="shared" si="5"/>
        <v>1</v>
      </c>
    </row>
    <row r="37" spans="1:29" ht="15">
      <c r="A37" s="367" t="s">
        <v>2178</v>
      </c>
      <c r="B37" s="797" t="s">
        <v>2179</v>
      </c>
      <c r="C37" s="1081" t="s">
        <v>1</v>
      </c>
      <c r="D37" s="1082"/>
      <c r="E37" s="1083"/>
      <c r="F37" s="1084"/>
      <c r="G37" s="1085"/>
      <c r="H37" s="1086"/>
      <c r="I37" s="1083"/>
      <c r="J37" s="1086"/>
      <c r="K37" s="503"/>
      <c r="L37" s="2954"/>
      <c r="N37" s="2943"/>
      <c r="P37" s="3640" t="str">
        <f>A37</f>
        <v>成交单价</v>
      </c>
      <c r="Q37" s="3640"/>
      <c r="R37" s="3674">
        <f>E37</f>
        <v>0</v>
      </c>
      <c r="S37" s="3674"/>
      <c r="T37" s="3674">
        <f>G37</f>
        <v>0</v>
      </c>
      <c r="U37" s="3674"/>
      <c r="V37" s="3674">
        <f>I37</f>
        <v>0</v>
      </c>
      <c r="W37" s="3674"/>
      <c r="X37" s="617"/>
      <c r="Y37" s="637"/>
      <c r="Z37" s="617"/>
      <c r="AA37" s="617"/>
      <c r="AB37" s="617"/>
      <c r="AC37" s="617"/>
    </row>
    <row r="38" spans="1:29" ht="15.75" thickBot="1">
      <c r="A38" s="374" t="s">
        <v>2180</v>
      </c>
      <c r="B38" s="375" t="str">
        <f>B37</f>
        <v>元/平方米</v>
      </c>
      <c r="C38" s="1087" t="e">
        <f>R39</f>
        <v>#DIV/0!</v>
      </c>
      <c r="D38" s="1724" t="s">
        <v>2502</v>
      </c>
      <c r="E38" s="1088" t="e">
        <f>R38</f>
        <v>#DIV/0!</v>
      </c>
      <c r="F38" s="1726"/>
      <c r="G38" s="1087" t="e">
        <f>T38</f>
        <v>#DIV/0!</v>
      </c>
      <c r="H38" s="1726"/>
      <c r="I38" s="1088" t="e">
        <f>V38</f>
        <v>#DIV/0!</v>
      </c>
      <c r="J38" s="1726"/>
      <c r="K38" s="2428">
        <f>F38+H38+J38</f>
        <v>0</v>
      </c>
      <c r="L38" s="2954"/>
      <c r="P38" s="3640" t="str">
        <f>A38</f>
        <v>比较价值</v>
      </c>
      <c r="Q38" s="3640"/>
      <c r="R38" s="3674" t="e">
        <f>IF(E1="售价",ROUND(PRODUCT(R37,AA7:AA36),0),ROUND(PRODUCT(R37,AA7:AA36),1))</f>
        <v>#DIV/0!</v>
      </c>
      <c r="S38" s="3674"/>
      <c r="T38" s="3674" t="e">
        <f>IF(E1="售价",ROUND(PRODUCT(T37,AB7:AB36),0),ROUND(PRODUCT(T37,AB7:AB36),1))</f>
        <v>#DIV/0!</v>
      </c>
      <c r="U38" s="3674"/>
      <c r="V38" s="3674" t="e">
        <f>IF(E1="售价",ROUND(PRODUCT(V37,AC7:AC36),0),ROUND(PRODUCT(V37,AC7:AC36),1))</f>
        <v>#DIV/0!</v>
      </c>
      <c r="W38" s="3674"/>
      <c r="X38" s="617"/>
      <c r="Y38" s="617"/>
      <c r="Z38" s="617"/>
      <c r="AA38" s="617"/>
      <c r="AB38" s="617"/>
      <c r="AC38" s="617"/>
    </row>
    <row r="39" spans="1:29" ht="15.75" thickBot="1">
      <c r="A39" s="378" t="s">
        <v>2181</v>
      </c>
      <c r="B39" s="379"/>
      <c r="C39" s="1089" t="e">
        <f>R39</f>
        <v>#DIV/0!</v>
      </c>
      <c r="D39" s="1089"/>
      <c r="E39" s="1089"/>
      <c r="F39" s="1089"/>
      <c r="G39" s="1089"/>
      <c r="H39" s="1089"/>
      <c r="I39" s="1089"/>
      <c r="J39" s="1089"/>
      <c r="K39" s="504"/>
      <c r="L39" s="2954"/>
      <c r="P39" s="3675" t="str">
        <f>A39</f>
        <v>估价对象XX用房的比较价值（楼面单价，元/平方米）</v>
      </c>
      <c r="Q39" s="3676"/>
      <c r="R39" s="3677" t="e">
        <f>IF(E1="售价",ROUND(IF(D38="简单平均",AVERAGE(R38:W38),R38*F38+T38*H38+V38*J38),0),ROUND(IF(D38="简单平均",AVERAGE(R38:V38),R38*F38+T38*H38+V38*J38),1))</f>
        <v>#DIV/0!</v>
      </c>
      <c r="S39" s="3677"/>
      <c r="T39" s="3677"/>
      <c r="U39" s="3677"/>
      <c r="V39" s="3677"/>
      <c r="W39" s="3677"/>
      <c r="X39" s="617"/>
      <c r="Y39" s="617"/>
      <c r="Z39" s="617"/>
      <c r="AA39" s="617"/>
      <c r="AB39" s="617"/>
      <c r="AC39" s="617"/>
    </row>
    <row r="40" spans="1:29">
      <c r="G40" s="2957"/>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8"/>
      <c r="Q44" s="618"/>
      <c r="R44" s="618"/>
      <c r="S44" s="618"/>
      <c r="T44" s="618"/>
      <c r="U44" s="618"/>
      <c r="V44" s="618"/>
      <c r="W44" s="618"/>
      <c r="X44" s="618"/>
      <c r="Y44" s="618"/>
      <c r="Z44" s="618"/>
      <c r="AA44" s="618"/>
      <c r="AB44" s="618"/>
      <c r="AC44" s="618"/>
    </row>
    <row r="45" spans="1:29" s="388" customFormat="1">
      <c r="B45" s="2956"/>
      <c r="C45" s="2959"/>
      <c r="K45" s="2958"/>
      <c r="L45" s="2955"/>
      <c r="P45" s="618"/>
      <c r="Q45" s="618"/>
      <c r="R45" s="618"/>
      <c r="S45" s="618"/>
      <c r="T45" s="618"/>
      <c r="U45" s="618"/>
      <c r="V45" s="618"/>
      <c r="W45" s="618"/>
      <c r="X45" s="618"/>
      <c r="Y45" s="618"/>
      <c r="Z45" s="618"/>
      <c r="AA45" s="618"/>
      <c r="AB45" s="618"/>
      <c r="AC45" s="618"/>
    </row>
    <row r="46" spans="1:29">
      <c r="B46" s="2956"/>
      <c r="C46" s="2959"/>
      <c r="P46" s="617"/>
      <c r="Q46" s="617"/>
      <c r="R46" s="617"/>
      <c r="S46" s="617"/>
      <c r="T46" s="617"/>
      <c r="U46" s="617"/>
      <c r="V46" s="617"/>
      <c r="W46" s="617"/>
      <c r="X46" s="617"/>
      <c r="Y46" s="617"/>
      <c r="Z46" s="617"/>
      <c r="AA46" s="617"/>
      <c r="AB46" s="617"/>
      <c r="AC46" s="617"/>
    </row>
    <row r="47" spans="1:29" ht="21.75" thickBot="1">
      <c r="A47" s="1091" t="s">
        <v>2185</v>
      </c>
      <c r="B47" s="912"/>
      <c r="C47" s="920"/>
      <c r="D47" s="920"/>
      <c r="E47" s="920"/>
      <c r="F47" s="1092"/>
      <c r="G47" s="1092"/>
      <c r="H47" s="920"/>
      <c r="I47" s="920"/>
      <c r="J47" s="920"/>
      <c r="K47" s="918"/>
      <c r="L47" s="623"/>
      <c r="M47" s="620"/>
      <c r="N47" s="620"/>
      <c r="O47" s="620"/>
      <c r="P47" s="620"/>
      <c r="Q47" s="1090"/>
      <c r="R47" s="617"/>
      <c r="S47" s="617"/>
      <c r="T47" s="617"/>
      <c r="U47" s="617"/>
      <c r="V47" s="617"/>
      <c r="W47" s="617"/>
      <c r="X47" s="617"/>
      <c r="Y47" s="617"/>
      <c r="Z47" s="617"/>
      <c r="AA47" s="617"/>
      <c r="AB47" s="617"/>
      <c r="AC47" s="617"/>
    </row>
    <row r="48" spans="1:29" s="394" customFormat="1" ht="15">
      <c r="A48" s="391" t="s">
        <v>2186</v>
      </c>
      <c r="B48" s="392"/>
      <c r="C48" s="1115" t="str">
        <f>YEAR(C7)&amp;"-"&amp;MONTH(C7)</f>
        <v>2022-8</v>
      </c>
      <c r="D48" s="1116">
        <f>EDATE(C48,-1)</f>
        <v>44743</v>
      </c>
      <c r="E48" s="1116">
        <f t="shared" ref="E48:O48" si="16">EDATE(D48,-1)</f>
        <v>44713</v>
      </c>
      <c r="F48" s="1116">
        <f t="shared" si="16"/>
        <v>44682</v>
      </c>
      <c r="G48" s="1116">
        <f t="shared" si="16"/>
        <v>44652</v>
      </c>
      <c r="H48" s="1116">
        <f t="shared" si="16"/>
        <v>44621</v>
      </c>
      <c r="I48" s="1116">
        <f t="shared" si="16"/>
        <v>44593</v>
      </c>
      <c r="J48" s="1116">
        <f t="shared" si="16"/>
        <v>44562</v>
      </c>
      <c r="K48" s="1116">
        <f t="shared" si="16"/>
        <v>44531</v>
      </c>
      <c r="L48" s="1116">
        <f t="shared" si="16"/>
        <v>44501</v>
      </c>
      <c r="M48" s="1116">
        <f t="shared" si="16"/>
        <v>44470</v>
      </c>
      <c r="N48" s="1116">
        <f t="shared" si="16"/>
        <v>44440</v>
      </c>
      <c r="O48" s="1116">
        <f t="shared" si="16"/>
        <v>44409</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2056</v>
      </c>
      <c r="B50" s="401"/>
      <c r="C50" s="402"/>
      <c r="D50" s="403"/>
      <c r="E50" s="403"/>
      <c r="F50" s="403"/>
      <c r="G50" s="403"/>
      <c r="H50" s="403"/>
      <c r="I50" s="403"/>
      <c r="J50" s="403"/>
      <c r="K50" s="403"/>
      <c r="L50" s="403"/>
      <c r="M50" s="404"/>
      <c r="N50" s="403"/>
      <c r="O50" s="405"/>
      <c r="P50" s="390"/>
      <c r="Q50" s="390"/>
    </row>
    <row r="51" spans="1:17" s="25" customFormat="1" ht="15">
      <c r="A51" s="406" t="s">
        <v>2020</v>
      </c>
      <c r="B51" s="396"/>
      <c r="C51" s="407" t="s">
        <v>2021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2059</v>
      </c>
      <c r="B53" s="413" t="s">
        <v>2024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2027</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2029</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2146</v>
      </c>
      <c r="C67" s="426" t="s">
        <v>2075</v>
      </c>
      <c r="D67" s="426" t="s">
        <v>2076</v>
      </c>
      <c r="E67" s="426" t="s">
        <v>2077</v>
      </c>
      <c r="F67" s="426" t="s">
        <v>2078</v>
      </c>
      <c r="G67" s="426" t="s">
        <v>2079</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2034</v>
      </c>
      <c r="B79" s="413" t="s">
        <v>2188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2165</v>
      </c>
      <c r="B1" s="1509"/>
      <c r="C1" s="1149"/>
      <c r="D1" s="1159"/>
      <c r="E1" s="1486" t="s">
        <v>2503</v>
      </c>
      <c r="F1" s="1160" t="s">
        <v>2003</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4"/>
      <c r="Q2" s="624"/>
      <c r="R2" s="624"/>
      <c r="S2" s="624"/>
      <c r="T2" s="624"/>
      <c r="U2" s="624"/>
      <c r="V2" s="624"/>
      <c r="W2" s="624"/>
      <c r="X2" s="624"/>
      <c r="Y2" s="624"/>
      <c r="Z2" s="624"/>
      <c r="AA2" s="624"/>
      <c r="AB2" s="624"/>
      <c r="AC2" s="625"/>
    </row>
    <row r="3" spans="1:29" s="291" customFormat="1" ht="28.5" customHeight="1" thickBot="1">
      <c r="A3" s="83" t="s">
        <v>1675</v>
      </c>
      <c r="B3" s="495" t="e">
        <f ca="1">ROUND(IF(D2="——",C37,IF(C2="万元",B2*10000/D3,B2/D3)),0)</f>
        <v>#DIV/0!</v>
      </c>
      <c r="C3" s="293" t="s">
        <v>2004</v>
      </c>
      <c r="D3" s="292">
        <f>IF(C1="仅计算典型户型",'数据-取费表'!E5,'数据-取费表'!B5)</f>
        <v>400.8</v>
      </c>
      <c r="E3" s="2937"/>
      <c r="F3" s="2940"/>
      <c r="G3" s="2937"/>
      <c r="H3" s="2937"/>
      <c r="I3" s="2937"/>
      <c r="J3" s="2937"/>
      <c r="K3" s="2941"/>
      <c r="L3" s="2938"/>
      <c r="M3" s="2939"/>
      <c r="N3" s="2939"/>
      <c r="O3" s="2939"/>
      <c r="P3" s="624"/>
      <c r="Q3" s="624"/>
      <c r="R3" s="624"/>
      <c r="S3" s="624"/>
      <c r="T3" s="624"/>
      <c r="U3" s="624"/>
      <c r="V3" s="624"/>
      <c r="W3" s="624"/>
      <c r="X3" s="624"/>
      <c r="Y3" s="624"/>
      <c r="Z3" s="624"/>
      <c r="AA3" s="624"/>
      <c r="AB3" s="643"/>
      <c r="AC3" s="638"/>
    </row>
    <row r="4" spans="1:29" ht="15">
      <c r="A4" s="294" t="s">
        <v>2005</v>
      </c>
      <c r="B4" s="295"/>
      <c r="C4" s="3648" t="s">
        <v>2006</v>
      </c>
      <c r="D4" s="3649"/>
      <c r="E4" s="3650" t="s">
        <v>2007</v>
      </c>
      <c r="F4" s="3651"/>
      <c r="G4" s="3648" t="s">
        <v>2008</v>
      </c>
      <c r="H4" s="3649"/>
      <c r="I4" s="3648" t="s">
        <v>2009</v>
      </c>
      <c r="J4" s="3649"/>
      <c r="K4" s="496" t="s">
        <v>2010</v>
      </c>
      <c r="L4" s="2942"/>
      <c r="M4" s="2943"/>
      <c r="N4" s="2943"/>
      <c r="O4" s="2943"/>
      <c r="P4" s="3652" t="s">
        <v>2011</v>
      </c>
      <c r="Q4" s="3653"/>
      <c r="R4" s="3658" t="s">
        <v>2007</v>
      </c>
      <c r="S4" s="3659"/>
      <c r="T4" s="3658" t="s">
        <v>2008</v>
      </c>
      <c r="U4" s="3659"/>
      <c r="V4" s="3664" t="s">
        <v>2009</v>
      </c>
      <c r="W4" s="3664"/>
      <c r="X4" s="1262"/>
      <c r="Y4" s="3658" t="s">
        <v>2011</v>
      </c>
      <c r="Z4" s="3659"/>
      <c r="AA4" s="3645" t="s">
        <v>2007</v>
      </c>
      <c r="AB4" s="3646" t="s">
        <v>2008</v>
      </c>
      <c r="AC4" s="3645" t="s">
        <v>2009</v>
      </c>
    </row>
    <row r="5" spans="1:29" ht="15">
      <c r="A5" s="297"/>
      <c r="B5" s="298"/>
      <c r="C5" s="3641" t="s">
        <v>2012</v>
      </c>
      <c r="D5" s="3642"/>
      <c r="E5" s="3665" t="s">
        <v>2013</v>
      </c>
      <c r="F5" s="3666"/>
      <c r="G5" s="3641" t="s">
        <v>2014</v>
      </c>
      <c r="H5" s="3642"/>
      <c r="I5" s="3641" t="s">
        <v>2015</v>
      </c>
      <c r="J5" s="3642"/>
      <c r="K5" s="496"/>
      <c r="L5" s="2942"/>
      <c r="M5" s="2943"/>
      <c r="N5" s="2943"/>
      <c r="O5" s="2943"/>
      <c r="P5" s="3654"/>
      <c r="Q5" s="3655"/>
      <c r="R5" s="3660"/>
      <c r="S5" s="3661"/>
      <c r="T5" s="3660"/>
      <c r="U5" s="3661"/>
      <c r="V5" s="3664"/>
      <c r="W5" s="3664"/>
      <c r="X5" s="1262"/>
      <c r="Y5" s="3660"/>
      <c r="Z5" s="3661"/>
      <c r="AA5" s="3646"/>
      <c r="AB5" s="3646"/>
      <c r="AC5" s="3646"/>
    </row>
    <row r="6" spans="1:29" ht="15.75" thickBot="1">
      <c r="A6" s="299"/>
      <c r="B6" s="300"/>
      <c r="C6" s="3638" t="s">
        <v>2016</v>
      </c>
      <c r="D6" s="3639"/>
      <c r="E6" s="3636" t="s">
        <v>2016</v>
      </c>
      <c r="F6" s="3637"/>
      <c r="G6" s="3638" t="s">
        <v>2016</v>
      </c>
      <c r="H6" s="3639"/>
      <c r="I6" s="3638" t="s">
        <v>2016</v>
      </c>
      <c r="J6" s="3639"/>
      <c r="K6" s="496" t="s">
        <v>2017</v>
      </c>
      <c r="L6" s="2942"/>
      <c r="M6" s="2943"/>
      <c r="N6" s="2943"/>
      <c r="O6" s="2943"/>
      <c r="P6" s="3656"/>
      <c r="Q6" s="3657"/>
      <c r="R6" s="3660"/>
      <c r="S6" s="3661"/>
      <c r="T6" s="3662"/>
      <c r="U6" s="3663"/>
      <c r="V6" s="3664"/>
      <c r="W6" s="3664"/>
      <c r="X6" s="1262"/>
      <c r="Y6" s="3662"/>
      <c r="Z6" s="3663"/>
      <c r="AA6" s="3647"/>
      <c r="AB6" s="3647"/>
      <c r="AC6" s="3647"/>
    </row>
    <row r="7" spans="1:29" s="25" customFormat="1" ht="15.75" thickBot="1">
      <c r="A7" s="301" t="s">
        <v>2018</v>
      </c>
      <c r="B7" s="302"/>
      <c r="C7" s="303">
        <f>'数据-取费表'!B2</f>
        <v>44795</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43" t="s">
        <v>2019</v>
      </c>
      <c r="Q7" s="3667"/>
      <c r="R7" s="626" t="s">
        <v>25</v>
      </c>
      <c r="S7" s="627">
        <f t="shared" ref="S7:S14" si="0">F7</f>
        <v>0</v>
      </c>
      <c r="T7" s="626" t="s">
        <v>25</v>
      </c>
      <c r="U7" s="627">
        <f t="shared" ref="U7:U14" si="1">H7</f>
        <v>0</v>
      </c>
      <c r="V7" s="626" t="s">
        <v>25</v>
      </c>
      <c r="W7" s="627">
        <f t="shared" ref="W7:W14" si="2">J7</f>
        <v>0</v>
      </c>
      <c r="X7" s="628"/>
      <c r="Y7" s="3643" t="s">
        <v>2019</v>
      </c>
      <c r="Z7" s="3644"/>
      <c r="AA7" s="629" t="e">
        <f>D7/F7</f>
        <v>#DIV/0!</v>
      </c>
      <c r="AB7" s="629" t="e">
        <f>D7/H7</f>
        <v>#DIV/0!</v>
      </c>
      <c r="AC7" s="629" t="e">
        <f>D7/J7</f>
        <v>#DIV/0!</v>
      </c>
    </row>
    <row r="8" spans="1:29" s="25" customFormat="1" ht="15.75" thickBot="1">
      <c r="A8" s="301" t="s">
        <v>2020</v>
      </c>
      <c r="B8" s="302"/>
      <c r="C8" s="307" t="s">
        <v>2021</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3" t="s">
        <v>2022</v>
      </c>
      <c r="Q8" s="3644"/>
      <c r="R8" s="626" t="s">
        <v>25</v>
      </c>
      <c r="S8" s="627">
        <f t="shared" si="0"/>
        <v>0</v>
      </c>
      <c r="T8" s="626" t="s">
        <v>25</v>
      </c>
      <c r="U8" s="627">
        <f t="shared" si="1"/>
        <v>0</v>
      </c>
      <c r="V8" s="626" t="s">
        <v>25</v>
      </c>
      <c r="W8" s="627">
        <f t="shared" si="2"/>
        <v>0</v>
      </c>
      <c r="X8" s="628"/>
      <c r="Y8" s="3643" t="s">
        <v>2022</v>
      </c>
      <c r="Z8" s="3644"/>
      <c r="AA8" s="629" t="e">
        <f t="shared" ref="AA8:AA34" si="3">D8/F8</f>
        <v>#DIV/0!</v>
      </c>
      <c r="AB8" s="629" t="e">
        <f t="shared" ref="AB8:AB34" si="4">D8/H8</f>
        <v>#DIV/0!</v>
      </c>
      <c r="AC8" s="629" t="e">
        <f t="shared" ref="AC8:AC34" si="5">D8/J8</f>
        <v>#DIV/0!</v>
      </c>
    </row>
    <row r="9" spans="1:29" s="25" customFormat="1">
      <c r="A9" s="308" t="s">
        <v>2023</v>
      </c>
      <c r="B9" s="24" t="s">
        <v>2024</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40" t="s">
        <v>2025</v>
      </c>
      <c r="Q9" s="1254" t="str">
        <f t="shared" ref="Q9:Q14" si="6">B9</f>
        <v>用途</v>
      </c>
      <c r="R9" s="626" t="s">
        <v>25</v>
      </c>
      <c r="S9" s="627">
        <f t="shared" si="0"/>
        <v>100</v>
      </c>
      <c r="T9" s="626" t="s">
        <v>25</v>
      </c>
      <c r="U9" s="627">
        <f t="shared" si="1"/>
        <v>100</v>
      </c>
      <c r="V9" s="626" t="s">
        <v>25</v>
      </c>
      <c r="W9" s="627">
        <f t="shared" si="2"/>
        <v>100</v>
      </c>
      <c r="X9" s="628"/>
      <c r="Y9" s="3670" t="s">
        <v>2026</v>
      </c>
      <c r="Z9" s="19" t="str">
        <f t="shared" ref="Z9:Z14" si="7">Q9</f>
        <v>用途</v>
      </c>
      <c r="AA9" s="629">
        <f t="shared" si="3"/>
        <v>1</v>
      </c>
      <c r="AB9" s="629">
        <f t="shared" si="4"/>
        <v>1</v>
      </c>
      <c r="AC9" s="629">
        <f t="shared" si="5"/>
        <v>1</v>
      </c>
    </row>
    <row r="10" spans="1:29" s="317" customFormat="1" ht="27">
      <c r="A10" s="312"/>
      <c r="B10" s="313" t="s">
        <v>2027</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40"/>
      <c r="Q10" s="1254" t="str">
        <f t="shared" si="6"/>
        <v>土地使用年限（年）</v>
      </c>
      <c r="R10" s="626" t="s">
        <v>25</v>
      </c>
      <c r="S10" s="627">
        <f t="shared" si="0"/>
        <v>100</v>
      </c>
      <c r="T10" s="626" t="s">
        <v>25</v>
      </c>
      <c r="U10" s="627">
        <f t="shared" si="1"/>
        <v>100</v>
      </c>
      <c r="V10" s="626" t="s">
        <v>25</v>
      </c>
      <c r="W10" s="627">
        <f t="shared" si="2"/>
        <v>100</v>
      </c>
      <c r="X10" s="628"/>
      <c r="Y10" s="3670"/>
      <c r="Z10" s="19" t="str">
        <f t="shared" si="7"/>
        <v>土地使用年限（年）</v>
      </c>
      <c r="AA10" s="629">
        <f t="shared" si="3"/>
        <v>1</v>
      </c>
      <c r="AB10" s="629">
        <f t="shared" si="4"/>
        <v>1</v>
      </c>
      <c r="AC10" s="629">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40"/>
      <c r="Q11" s="1254">
        <f t="shared" si="6"/>
        <v>111</v>
      </c>
      <c r="R11" s="626" t="s">
        <v>25</v>
      </c>
      <c r="S11" s="627">
        <f t="shared" si="0"/>
        <v>100</v>
      </c>
      <c r="T11" s="626" t="s">
        <v>25</v>
      </c>
      <c r="U11" s="627">
        <f t="shared" si="1"/>
        <v>100</v>
      </c>
      <c r="V11" s="626" t="s">
        <v>25</v>
      </c>
      <c r="W11" s="627">
        <f t="shared" si="2"/>
        <v>100</v>
      </c>
      <c r="X11" s="628"/>
      <c r="Y11" s="3670"/>
      <c r="Z11" s="19">
        <f t="shared" si="7"/>
        <v>111</v>
      </c>
      <c r="AA11" s="629">
        <f t="shared" si="3"/>
        <v>1</v>
      </c>
      <c r="AB11" s="629">
        <f t="shared" si="4"/>
        <v>1</v>
      </c>
      <c r="AC11" s="629">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40"/>
      <c r="Q12" s="1254">
        <f t="shared" si="6"/>
        <v>111</v>
      </c>
      <c r="R12" s="626" t="s">
        <v>25</v>
      </c>
      <c r="S12" s="627">
        <f t="shared" si="0"/>
        <v>100</v>
      </c>
      <c r="T12" s="626" t="s">
        <v>25</v>
      </c>
      <c r="U12" s="627">
        <f t="shared" si="1"/>
        <v>100</v>
      </c>
      <c r="V12" s="626" t="s">
        <v>25</v>
      </c>
      <c r="W12" s="627">
        <f t="shared" si="2"/>
        <v>100</v>
      </c>
      <c r="X12" s="628"/>
      <c r="Y12" s="3670"/>
      <c r="Z12" s="19">
        <f t="shared" si="7"/>
        <v>111</v>
      </c>
      <c r="AA12" s="629">
        <f>D12/F12</f>
        <v>1</v>
      </c>
      <c r="AB12" s="629">
        <f>D12/H12</f>
        <v>1</v>
      </c>
      <c r="AC12" s="629">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40"/>
      <c r="Q13" s="1254">
        <f t="shared" si="6"/>
        <v>111</v>
      </c>
      <c r="R13" s="626" t="s">
        <v>25</v>
      </c>
      <c r="S13" s="627">
        <f t="shared" si="0"/>
        <v>100</v>
      </c>
      <c r="T13" s="626" t="s">
        <v>25</v>
      </c>
      <c r="U13" s="627">
        <f t="shared" si="1"/>
        <v>100</v>
      </c>
      <c r="V13" s="626" t="s">
        <v>25</v>
      </c>
      <c r="W13" s="627">
        <f t="shared" si="2"/>
        <v>100</v>
      </c>
      <c r="X13" s="628"/>
      <c r="Y13" s="3670"/>
      <c r="Z13" s="19">
        <f t="shared" si="7"/>
        <v>111</v>
      </c>
      <c r="AA13" s="629">
        <f t="shared" si="3"/>
        <v>1</v>
      </c>
      <c r="AB13" s="629">
        <f t="shared" si="4"/>
        <v>1</v>
      </c>
      <c r="AC13" s="629">
        <f t="shared" si="5"/>
        <v>1</v>
      </c>
    </row>
    <row r="14" spans="1:29" ht="85.5">
      <c r="A14" s="329" t="s">
        <v>2029</v>
      </c>
      <c r="B14" s="22" t="s">
        <v>2167</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68" t="s">
        <v>2030</v>
      </c>
      <c r="Q14" s="1261" t="str">
        <f t="shared" si="6"/>
        <v>交通便捷度</v>
      </c>
      <c r="R14" s="630" t="s">
        <v>25</v>
      </c>
      <c r="S14" s="631">
        <f t="shared" si="0"/>
        <v>100</v>
      </c>
      <c r="T14" s="630" t="s">
        <v>25</v>
      </c>
      <c r="U14" s="631">
        <f t="shared" si="1"/>
        <v>100</v>
      </c>
      <c r="V14" s="630" t="s">
        <v>25</v>
      </c>
      <c r="W14" s="631">
        <f t="shared" si="2"/>
        <v>100</v>
      </c>
      <c r="X14" s="1262"/>
      <c r="Y14" s="3668" t="s">
        <v>2030</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69"/>
      <c r="Q15" s="1261"/>
      <c r="R15" s="630"/>
      <c r="S15" s="631"/>
      <c r="T15" s="630"/>
      <c r="U15" s="631"/>
      <c r="V15" s="630"/>
      <c r="W15" s="631"/>
      <c r="X15" s="1262"/>
      <c r="Y15" s="3669"/>
      <c r="Z15" s="1263"/>
      <c r="AA15" s="1264">
        <v>1</v>
      </c>
      <c r="AB15" s="1264">
        <v>1</v>
      </c>
      <c r="AC15" s="1264">
        <v>1</v>
      </c>
    </row>
    <row r="16" spans="1:29" ht="42.75">
      <c r="A16" s="318"/>
      <c r="B16" s="513" t="s">
        <v>2145</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69"/>
      <c r="Q16" s="1261" t="str">
        <f>B16</f>
        <v>公共配套设施</v>
      </c>
      <c r="R16" s="630" t="s">
        <v>25</v>
      </c>
      <c r="S16" s="631">
        <f>F16</f>
        <v>100</v>
      </c>
      <c r="T16" s="630" t="s">
        <v>25</v>
      </c>
      <c r="U16" s="631">
        <f>H16</f>
        <v>100</v>
      </c>
      <c r="V16" s="630" t="s">
        <v>25</v>
      </c>
      <c r="W16" s="631">
        <f>J16</f>
        <v>100</v>
      </c>
      <c r="X16" s="1262"/>
      <c r="Y16" s="3669"/>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69"/>
      <c r="Q17" s="1261"/>
      <c r="R17" s="630"/>
      <c r="S17" s="631"/>
      <c r="T17" s="630"/>
      <c r="U17" s="631"/>
      <c r="V17" s="630"/>
      <c r="W17" s="631"/>
      <c r="X17" s="1262"/>
      <c r="Y17" s="3669"/>
      <c r="Z17" s="1263"/>
      <c r="AA17" s="1264">
        <v>1</v>
      </c>
      <c r="AB17" s="1264">
        <v>1</v>
      </c>
      <c r="AC17" s="1264">
        <v>1</v>
      </c>
    </row>
    <row r="18" spans="1:29" ht="28.5">
      <c r="A18" s="318"/>
      <c r="B18" s="515" t="s">
        <v>2146</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69"/>
      <c r="Q18" s="1261" t="str">
        <f>B18</f>
        <v>基础设施水平</v>
      </c>
      <c r="R18" s="630" t="s">
        <v>25</v>
      </c>
      <c r="S18" s="631">
        <f>F18</f>
        <v>100</v>
      </c>
      <c r="T18" s="630" t="s">
        <v>25</v>
      </c>
      <c r="U18" s="631">
        <f>H18</f>
        <v>100</v>
      </c>
      <c r="V18" s="630" t="s">
        <v>25</v>
      </c>
      <c r="W18" s="631">
        <f>J18</f>
        <v>100</v>
      </c>
      <c r="X18" s="1262"/>
      <c r="Y18" s="3669"/>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69"/>
      <c r="Q19" s="1261"/>
      <c r="R19" s="630"/>
      <c r="S19" s="631"/>
      <c r="T19" s="630"/>
      <c r="U19" s="631"/>
      <c r="V19" s="630"/>
      <c r="W19" s="631"/>
      <c r="X19" s="1262"/>
      <c r="Y19" s="3669"/>
      <c r="Z19" s="1263"/>
      <c r="AA19" s="1264">
        <v>1</v>
      </c>
      <c r="AB19" s="1264">
        <v>1</v>
      </c>
      <c r="AC19" s="1264">
        <v>1</v>
      </c>
    </row>
    <row r="20" spans="1:29" ht="57">
      <c r="A20" s="318"/>
      <c r="B20" s="340" t="s">
        <v>2168</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69"/>
      <c r="Q20" s="1261" t="str">
        <f>B20</f>
        <v>自然及人文环境</v>
      </c>
      <c r="R20" s="630" t="s">
        <v>25</v>
      </c>
      <c r="S20" s="631">
        <f>F20</f>
        <v>100</v>
      </c>
      <c r="T20" s="630" t="s">
        <v>25</v>
      </c>
      <c r="U20" s="631">
        <f>H20</f>
        <v>100</v>
      </c>
      <c r="V20" s="630" t="s">
        <v>25</v>
      </c>
      <c r="W20" s="631">
        <f>J20</f>
        <v>100</v>
      </c>
      <c r="X20" s="1262"/>
      <c r="Y20" s="3669"/>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69"/>
      <c r="Q21" s="1261"/>
      <c r="R21" s="630"/>
      <c r="S21" s="631"/>
      <c r="T21" s="630"/>
      <c r="U21" s="631"/>
      <c r="V21" s="630"/>
      <c r="W21" s="631"/>
      <c r="X21" s="1262"/>
      <c r="Y21" s="3669"/>
      <c r="Z21" s="1263"/>
      <c r="AA21" s="1264">
        <v>1</v>
      </c>
      <c r="AB21" s="1264">
        <v>1</v>
      </c>
      <c r="AC21" s="1264">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69"/>
      <c r="Q22" s="1261" t="str">
        <f>B22</f>
        <v>楼层</v>
      </c>
      <c r="R22" s="630" t="s">
        <v>25</v>
      </c>
      <c r="S22" s="631">
        <f>F22</f>
        <v>100</v>
      </c>
      <c r="T22" s="630" t="s">
        <v>25</v>
      </c>
      <c r="U22" s="631">
        <f>H22</f>
        <v>100</v>
      </c>
      <c r="V22" s="630" t="s">
        <v>25</v>
      </c>
      <c r="W22" s="631">
        <f>J22</f>
        <v>100</v>
      </c>
      <c r="X22" s="1262"/>
      <c r="Y22" s="3669"/>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69"/>
      <c r="Q23" s="1261">
        <f>B23</f>
        <v>111</v>
      </c>
      <c r="R23" s="630" t="s">
        <v>25</v>
      </c>
      <c r="S23" s="631">
        <f>F23</f>
        <v>100</v>
      </c>
      <c r="T23" s="630" t="s">
        <v>25</v>
      </c>
      <c r="U23" s="631">
        <f>H23</f>
        <v>100</v>
      </c>
      <c r="V23" s="630" t="s">
        <v>25</v>
      </c>
      <c r="W23" s="631">
        <f>J23</f>
        <v>100</v>
      </c>
      <c r="X23" s="1262"/>
      <c r="Y23" s="3669"/>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69"/>
      <c r="Q24" s="1261">
        <f t="shared" ref="Q24:Q34" si="11">B24</f>
        <v>111</v>
      </c>
      <c r="R24" s="630" t="s">
        <v>25</v>
      </c>
      <c r="S24" s="631">
        <f>F24</f>
        <v>100</v>
      </c>
      <c r="T24" s="630" t="s">
        <v>25</v>
      </c>
      <c r="U24" s="631">
        <f>H24</f>
        <v>100</v>
      </c>
      <c r="V24" s="630" t="s">
        <v>25</v>
      </c>
      <c r="W24" s="631">
        <f>J24</f>
        <v>100</v>
      </c>
      <c r="X24" s="1262"/>
      <c r="Y24" s="3669"/>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69"/>
      <c r="Q25" s="1254">
        <f t="shared" si="11"/>
        <v>111</v>
      </c>
      <c r="R25" s="626" t="s">
        <v>25</v>
      </c>
      <c r="S25" s="627">
        <f>F25</f>
        <v>100</v>
      </c>
      <c r="T25" s="626" t="s">
        <v>25</v>
      </c>
      <c r="U25" s="627">
        <f>H25</f>
        <v>100</v>
      </c>
      <c r="V25" s="626" t="s">
        <v>25</v>
      </c>
      <c r="W25" s="627">
        <f>J25</f>
        <v>100</v>
      </c>
      <c r="X25" s="628"/>
      <c r="Y25" s="3669"/>
      <c r="Z25" s="19">
        <f>Q25</f>
        <v>111</v>
      </c>
      <c r="AA25" s="1264">
        <f>D25/F25</f>
        <v>1</v>
      </c>
      <c r="AB25" s="1264">
        <f>D25/H25</f>
        <v>1</v>
      </c>
      <c r="AC25" s="1264">
        <f>D25/J25</f>
        <v>1</v>
      </c>
    </row>
    <row r="26" spans="1:29" ht="28.5">
      <c r="A26" s="354" t="s">
        <v>2034</v>
      </c>
      <c r="B26" s="24" t="s">
        <v>2172</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71" t="s">
        <v>2036</v>
      </c>
      <c r="Q26" s="1261" t="str">
        <f t="shared" si="11"/>
        <v>公共部分装修</v>
      </c>
      <c r="R26" s="630" t="s">
        <v>25</v>
      </c>
      <c r="S26" s="631">
        <f t="shared" ref="S26:S34" si="12">F26</f>
        <v>100</v>
      </c>
      <c r="T26" s="630" t="s">
        <v>25</v>
      </c>
      <c r="U26" s="631">
        <f t="shared" ref="U26:U34" si="13">H26</f>
        <v>100</v>
      </c>
      <c r="V26" s="630" t="s">
        <v>25</v>
      </c>
      <c r="W26" s="631">
        <f t="shared" ref="W26:W34" si="14">J26</f>
        <v>100</v>
      </c>
      <c r="X26" s="1262"/>
      <c r="Y26" s="3672" t="s">
        <v>2036</v>
      </c>
      <c r="Z26" s="1263" t="str">
        <f t="shared" ref="Z26:Z34" si="15">Q26</f>
        <v>公共部分装修</v>
      </c>
      <c r="AA26" s="1264">
        <f t="shared" si="3"/>
        <v>1</v>
      </c>
      <c r="AB26" s="1264">
        <f t="shared" si="4"/>
        <v>1</v>
      </c>
      <c r="AC26" s="1264">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72"/>
      <c r="Q27" s="632" t="str">
        <f t="shared" si="11"/>
        <v>成新率</v>
      </c>
      <c r="R27" s="633" t="s">
        <v>25</v>
      </c>
      <c r="S27" s="634" t="e">
        <f t="shared" si="12"/>
        <v>#N/A</v>
      </c>
      <c r="T27" s="633" t="s">
        <v>25</v>
      </c>
      <c r="U27" s="634" t="e">
        <f t="shared" si="13"/>
        <v>#N/A</v>
      </c>
      <c r="V27" s="633" t="s">
        <v>25</v>
      </c>
      <c r="W27" s="634" t="e">
        <f t="shared" si="14"/>
        <v>#N/A</v>
      </c>
      <c r="X27" s="635"/>
      <c r="Y27" s="3672"/>
      <c r="Z27" s="636" t="str">
        <f t="shared" si="15"/>
        <v>成新率</v>
      </c>
      <c r="AA27" s="1264" t="e">
        <f t="shared" si="3"/>
        <v>#N/A</v>
      </c>
      <c r="AB27" s="1264" t="e">
        <f t="shared" si="4"/>
        <v>#N/A</v>
      </c>
      <c r="AC27" s="1264"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72"/>
      <c r="Q28" s="1261" t="str">
        <f t="shared" si="11"/>
        <v>物业等级</v>
      </c>
      <c r="R28" s="630" t="s">
        <v>25</v>
      </c>
      <c r="S28" s="631">
        <f t="shared" si="12"/>
        <v>100</v>
      </c>
      <c r="T28" s="630" t="s">
        <v>25</v>
      </c>
      <c r="U28" s="631">
        <f t="shared" si="13"/>
        <v>100</v>
      </c>
      <c r="V28" s="630" t="s">
        <v>25</v>
      </c>
      <c r="W28" s="631">
        <f t="shared" si="14"/>
        <v>100</v>
      </c>
      <c r="X28" s="1262"/>
      <c r="Y28" s="3672"/>
      <c r="Z28" s="1263" t="str">
        <f t="shared" si="15"/>
        <v>物业等级</v>
      </c>
      <c r="AA28" s="1264">
        <f t="shared" si="3"/>
        <v>1</v>
      </c>
      <c r="AB28" s="1264">
        <f t="shared" si="4"/>
        <v>1</v>
      </c>
      <c r="AC28" s="1264">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72"/>
      <c r="Q29" s="1261" t="str">
        <f t="shared" si="11"/>
        <v>有无电梯</v>
      </c>
      <c r="R29" s="630" t="s">
        <v>25</v>
      </c>
      <c r="S29" s="631">
        <f t="shared" si="12"/>
        <v>100</v>
      </c>
      <c r="T29" s="630" t="s">
        <v>25</v>
      </c>
      <c r="U29" s="631">
        <f t="shared" si="13"/>
        <v>100</v>
      </c>
      <c r="V29" s="630" t="s">
        <v>25</v>
      </c>
      <c r="W29" s="631">
        <f t="shared" si="14"/>
        <v>100</v>
      </c>
      <c r="X29" s="1262"/>
      <c r="Y29" s="3672"/>
      <c r="Z29" s="1263" t="str">
        <f t="shared" si="15"/>
        <v>有无电梯</v>
      </c>
      <c r="AA29" s="1264">
        <f t="shared" si="3"/>
        <v>1</v>
      </c>
      <c r="AB29" s="1264">
        <f t="shared" si="4"/>
        <v>1</v>
      </c>
      <c r="AC29" s="1264">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72"/>
      <c r="Q30" s="1261" t="str">
        <f t="shared" si="11"/>
        <v>建筑面积</v>
      </c>
      <c r="R30" s="630" t="s">
        <v>25</v>
      </c>
      <c r="S30" s="631" t="e">
        <f t="shared" si="12"/>
        <v>#N/A</v>
      </c>
      <c r="T30" s="630" t="s">
        <v>25</v>
      </c>
      <c r="U30" s="631" t="e">
        <f t="shared" si="13"/>
        <v>#N/A</v>
      </c>
      <c r="V30" s="630" t="s">
        <v>25</v>
      </c>
      <c r="W30" s="631" t="e">
        <f t="shared" si="14"/>
        <v>#N/A</v>
      </c>
      <c r="X30" s="1262"/>
      <c r="Y30" s="3672"/>
      <c r="Z30" s="1263" t="str">
        <f t="shared" si="15"/>
        <v>建筑面积</v>
      </c>
      <c r="AA30" s="1264" t="e">
        <f t="shared" si="3"/>
        <v>#N/A</v>
      </c>
      <c r="AB30" s="1264" t="e">
        <f t="shared" si="4"/>
        <v>#N/A</v>
      </c>
      <c r="AC30" s="1264"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72"/>
      <c r="Q31" s="1254" t="str">
        <f t="shared" si="11"/>
        <v>是否封闭</v>
      </c>
      <c r="R31" s="626" t="s">
        <v>25</v>
      </c>
      <c r="S31" s="627">
        <f t="shared" si="12"/>
        <v>100</v>
      </c>
      <c r="T31" s="626" t="s">
        <v>25</v>
      </c>
      <c r="U31" s="627">
        <f t="shared" si="13"/>
        <v>100</v>
      </c>
      <c r="V31" s="626" t="s">
        <v>25</v>
      </c>
      <c r="W31" s="627">
        <f t="shared" si="14"/>
        <v>100</v>
      </c>
      <c r="X31" s="628"/>
      <c r="Y31" s="3672"/>
      <c r="Z31" s="19" t="str">
        <f t="shared" si="15"/>
        <v>是否封闭</v>
      </c>
      <c r="AA31" s="629">
        <f t="shared" si="3"/>
        <v>1</v>
      </c>
      <c r="AB31" s="629">
        <f t="shared" si="4"/>
        <v>1</v>
      </c>
      <c r="AC31" s="629">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72" t="s">
        <v>2036</v>
      </c>
      <c r="Q32" s="1261">
        <f t="shared" si="11"/>
        <v>111</v>
      </c>
      <c r="R32" s="630" t="s">
        <v>25</v>
      </c>
      <c r="S32" s="631">
        <f t="shared" si="12"/>
        <v>100</v>
      </c>
      <c r="T32" s="630" t="s">
        <v>25</v>
      </c>
      <c r="U32" s="631">
        <f t="shared" si="13"/>
        <v>100</v>
      </c>
      <c r="V32" s="630" t="s">
        <v>25</v>
      </c>
      <c r="W32" s="631">
        <f t="shared" si="14"/>
        <v>100</v>
      </c>
      <c r="X32" s="1262"/>
      <c r="Y32" s="3672" t="s">
        <v>2036</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72"/>
      <c r="Q33" s="1261">
        <f t="shared" si="11"/>
        <v>111</v>
      </c>
      <c r="R33" s="630" t="s">
        <v>25</v>
      </c>
      <c r="S33" s="631">
        <f t="shared" si="12"/>
        <v>100</v>
      </c>
      <c r="T33" s="630" t="s">
        <v>25</v>
      </c>
      <c r="U33" s="631">
        <f t="shared" si="13"/>
        <v>100</v>
      </c>
      <c r="V33" s="630" t="s">
        <v>25</v>
      </c>
      <c r="W33" s="631">
        <f t="shared" si="14"/>
        <v>100</v>
      </c>
      <c r="X33" s="1262"/>
      <c r="Y33" s="3672"/>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72"/>
      <c r="Q34" s="1261">
        <f t="shared" si="11"/>
        <v>111</v>
      </c>
      <c r="R34" s="630" t="s">
        <v>25</v>
      </c>
      <c r="S34" s="631">
        <f t="shared" si="12"/>
        <v>100</v>
      </c>
      <c r="T34" s="630" t="s">
        <v>25</v>
      </c>
      <c r="U34" s="631">
        <f t="shared" si="13"/>
        <v>100</v>
      </c>
      <c r="V34" s="630" t="s">
        <v>25</v>
      </c>
      <c r="W34" s="631">
        <f t="shared" si="14"/>
        <v>100</v>
      </c>
      <c r="X34" s="1262"/>
      <c r="Y34" s="3672"/>
      <c r="Z34" s="1263">
        <f t="shared" si="15"/>
        <v>111</v>
      </c>
      <c r="AA34" s="1264">
        <f t="shared" si="3"/>
        <v>1</v>
      </c>
      <c r="AB34" s="1264">
        <f t="shared" si="4"/>
        <v>1</v>
      </c>
      <c r="AC34" s="1264">
        <f t="shared" si="5"/>
        <v>1</v>
      </c>
    </row>
    <row r="35" spans="1:29" ht="15">
      <c r="A35" s="367" t="s">
        <v>2048</v>
      </c>
      <c r="B35" s="368"/>
      <c r="C35" s="1081" t="s">
        <v>1</v>
      </c>
      <c r="D35" s="1082"/>
      <c r="E35" s="1083"/>
      <c r="F35" s="1084"/>
      <c r="G35" s="1085"/>
      <c r="H35" s="1086"/>
      <c r="I35" s="1083"/>
      <c r="J35" s="1086"/>
      <c r="K35" s="639"/>
      <c r="L35" s="2954"/>
      <c r="N35" s="2943"/>
      <c r="P35" s="3640" t="str">
        <f>A35</f>
        <v>成交单价（元/平方米）</v>
      </c>
      <c r="Q35" s="3640"/>
      <c r="R35" s="3674">
        <f>E35</f>
        <v>0</v>
      </c>
      <c r="S35" s="3674"/>
      <c r="T35" s="3674">
        <f>G35</f>
        <v>0</v>
      </c>
      <c r="U35" s="3674"/>
      <c r="V35" s="3674">
        <f>I35</f>
        <v>0</v>
      </c>
      <c r="W35" s="3674"/>
      <c r="X35" s="617"/>
      <c r="Y35" s="637"/>
      <c r="Z35" s="617"/>
      <c r="AA35" s="617"/>
      <c r="AB35" s="617"/>
      <c r="AC35" s="617"/>
    </row>
    <row r="36" spans="1:29" ht="15.75" thickBot="1">
      <c r="A36" s="374" t="s">
        <v>2131</v>
      </c>
      <c r="B36" s="375"/>
      <c r="C36" s="1087" t="e">
        <f>R37</f>
        <v>#DIV/0!</v>
      </c>
      <c r="D36" s="1724" t="s">
        <v>2502</v>
      </c>
      <c r="E36" s="1088" t="e">
        <f>R36</f>
        <v>#DIV/0!</v>
      </c>
      <c r="F36" s="1726"/>
      <c r="G36" s="1087" t="e">
        <f>T36</f>
        <v>#DIV/0!</v>
      </c>
      <c r="H36" s="1726"/>
      <c r="I36" s="1088" t="e">
        <f>V36</f>
        <v>#DIV/0!</v>
      </c>
      <c r="J36" s="1726"/>
      <c r="K36" s="2428">
        <f>F36+H36+J36</f>
        <v>0</v>
      </c>
      <c r="L36" s="2954"/>
      <c r="N36" s="2943"/>
      <c r="P36" s="3640" t="str">
        <f>A36</f>
        <v>比较价值（元/平方米）</v>
      </c>
      <c r="Q36" s="3640"/>
      <c r="R36" s="3674" t="e">
        <f>IF(E1="售价",ROUND(PRODUCT(R35,AA7:AA34),0),ROUND(PRODUCT(R35,AA7:AA34),1))</f>
        <v>#DIV/0!</v>
      </c>
      <c r="S36" s="3674"/>
      <c r="T36" s="3674" t="e">
        <f>IF(E1="售价",ROUND(PRODUCT(T35,AB7:AB34),0),ROUND(PRODUCT(T35,AB7:AB34),1))</f>
        <v>#DIV/0!</v>
      </c>
      <c r="U36" s="3674"/>
      <c r="V36" s="3674" t="e">
        <f>IF(E1="售价",ROUND(PRODUCT(V35,AC7:AC34),0),ROUND(PRODUCT(V35,AC7:AC34),1))</f>
        <v>#DIV/0!</v>
      </c>
      <c r="W36" s="3674"/>
      <c r="X36" s="617"/>
      <c r="Y36" s="617"/>
      <c r="Z36" s="617"/>
      <c r="AA36" s="617"/>
      <c r="AB36" s="617"/>
      <c r="AC36" s="617"/>
    </row>
    <row r="37" spans="1:29" ht="15.75" thickBot="1">
      <c r="A37" s="378" t="s">
        <v>2154</v>
      </c>
      <c r="B37" s="379"/>
      <c r="C37" s="1089" t="e">
        <f>R37</f>
        <v>#DIV/0!</v>
      </c>
      <c r="D37" s="1089"/>
      <c r="E37" s="1089"/>
      <c r="F37" s="1089"/>
      <c r="G37" s="1089"/>
      <c r="H37" s="1089"/>
      <c r="I37" s="1089"/>
      <c r="J37" s="1089"/>
      <c r="K37" s="640"/>
      <c r="L37" s="2954"/>
      <c r="P37" s="3675" t="str">
        <f>A37</f>
        <v>估价对象XX用房的比较价值（楼面单价，元/平方米）</v>
      </c>
      <c r="Q37" s="3676"/>
      <c r="R37" s="3677" t="e">
        <f>IF(E1="售价",ROUND(IF(D36="简单平均",AVERAGE(R36:W36),R36*F36+T36*H36+V36*J36),0),ROUND(IF(D36="简单平均",AVERAGE(R36:V36),R36*F36+T36*H36+V36*J36),1))</f>
        <v>#DIV/0!</v>
      </c>
      <c r="S37" s="3677"/>
      <c r="T37" s="3677"/>
      <c r="U37" s="3677"/>
      <c r="V37" s="3677"/>
      <c r="W37" s="3677"/>
      <c r="X37" s="617"/>
      <c r="Y37" s="617"/>
      <c r="Z37" s="617"/>
      <c r="AA37" s="617"/>
      <c r="AB37" s="617"/>
      <c r="AC37" s="617"/>
    </row>
    <row r="38" spans="1:29">
      <c r="G38" s="2957"/>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19" t="s">
        <v>2136</v>
      </c>
      <c r="B45" s="617"/>
      <c r="C45" s="620"/>
      <c r="D45" s="620"/>
      <c r="E45" s="620"/>
      <c r="F45" s="621"/>
      <c r="G45" s="621"/>
      <c r="H45" s="620"/>
      <c r="I45" s="620"/>
      <c r="J45" s="620"/>
      <c r="K45" s="622"/>
      <c r="L45" s="623"/>
      <c r="M45" s="620"/>
      <c r="N45" s="2960"/>
      <c r="O45" s="2960"/>
      <c r="P45" s="389"/>
      <c r="Q45" s="390"/>
    </row>
    <row r="46" spans="1:29" s="394" customFormat="1" ht="15">
      <c r="A46" s="391" t="s">
        <v>2018</v>
      </c>
      <c r="B46" s="392"/>
      <c r="C46" s="1115" t="str">
        <f>YEAR(C7)&amp;"-"&amp;MONTH(C7)</f>
        <v>2022-8</v>
      </c>
      <c r="D46" s="1116">
        <f>EDATE(C46,-1)</f>
        <v>44743</v>
      </c>
      <c r="E46" s="1116">
        <f t="shared" ref="E46:O46" si="16">EDATE(D46,-1)</f>
        <v>44713</v>
      </c>
      <c r="F46" s="1116">
        <f t="shared" si="16"/>
        <v>44682</v>
      </c>
      <c r="G46" s="1116">
        <f t="shared" si="16"/>
        <v>44652</v>
      </c>
      <c r="H46" s="1116">
        <f t="shared" si="16"/>
        <v>44621</v>
      </c>
      <c r="I46" s="1116">
        <f t="shared" si="16"/>
        <v>44593</v>
      </c>
      <c r="J46" s="1116">
        <f t="shared" si="16"/>
        <v>44562</v>
      </c>
      <c r="K46" s="1116">
        <f t="shared" si="16"/>
        <v>44531</v>
      </c>
      <c r="L46" s="1116">
        <f t="shared" si="16"/>
        <v>44501</v>
      </c>
      <c r="M46" s="1116">
        <f t="shared" si="16"/>
        <v>44470</v>
      </c>
      <c r="N46" s="1116">
        <f t="shared" si="16"/>
        <v>44440</v>
      </c>
      <c r="O46" s="1116">
        <f t="shared" si="16"/>
        <v>44409</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2056</v>
      </c>
      <c r="B48" s="401"/>
      <c r="C48" s="402"/>
      <c r="D48" s="403"/>
      <c r="E48" s="403"/>
      <c r="F48" s="403"/>
      <c r="G48" s="403"/>
      <c r="H48" s="403"/>
      <c r="I48" s="403"/>
      <c r="J48" s="403"/>
      <c r="K48" s="403"/>
      <c r="L48" s="403"/>
      <c r="M48" s="404"/>
      <c r="N48" s="403"/>
      <c r="O48" s="405"/>
      <c r="P48" s="390"/>
      <c r="Q48" s="390"/>
    </row>
    <row r="49" spans="1:17" s="25" customFormat="1" ht="15">
      <c r="A49" s="406" t="s">
        <v>2020</v>
      </c>
      <c r="B49" s="396"/>
      <c r="C49" s="407" t="s">
        <v>2021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2059</v>
      </c>
      <c r="B51" s="413" t="s">
        <v>2024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2027</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2029</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2146</v>
      </c>
      <c r="C65" s="426" t="s">
        <v>2075</v>
      </c>
      <c r="D65" s="426" t="s">
        <v>2076</v>
      </c>
      <c r="E65" s="426" t="s">
        <v>2077</v>
      </c>
      <c r="F65" s="426" t="s">
        <v>2078</v>
      </c>
      <c r="G65" s="426" t="s">
        <v>2079</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2034</v>
      </c>
      <c r="B77" s="413" t="s">
        <v>2087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2201</v>
      </c>
      <c r="B1" s="1879"/>
      <c r="C1" s="1880" t="s">
        <v>2202</v>
      </c>
      <c r="D1" s="1879"/>
      <c r="E1" s="1879"/>
      <c r="F1" s="1881" t="s">
        <v>2003</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2203</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2204</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2005</v>
      </c>
      <c r="B4" s="1591"/>
      <c r="C4" s="3570" t="s">
        <v>2006</v>
      </c>
      <c r="D4" s="3571"/>
      <c r="E4" s="3572" t="s">
        <v>2007</v>
      </c>
      <c r="F4" s="3573"/>
      <c r="G4" s="3570" t="s">
        <v>2008</v>
      </c>
      <c r="H4" s="3571"/>
      <c r="I4" s="3570" t="s">
        <v>2009</v>
      </c>
      <c r="J4" s="3571"/>
      <c r="K4" s="1893" t="s">
        <v>2010</v>
      </c>
      <c r="L4" s="2914"/>
      <c r="M4" s="2915"/>
      <c r="N4" s="2915"/>
      <c r="O4" s="2915"/>
      <c r="P4" s="3574" t="s">
        <v>2011</v>
      </c>
      <c r="Q4" s="3575"/>
      <c r="R4" s="3580" t="s">
        <v>2007</v>
      </c>
      <c r="S4" s="3581"/>
      <c r="T4" s="3580" t="s">
        <v>2008</v>
      </c>
      <c r="U4" s="3581"/>
      <c r="V4" s="3586" t="s">
        <v>2009</v>
      </c>
      <c r="W4" s="3586"/>
      <c r="X4" s="1593"/>
      <c r="Y4" s="3580" t="s">
        <v>2011</v>
      </c>
      <c r="Z4" s="3581"/>
      <c r="AA4" s="3567" t="s">
        <v>2007</v>
      </c>
      <c r="AB4" s="3568" t="s">
        <v>2008</v>
      </c>
      <c r="AC4" s="3567" t="s">
        <v>2009</v>
      </c>
    </row>
    <row r="5" spans="1:30" ht="15">
      <c r="A5" s="1595"/>
      <c r="B5" s="1596"/>
      <c r="C5" s="3589" t="s">
        <v>2012</v>
      </c>
      <c r="D5" s="3564"/>
      <c r="E5" s="3632" t="s">
        <v>2013</v>
      </c>
      <c r="F5" s="3588"/>
      <c r="G5" s="3589" t="s">
        <v>2014</v>
      </c>
      <c r="H5" s="3564"/>
      <c r="I5" s="3589" t="s">
        <v>2015</v>
      </c>
      <c r="J5" s="3564"/>
      <c r="K5" s="1893"/>
      <c r="L5" s="2914"/>
      <c r="M5" s="2915"/>
      <c r="N5" s="2915"/>
      <c r="O5" s="2915"/>
      <c r="P5" s="3576"/>
      <c r="Q5" s="3577"/>
      <c r="R5" s="3582"/>
      <c r="S5" s="3583"/>
      <c r="T5" s="3582"/>
      <c r="U5" s="3583"/>
      <c r="V5" s="3586"/>
      <c r="W5" s="3586"/>
      <c r="X5" s="1593"/>
      <c r="Y5" s="3582"/>
      <c r="Z5" s="3583"/>
      <c r="AA5" s="3568"/>
      <c r="AB5" s="3568"/>
      <c r="AC5" s="3568"/>
    </row>
    <row r="6" spans="1:30" ht="15.75" thickBot="1">
      <c r="A6" s="1598"/>
      <c r="B6" s="1599"/>
      <c r="C6" s="3560" t="s">
        <v>2016</v>
      </c>
      <c r="D6" s="3561"/>
      <c r="E6" s="3558" t="s">
        <v>2016</v>
      </c>
      <c r="F6" s="3559"/>
      <c r="G6" s="3560" t="s">
        <v>2016</v>
      </c>
      <c r="H6" s="3561"/>
      <c r="I6" s="3560" t="s">
        <v>2016</v>
      </c>
      <c r="J6" s="3561"/>
      <c r="K6" s="1893" t="s">
        <v>2017</v>
      </c>
      <c r="L6" s="2914"/>
      <c r="M6" s="2915"/>
      <c r="N6" s="2915"/>
      <c r="O6" s="2915"/>
      <c r="P6" s="3578"/>
      <c r="Q6" s="3579"/>
      <c r="R6" s="3582"/>
      <c r="S6" s="3583"/>
      <c r="T6" s="3584"/>
      <c r="U6" s="3585"/>
      <c r="V6" s="3586"/>
      <c r="W6" s="3586"/>
      <c r="X6" s="1593"/>
      <c r="Y6" s="3584"/>
      <c r="Z6" s="3585"/>
      <c r="AA6" s="3569"/>
      <c r="AB6" s="3569"/>
      <c r="AC6" s="3569"/>
    </row>
    <row r="7" spans="1:30" s="1612" customFormat="1" ht="15.75" thickBot="1">
      <c r="A7" s="1600" t="s">
        <v>2018</v>
      </c>
      <c r="B7" s="1601"/>
      <c r="C7" s="1602">
        <f>'数据-取费表'!B2</f>
        <v>44795</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565" t="s">
        <v>2019</v>
      </c>
      <c r="Q7" s="3590"/>
      <c r="R7" s="1608" t="s">
        <v>25</v>
      </c>
      <c r="S7" s="1609">
        <f t="shared" ref="S7:S15" si="0">F7</f>
        <v>0</v>
      </c>
      <c r="T7" s="1608" t="s">
        <v>25</v>
      </c>
      <c r="U7" s="1609">
        <f t="shared" ref="U7:U15" si="1">H7</f>
        <v>0</v>
      </c>
      <c r="V7" s="1608" t="s">
        <v>25</v>
      </c>
      <c r="W7" s="1609">
        <f t="shared" ref="W7:W15" si="2">J7</f>
        <v>0</v>
      </c>
      <c r="X7" s="1610"/>
      <c r="Y7" s="3565" t="s">
        <v>2019</v>
      </c>
      <c r="Z7" s="3566"/>
      <c r="AA7" s="1611" t="e">
        <f>D7/F7</f>
        <v>#DIV/0!</v>
      </c>
      <c r="AB7" s="1611" t="e">
        <f>D7/H7</f>
        <v>#DIV/0!</v>
      </c>
      <c r="AC7" s="1611" t="e">
        <f>D7/J7</f>
        <v>#DIV/0!</v>
      </c>
    </row>
    <row r="8" spans="1:30" s="1612" customFormat="1" ht="15.75" thickBot="1">
      <c r="A8" s="1600" t="s">
        <v>2020</v>
      </c>
      <c r="B8" s="1601"/>
      <c r="C8" s="1613" t="s">
        <v>2205</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565" t="s">
        <v>2022</v>
      </c>
      <c r="Q8" s="3566"/>
      <c r="R8" s="1608" t="s">
        <v>25</v>
      </c>
      <c r="S8" s="1609">
        <f t="shared" si="0"/>
        <v>0</v>
      </c>
      <c r="T8" s="1608" t="s">
        <v>25</v>
      </c>
      <c r="U8" s="1609">
        <f t="shared" si="1"/>
        <v>0</v>
      </c>
      <c r="V8" s="1608" t="s">
        <v>25</v>
      </c>
      <c r="W8" s="1609">
        <f t="shared" si="2"/>
        <v>0</v>
      </c>
      <c r="X8" s="1610"/>
      <c r="Y8" s="3565" t="s">
        <v>2022</v>
      </c>
      <c r="Z8" s="3566"/>
      <c r="AA8" s="1611" t="e">
        <f t="shared" ref="AA8:AA45" si="3">D8/F8</f>
        <v>#DIV/0!</v>
      </c>
      <c r="AB8" s="1611" t="e">
        <f t="shared" ref="AB8:AB45" si="4">D8/H8</f>
        <v>#DIV/0!</v>
      </c>
      <c r="AC8" s="1611" t="e">
        <f t="shared" ref="AC8:AC45" si="5">D8/J8</f>
        <v>#DIV/0!</v>
      </c>
    </row>
    <row r="9" spans="1:30" s="1612" customFormat="1">
      <c r="A9" s="1563" t="s">
        <v>2023</v>
      </c>
      <c r="B9" s="1615" t="s">
        <v>2024</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600" t="s">
        <v>2025</v>
      </c>
      <c r="Q9" s="1562" t="str">
        <f t="shared" ref="Q9:Q15" si="6">B9</f>
        <v>用途</v>
      </c>
      <c r="R9" s="1608" t="s">
        <v>25</v>
      </c>
      <c r="S9" s="1609">
        <f t="shared" si="0"/>
        <v>100</v>
      </c>
      <c r="T9" s="1608" t="s">
        <v>25</v>
      </c>
      <c r="U9" s="1609">
        <f t="shared" si="1"/>
        <v>100</v>
      </c>
      <c r="V9" s="1608" t="s">
        <v>25</v>
      </c>
      <c r="W9" s="1609">
        <f t="shared" si="2"/>
        <v>100</v>
      </c>
      <c r="X9" s="1610"/>
      <c r="Y9" s="3488" t="s">
        <v>2026</v>
      </c>
      <c r="Z9" s="1621" t="str">
        <f t="shared" ref="Z9:Z15" si="7">Q9</f>
        <v>用途</v>
      </c>
      <c r="AA9" s="1611">
        <f t="shared" si="3"/>
        <v>1</v>
      </c>
      <c r="AB9" s="1611">
        <f t="shared" si="4"/>
        <v>1</v>
      </c>
      <c r="AC9" s="1611">
        <f t="shared" si="5"/>
        <v>1</v>
      </c>
    </row>
    <row r="10" spans="1:30" s="1629" customFormat="1" ht="27">
      <c r="A10" s="1622"/>
      <c r="B10" s="1623" t="s">
        <v>2027</v>
      </c>
      <c r="C10" s="1635"/>
      <c r="D10" s="1625">
        <v>100</v>
      </c>
      <c r="E10" s="1687"/>
      <c r="F10" s="1625">
        <f>ROUND(100/'数据-取费表'!B14,0)</f>
        <v>147</v>
      </c>
      <c r="G10" s="1685"/>
      <c r="H10" s="1625">
        <f>ROUND(100/'数据-取费表'!B14,0)</f>
        <v>147</v>
      </c>
      <c r="I10" s="1685"/>
      <c r="J10" s="1625">
        <f>ROUND(100/'数据-取费表'!B14,0)</f>
        <v>147</v>
      </c>
      <c r="K10" s="1897"/>
      <c r="L10" s="2916"/>
      <c r="M10" s="2917"/>
      <c r="N10" s="2917"/>
      <c r="O10" s="2962"/>
      <c r="P10" s="3600"/>
      <c r="Q10" s="1562" t="str">
        <f t="shared" si="6"/>
        <v>土地使用年限（年）</v>
      </c>
      <c r="R10" s="1608" t="s">
        <v>25</v>
      </c>
      <c r="S10" s="1609">
        <f t="shared" si="0"/>
        <v>147</v>
      </c>
      <c r="T10" s="1608" t="s">
        <v>25</v>
      </c>
      <c r="U10" s="1609">
        <f t="shared" si="1"/>
        <v>147</v>
      </c>
      <c r="V10" s="1608" t="s">
        <v>25</v>
      </c>
      <c r="W10" s="1609">
        <f t="shared" si="2"/>
        <v>147</v>
      </c>
      <c r="X10" s="1610"/>
      <c r="Y10" s="3488"/>
      <c r="Z10" s="1621" t="str">
        <f t="shared" si="7"/>
        <v>土地使用年限（年）</v>
      </c>
      <c r="AA10" s="1611">
        <f t="shared" si="3"/>
        <v>0.68027210884353739</v>
      </c>
      <c r="AB10" s="1611">
        <f t="shared" si="4"/>
        <v>0.68027210884353739</v>
      </c>
      <c r="AC10" s="1611">
        <f t="shared" si="5"/>
        <v>0.68027210884353739</v>
      </c>
    </row>
    <row r="11" spans="1:30" ht="15">
      <c r="A11" s="1630"/>
      <c r="B11" s="1623" t="s">
        <v>2028</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600"/>
      <c r="Q11" s="1562" t="str">
        <f t="shared" si="6"/>
        <v>容积率</v>
      </c>
      <c r="R11" s="1608" t="s">
        <v>25</v>
      </c>
      <c r="S11" s="1609" t="e">
        <f t="shared" si="0"/>
        <v>#N/A</v>
      </c>
      <c r="T11" s="1608" t="s">
        <v>25</v>
      </c>
      <c r="U11" s="1609" t="e">
        <f t="shared" si="1"/>
        <v>#N/A</v>
      </c>
      <c r="V11" s="1608" t="s">
        <v>25</v>
      </c>
      <c r="W11" s="1609" t="e">
        <f t="shared" si="2"/>
        <v>#N/A</v>
      </c>
      <c r="X11" s="1610"/>
      <c r="Y11" s="3488"/>
      <c r="Z11" s="1621" t="str">
        <f t="shared" si="7"/>
        <v>容积率</v>
      </c>
      <c r="AA11" s="1611" t="e">
        <f t="shared" si="3"/>
        <v>#N/A</v>
      </c>
      <c r="AB11" s="1611" t="e">
        <f t="shared" si="4"/>
        <v>#N/A</v>
      </c>
      <c r="AC11" s="1611" t="e">
        <f t="shared" si="5"/>
        <v>#N/A</v>
      </c>
    </row>
    <row r="12" spans="1:30" s="1612" customFormat="1" ht="15">
      <c r="A12" s="1633"/>
      <c r="B12" s="1634" t="s">
        <v>2206</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600"/>
      <c r="Q12" s="1562" t="str">
        <f t="shared" si="6"/>
        <v>配建</v>
      </c>
      <c r="R12" s="1608" t="s">
        <v>25</v>
      </c>
      <c r="S12" s="1609">
        <f t="shared" si="0"/>
        <v>100</v>
      </c>
      <c r="T12" s="1608" t="s">
        <v>25</v>
      </c>
      <c r="U12" s="1609">
        <f t="shared" si="1"/>
        <v>100</v>
      </c>
      <c r="V12" s="1608" t="s">
        <v>25</v>
      </c>
      <c r="W12" s="1609">
        <f t="shared" si="2"/>
        <v>100</v>
      </c>
      <c r="X12" s="1610"/>
      <c r="Y12" s="3488"/>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600"/>
      <c r="Q13" s="1562">
        <f t="shared" si="6"/>
        <v>111</v>
      </c>
      <c r="R13" s="1608" t="s">
        <v>25</v>
      </c>
      <c r="S13" s="1609">
        <f t="shared" si="0"/>
        <v>100</v>
      </c>
      <c r="T13" s="1608" t="s">
        <v>25</v>
      </c>
      <c r="U13" s="1609">
        <f t="shared" si="1"/>
        <v>100</v>
      </c>
      <c r="V13" s="1608" t="s">
        <v>25</v>
      </c>
      <c r="W13" s="1609">
        <f t="shared" si="2"/>
        <v>100</v>
      </c>
      <c r="X13" s="1610"/>
      <c r="Y13" s="3488"/>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600"/>
      <c r="Q14" s="1562">
        <f t="shared" si="6"/>
        <v>111</v>
      </c>
      <c r="R14" s="1608" t="s">
        <v>25</v>
      </c>
      <c r="S14" s="1609">
        <f t="shared" si="0"/>
        <v>100</v>
      </c>
      <c r="T14" s="1608" t="s">
        <v>25</v>
      </c>
      <c r="U14" s="1609">
        <f t="shared" si="1"/>
        <v>100</v>
      </c>
      <c r="V14" s="1608" t="s">
        <v>25</v>
      </c>
      <c r="W14" s="1609">
        <f t="shared" si="2"/>
        <v>100</v>
      </c>
      <c r="X14" s="1610"/>
      <c r="Y14" s="3488"/>
      <c r="Z14" s="1621">
        <f t="shared" si="7"/>
        <v>111</v>
      </c>
      <c r="AA14" s="1611">
        <f>D14/F14</f>
        <v>1</v>
      </c>
      <c r="AB14" s="1611">
        <f>D14/H14</f>
        <v>1</v>
      </c>
      <c r="AC14" s="1611">
        <f>D14/J14</f>
        <v>1</v>
      </c>
    </row>
    <row r="15" spans="1:30" ht="99.75">
      <c r="A15" s="1590" t="s">
        <v>2029</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593" t="s">
        <v>2030</v>
      </c>
      <c r="Q15" s="1543" t="str">
        <f t="shared" si="6"/>
        <v>居住社区成熟度</v>
      </c>
      <c r="R15" s="1653" t="s">
        <v>25</v>
      </c>
      <c r="S15" s="1654">
        <f t="shared" si="0"/>
        <v>100</v>
      </c>
      <c r="T15" s="1653" t="s">
        <v>25</v>
      </c>
      <c r="U15" s="1654">
        <f t="shared" si="1"/>
        <v>100</v>
      </c>
      <c r="V15" s="1653" t="s">
        <v>25</v>
      </c>
      <c r="W15" s="1654">
        <f t="shared" si="2"/>
        <v>100</v>
      </c>
      <c r="X15" s="1593"/>
      <c r="Y15" s="3593" t="s">
        <v>2030</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594"/>
      <c r="Q16" s="1543"/>
      <c r="R16" s="1653"/>
      <c r="S16" s="1654"/>
      <c r="T16" s="1653"/>
      <c r="U16" s="1654"/>
      <c r="V16" s="1653"/>
      <c r="W16" s="1654"/>
      <c r="X16" s="1593"/>
      <c r="Y16" s="3594"/>
      <c r="Z16" s="1655"/>
      <c r="AA16" s="1656">
        <v>1</v>
      </c>
      <c r="AB16" s="1656">
        <v>1</v>
      </c>
      <c r="AC16" s="1656">
        <v>1</v>
      </c>
    </row>
    <row r="17" spans="1:29" ht="71.25">
      <c r="A17" s="1595"/>
      <c r="B17" s="1904" t="s">
        <v>2115</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594"/>
      <c r="Q17" s="1543" t="str">
        <f>B17</f>
        <v>商业繁华度</v>
      </c>
      <c r="R17" s="1653" t="s">
        <v>25</v>
      </c>
      <c r="S17" s="1654">
        <f>F17</f>
        <v>100</v>
      </c>
      <c r="T17" s="1653" t="s">
        <v>25</v>
      </c>
      <c r="U17" s="1654">
        <f>H17</f>
        <v>100</v>
      </c>
      <c r="V17" s="1653" t="s">
        <v>25</v>
      </c>
      <c r="W17" s="1654">
        <f>J17</f>
        <v>100</v>
      </c>
      <c r="X17" s="1593"/>
      <c r="Y17" s="3594"/>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594"/>
      <c r="Q18" s="1543"/>
      <c r="R18" s="1653"/>
      <c r="S18" s="1654"/>
      <c r="T18" s="1653"/>
      <c r="U18" s="1654"/>
      <c r="V18" s="1653"/>
      <c r="W18" s="1654"/>
      <c r="X18" s="1593"/>
      <c r="Y18" s="3594"/>
      <c r="Z18" s="1655"/>
      <c r="AA18" s="1656">
        <v>1</v>
      </c>
      <c r="AB18" s="1656">
        <v>1</v>
      </c>
      <c r="AC18" s="1656">
        <v>1</v>
      </c>
    </row>
    <row r="19" spans="1:29" ht="71.25">
      <c r="A19" s="1595"/>
      <c r="B19" s="1904" t="s">
        <v>2144</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594"/>
      <c r="Q19" s="1543" t="str">
        <f>B19</f>
        <v>办公集聚程度</v>
      </c>
      <c r="R19" s="1653" t="s">
        <v>25</v>
      </c>
      <c r="S19" s="1654">
        <f>F19</f>
        <v>100</v>
      </c>
      <c r="T19" s="1653" t="s">
        <v>25</v>
      </c>
      <c r="U19" s="1654">
        <f>H19</f>
        <v>100</v>
      </c>
      <c r="V19" s="1653" t="s">
        <v>25</v>
      </c>
      <c r="W19" s="1654">
        <f>J19</f>
        <v>100</v>
      </c>
      <c r="X19" s="1593"/>
      <c r="Y19" s="3594"/>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594"/>
      <c r="Q20" s="1543"/>
      <c r="R20" s="1653"/>
      <c r="S20" s="1654"/>
      <c r="T20" s="1653"/>
      <c r="U20" s="1654"/>
      <c r="V20" s="1653"/>
      <c r="W20" s="1654"/>
      <c r="X20" s="1593"/>
      <c r="Y20" s="3594"/>
      <c r="Z20" s="1655"/>
      <c r="AA20" s="1656">
        <v>1</v>
      </c>
      <c r="AB20" s="1656">
        <v>1</v>
      </c>
      <c r="AC20" s="1656">
        <v>1</v>
      </c>
    </row>
    <row r="21" spans="1:29" ht="85.5">
      <c r="A21" s="1595"/>
      <c r="B21" s="1904" t="s">
        <v>2167</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594"/>
      <c r="Q21" s="1543" t="str">
        <f>B21</f>
        <v>交通便捷度</v>
      </c>
      <c r="R21" s="1653" t="s">
        <v>25</v>
      </c>
      <c r="S21" s="1654">
        <f>F21</f>
        <v>100</v>
      </c>
      <c r="T21" s="1653" t="s">
        <v>25</v>
      </c>
      <c r="U21" s="1654">
        <f>H21</f>
        <v>100</v>
      </c>
      <c r="V21" s="1653" t="s">
        <v>25</v>
      </c>
      <c r="W21" s="1654">
        <f>J21</f>
        <v>100</v>
      </c>
      <c r="X21" s="1593"/>
      <c r="Y21" s="3594"/>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594"/>
      <c r="Q22" s="1543"/>
      <c r="R22" s="1653"/>
      <c r="S22" s="1654"/>
      <c r="T22" s="1653"/>
      <c r="U22" s="1654"/>
      <c r="V22" s="1653"/>
      <c r="W22" s="1654"/>
      <c r="X22" s="1593"/>
      <c r="Y22" s="3594"/>
      <c r="Z22" s="1655"/>
      <c r="AA22" s="1656">
        <v>1</v>
      </c>
      <c r="AB22" s="1656">
        <v>1</v>
      </c>
      <c r="AC22" s="1656">
        <v>1</v>
      </c>
    </row>
    <row r="23" spans="1:29" ht="15">
      <c r="A23" s="1595"/>
      <c r="B23" s="1385" t="s">
        <v>2207</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594"/>
      <c r="Q23" s="1543" t="str">
        <f t="shared" ref="Q23:Q37" si="8">B23</f>
        <v>区域土地利用方向</v>
      </c>
      <c r="R23" s="1653" t="s">
        <v>25</v>
      </c>
      <c r="S23" s="1654">
        <f>F23</f>
        <v>100</v>
      </c>
      <c r="T23" s="1653" t="s">
        <v>25</v>
      </c>
      <c r="U23" s="1654">
        <f>H23</f>
        <v>100</v>
      </c>
      <c r="V23" s="1653" t="s">
        <v>25</v>
      </c>
      <c r="W23" s="1654">
        <f>J23</f>
        <v>100</v>
      </c>
      <c r="X23" s="1593"/>
      <c r="Y23" s="3594"/>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594"/>
      <c r="Q24" s="1543"/>
      <c r="R24" s="1653"/>
      <c r="S24" s="1654"/>
      <c r="T24" s="1653"/>
      <c r="U24" s="1654"/>
      <c r="V24" s="1653"/>
      <c r="W24" s="1654"/>
      <c r="X24" s="1593"/>
      <c r="Y24" s="3594"/>
      <c r="Z24" s="1655"/>
      <c r="AA24" s="1656"/>
      <c r="AB24" s="1656"/>
      <c r="AC24" s="1656"/>
    </row>
    <row r="25" spans="1:29" ht="57">
      <c r="A25" s="1595"/>
      <c r="B25" s="1909" t="s">
        <v>2208</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594"/>
      <c r="Q25" s="1543" t="str">
        <f t="shared" si="8"/>
        <v>自然及人文环境状况</v>
      </c>
      <c r="R25" s="1653" t="s">
        <v>25</v>
      </c>
      <c r="S25" s="1654">
        <f>F25</f>
        <v>100</v>
      </c>
      <c r="T25" s="1653" t="s">
        <v>25</v>
      </c>
      <c r="U25" s="1654">
        <f>H25</f>
        <v>100</v>
      </c>
      <c r="V25" s="1653" t="s">
        <v>25</v>
      </c>
      <c r="W25" s="1654">
        <f>J25</f>
        <v>100</v>
      </c>
      <c r="X25" s="1593"/>
      <c r="Y25" s="3594"/>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594"/>
      <c r="Q26" s="1543"/>
      <c r="R26" s="1653"/>
      <c r="S26" s="1654"/>
      <c r="T26" s="1653"/>
      <c r="U26" s="1654"/>
      <c r="V26" s="1653"/>
      <c r="W26" s="1654"/>
      <c r="X26" s="1593"/>
      <c r="Y26" s="3594"/>
      <c r="Z26" s="1655"/>
      <c r="AA26" s="1656">
        <v>1</v>
      </c>
      <c r="AB26" s="1656">
        <v>1</v>
      </c>
      <c r="AC26" s="1656">
        <v>1</v>
      </c>
    </row>
    <row r="27" spans="1:29" ht="42.75">
      <c r="A27" s="1595"/>
      <c r="B27" s="1909" t="s">
        <v>2116</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594"/>
      <c r="Q27" s="1562" t="str">
        <f t="shared" ref="Q27" si="9">B27</f>
        <v>公共配套设施</v>
      </c>
      <c r="R27" s="1608" t="s">
        <v>25</v>
      </c>
      <c r="S27" s="1609">
        <f>F27</f>
        <v>100</v>
      </c>
      <c r="T27" s="1608" t="s">
        <v>25</v>
      </c>
      <c r="U27" s="1609">
        <f>H27</f>
        <v>100</v>
      </c>
      <c r="V27" s="1608" t="s">
        <v>25</v>
      </c>
      <c r="W27" s="1609">
        <f>J27</f>
        <v>100</v>
      </c>
      <c r="X27" s="1593"/>
      <c r="Y27" s="3594"/>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594"/>
      <c r="Q28" s="1543"/>
      <c r="R28" s="1653"/>
      <c r="S28" s="1654"/>
      <c r="T28" s="1653"/>
      <c r="U28" s="1654"/>
      <c r="V28" s="1653"/>
      <c r="W28" s="1654"/>
      <c r="X28" s="1593"/>
      <c r="Y28" s="3594"/>
      <c r="Z28" s="1621"/>
      <c r="AA28" s="1656">
        <v>1</v>
      </c>
      <c r="AB28" s="1656">
        <v>1</v>
      </c>
      <c r="AC28" s="1656">
        <v>1</v>
      </c>
    </row>
    <row r="29" spans="1:29" s="1612" customFormat="1" ht="28.5">
      <c r="A29" s="1915"/>
      <c r="B29" s="1909" t="s">
        <v>2117</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594"/>
      <c r="Q29" s="1562" t="str">
        <f t="shared" si="8"/>
        <v>基础设施水平</v>
      </c>
      <c r="R29" s="1608" t="s">
        <v>25</v>
      </c>
      <c r="S29" s="1609">
        <f>F29</f>
        <v>100</v>
      </c>
      <c r="T29" s="1608" t="s">
        <v>25</v>
      </c>
      <c r="U29" s="1609">
        <f>H29</f>
        <v>100</v>
      </c>
      <c r="V29" s="1608" t="s">
        <v>25</v>
      </c>
      <c r="W29" s="1609">
        <f>J29</f>
        <v>100</v>
      </c>
      <c r="X29" s="1610"/>
      <c r="Y29" s="3594"/>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594"/>
      <c r="Q30" s="1562"/>
      <c r="R30" s="1608"/>
      <c r="S30" s="1609"/>
      <c r="T30" s="1608"/>
      <c r="U30" s="1609"/>
      <c r="V30" s="1608"/>
      <c r="W30" s="1609"/>
      <c r="X30" s="1610"/>
      <c r="Y30" s="3594"/>
      <c r="Z30" s="1621"/>
      <c r="AA30" s="1656">
        <v>1</v>
      </c>
      <c r="AB30" s="1656">
        <v>1</v>
      </c>
      <c r="AC30" s="1656">
        <v>1</v>
      </c>
    </row>
    <row r="31" spans="1:29" ht="15">
      <c r="A31" s="1595"/>
      <c r="B31" s="1906" t="s">
        <v>2118</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594"/>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594"/>
      <c r="Z31" s="1655" t="str">
        <f t="shared" ref="Z31:Z45" si="13">Q31</f>
        <v>临街状况</v>
      </c>
      <c r="AA31" s="1656">
        <f t="shared" si="3"/>
        <v>1</v>
      </c>
      <c r="AB31" s="1656">
        <f t="shared" si="4"/>
        <v>1</v>
      </c>
      <c r="AC31" s="1656">
        <f t="shared" si="5"/>
        <v>1</v>
      </c>
    </row>
    <row r="32" spans="1:29" ht="27">
      <c r="A32" s="1595"/>
      <c r="B32" s="1909" t="s">
        <v>2148</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594"/>
      <c r="Q32" s="1543" t="str">
        <f t="shared" si="8"/>
        <v>毗邻道路的类型与等级</v>
      </c>
      <c r="R32" s="1653" t="s">
        <v>25</v>
      </c>
      <c r="S32" s="1654">
        <f t="shared" si="10"/>
        <v>100</v>
      </c>
      <c r="T32" s="1653" t="s">
        <v>25</v>
      </c>
      <c r="U32" s="1654">
        <f t="shared" si="11"/>
        <v>100</v>
      </c>
      <c r="V32" s="1653" t="s">
        <v>25</v>
      </c>
      <c r="W32" s="1654">
        <f t="shared" si="12"/>
        <v>100</v>
      </c>
      <c r="X32" s="1593"/>
      <c r="Y32" s="3594"/>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594"/>
      <c r="Q33" s="1543"/>
      <c r="R33" s="1653"/>
      <c r="S33" s="1654"/>
      <c r="T33" s="1653"/>
      <c r="U33" s="1654"/>
      <c r="V33" s="1653"/>
      <c r="W33" s="1654"/>
      <c r="X33" s="1593"/>
      <c r="Y33" s="3594"/>
      <c r="Z33" s="1655"/>
      <c r="AA33" s="1656">
        <v>1</v>
      </c>
      <c r="AB33" s="1656">
        <v>1</v>
      </c>
      <c r="AC33" s="1656">
        <v>1</v>
      </c>
    </row>
    <row r="34" spans="1:29" ht="15">
      <c r="A34" s="1595"/>
      <c r="B34" s="1918" t="s">
        <v>2209</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594"/>
      <c r="Q34" s="1543" t="str">
        <f t="shared" si="8"/>
        <v>土地级别</v>
      </c>
      <c r="R34" s="1653" t="s">
        <v>25</v>
      </c>
      <c r="S34" s="1654">
        <f t="shared" si="10"/>
        <v>100</v>
      </c>
      <c r="T34" s="1653" t="s">
        <v>25</v>
      </c>
      <c r="U34" s="1654">
        <f t="shared" si="11"/>
        <v>100</v>
      </c>
      <c r="V34" s="1653" t="s">
        <v>25</v>
      </c>
      <c r="W34" s="1654">
        <f t="shared" si="12"/>
        <v>100</v>
      </c>
      <c r="X34" s="1593"/>
      <c r="Y34" s="3594"/>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594"/>
      <c r="Q35" s="1543">
        <f t="shared" si="8"/>
        <v>111</v>
      </c>
      <c r="R35" s="1653" t="s">
        <v>25</v>
      </c>
      <c r="S35" s="1654">
        <f t="shared" si="10"/>
        <v>100</v>
      </c>
      <c r="T35" s="1653" t="s">
        <v>25</v>
      </c>
      <c r="U35" s="1654">
        <f t="shared" si="11"/>
        <v>100</v>
      </c>
      <c r="V35" s="1653" t="s">
        <v>25</v>
      </c>
      <c r="W35" s="1654">
        <f t="shared" si="12"/>
        <v>100</v>
      </c>
      <c r="X35" s="1593"/>
      <c r="Y35" s="3594"/>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35" t="s">
        <v>2036</v>
      </c>
      <c r="Q36" s="1543">
        <f t="shared" si="8"/>
        <v>111</v>
      </c>
      <c r="R36" s="1653" t="s">
        <v>25</v>
      </c>
      <c r="S36" s="1654">
        <f t="shared" si="10"/>
        <v>100</v>
      </c>
      <c r="T36" s="1653" t="s">
        <v>25</v>
      </c>
      <c r="U36" s="1654">
        <f t="shared" si="11"/>
        <v>100</v>
      </c>
      <c r="V36" s="1653" t="s">
        <v>25</v>
      </c>
      <c r="W36" s="1654">
        <f t="shared" si="12"/>
        <v>100</v>
      </c>
      <c r="X36" s="1593"/>
      <c r="Y36" s="3598" t="s">
        <v>2036</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598"/>
      <c r="Q37" s="1543">
        <f t="shared" si="8"/>
        <v>111</v>
      </c>
      <c r="R37" s="1695" t="s">
        <v>25</v>
      </c>
      <c r="S37" s="1696">
        <f t="shared" si="10"/>
        <v>100</v>
      </c>
      <c r="T37" s="1695" t="s">
        <v>25</v>
      </c>
      <c r="U37" s="1696">
        <f t="shared" si="11"/>
        <v>100</v>
      </c>
      <c r="V37" s="1695" t="s">
        <v>25</v>
      </c>
      <c r="W37" s="1696">
        <f t="shared" si="12"/>
        <v>100</v>
      </c>
      <c r="X37" s="1697"/>
      <c r="Y37" s="3598"/>
      <c r="Z37" s="1698">
        <f t="shared" si="13"/>
        <v>111</v>
      </c>
      <c r="AA37" s="1656">
        <f t="shared" si="3"/>
        <v>1</v>
      </c>
      <c r="AB37" s="1656">
        <f t="shared" si="4"/>
        <v>1</v>
      </c>
      <c r="AC37" s="1656">
        <f t="shared" si="5"/>
        <v>1</v>
      </c>
    </row>
    <row r="38" spans="1:29" ht="15">
      <c r="A38" s="1590" t="s">
        <v>2034</v>
      </c>
      <c r="B38" s="1671" t="s">
        <v>2210</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598"/>
      <c r="Q38" s="1543" t="str">
        <f>B38</f>
        <v>宗地面积</v>
      </c>
      <c r="R38" s="1653" t="s">
        <v>25</v>
      </c>
      <c r="S38" s="1654" t="e">
        <f t="shared" si="10"/>
        <v>#N/A</v>
      </c>
      <c r="T38" s="1653" t="s">
        <v>25</v>
      </c>
      <c r="U38" s="1654" t="e">
        <f t="shared" si="11"/>
        <v>#N/A</v>
      </c>
      <c r="V38" s="1653" t="s">
        <v>25</v>
      </c>
      <c r="W38" s="1654" t="e">
        <f t="shared" si="12"/>
        <v>#N/A</v>
      </c>
      <c r="X38" s="1593"/>
      <c r="Y38" s="3598"/>
      <c r="Z38" s="1655" t="str">
        <f t="shared" si="13"/>
        <v>宗地面积</v>
      </c>
      <c r="AA38" s="1656" t="e">
        <f t="shared" si="3"/>
        <v>#N/A</v>
      </c>
      <c r="AB38" s="1656" t="e">
        <f t="shared" si="4"/>
        <v>#N/A</v>
      </c>
      <c r="AC38" s="1656" t="e">
        <f t="shared" si="5"/>
        <v>#N/A</v>
      </c>
    </row>
    <row r="39" spans="1:29" ht="15">
      <c r="A39" s="1700"/>
      <c r="B39" s="1623" t="s">
        <v>2211</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598"/>
      <c r="Q39" s="1543" t="str">
        <f t="shared" ref="Q39:Q45" si="14">B39</f>
        <v>宗地形状</v>
      </c>
      <c r="R39" s="1653" t="s">
        <v>25</v>
      </c>
      <c r="S39" s="1654">
        <f t="shared" si="10"/>
        <v>100</v>
      </c>
      <c r="T39" s="1653" t="s">
        <v>25</v>
      </c>
      <c r="U39" s="1654">
        <f t="shared" si="11"/>
        <v>100</v>
      </c>
      <c r="V39" s="1653" t="s">
        <v>25</v>
      </c>
      <c r="W39" s="1654">
        <f t="shared" si="12"/>
        <v>100</v>
      </c>
      <c r="X39" s="1593"/>
      <c r="Y39" s="3598"/>
      <c r="Z39" s="1655" t="str">
        <f t="shared" si="13"/>
        <v>宗地形状</v>
      </c>
      <c r="AA39" s="1656">
        <f t="shared" si="3"/>
        <v>1</v>
      </c>
      <c r="AB39" s="1656">
        <f t="shared" si="4"/>
        <v>1</v>
      </c>
      <c r="AC39" s="1656">
        <f t="shared" si="5"/>
        <v>1</v>
      </c>
    </row>
    <row r="40" spans="1:29" ht="15">
      <c r="A40" s="1700"/>
      <c r="B40" s="1623" t="s">
        <v>2212</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598"/>
      <c r="Q40" s="1543" t="str">
        <f t="shared" si="14"/>
        <v>临街宽度及深度</v>
      </c>
      <c r="R40" s="1653" t="s">
        <v>25</v>
      </c>
      <c r="S40" s="1654">
        <f t="shared" si="10"/>
        <v>100</v>
      </c>
      <c r="T40" s="1653" t="s">
        <v>25</v>
      </c>
      <c r="U40" s="1654">
        <f t="shared" si="11"/>
        <v>100</v>
      </c>
      <c r="V40" s="1653" t="s">
        <v>25</v>
      </c>
      <c r="W40" s="1654">
        <f t="shared" si="12"/>
        <v>100</v>
      </c>
      <c r="X40" s="1593"/>
      <c r="Y40" s="3598"/>
      <c r="Z40" s="1655" t="str">
        <f t="shared" si="13"/>
        <v>临街宽度及深度</v>
      </c>
      <c r="AA40" s="1656">
        <f t="shared" si="3"/>
        <v>1</v>
      </c>
      <c r="AB40" s="1656">
        <f t="shared" si="4"/>
        <v>1</v>
      </c>
      <c r="AC40" s="1656">
        <f t="shared" si="5"/>
        <v>1</v>
      </c>
    </row>
    <row r="41" spans="1:29" s="1612" customFormat="1" ht="15">
      <c r="A41" s="1703"/>
      <c r="B41" s="1623" t="s">
        <v>2213</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598"/>
      <c r="Q41" s="1543" t="str">
        <f t="shared" si="14"/>
        <v>宗地开发程度</v>
      </c>
      <c r="R41" s="1608" t="s">
        <v>25</v>
      </c>
      <c r="S41" s="1609">
        <f t="shared" si="10"/>
        <v>100</v>
      </c>
      <c r="T41" s="1608" t="s">
        <v>25</v>
      </c>
      <c r="U41" s="1609">
        <f t="shared" si="11"/>
        <v>100</v>
      </c>
      <c r="V41" s="1608" t="s">
        <v>25</v>
      </c>
      <c r="W41" s="1609">
        <f t="shared" si="12"/>
        <v>100</v>
      </c>
      <c r="X41" s="1610"/>
      <c r="Y41" s="3598"/>
      <c r="Z41" s="1621" t="str">
        <f t="shared" si="13"/>
        <v>宗地开发程度</v>
      </c>
      <c r="AA41" s="1611">
        <f t="shared" si="3"/>
        <v>1</v>
      </c>
      <c r="AB41" s="1611">
        <f t="shared" si="4"/>
        <v>1</v>
      </c>
      <c r="AC41" s="1611">
        <f t="shared" si="5"/>
        <v>1</v>
      </c>
    </row>
    <row r="42" spans="1:29" ht="15">
      <c r="A42" s="1700"/>
      <c r="B42" s="1623" t="s">
        <v>2214</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598" t="s">
        <v>2036</v>
      </c>
      <c r="Q42" s="1543" t="str">
        <f t="shared" si="14"/>
        <v>工程地质条件</v>
      </c>
      <c r="R42" s="1653" t="s">
        <v>25</v>
      </c>
      <c r="S42" s="1654">
        <f t="shared" si="10"/>
        <v>100</v>
      </c>
      <c r="T42" s="1653" t="s">
        <v>25</v>
      </c>
      <c r="U42" s="1654">
        <f t="shared" si="11"/>
        <v>100</v>
      </c>
      <c r="V42" s="1653" t="s">
        <v>25</v>
      </c>
      <c r="W42" s="1654">
        <f t="shared" si="12"/>
        <v>100</v>
      </c>
      <c r="X42" s="1593"/>
      <c r="Y42" s="3598" t="s">
        <v>2036</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598"/>
      <c r="Q43" s="1543">
        <f t="shared" si="14"/>
        <v>111</v>
      </c>
      <c r="R43" s="1653" t="s">
        <v>25</v>
      </c>
      <c r="S43" s="1654">
        <f t="shared" si="10"/>
        <v>100</v>
      </c>
      <c r="T43" s="1653" t="s">
        <v>25</v>
      </c>
      <c r="U43" s="1654">
        <f t="shared" si="11"/>
        <v>100</v>
      </c>
      <c r="V43" s="1653" t="s">
        <v>25</v>
      </c>
      <c r="W43" s="1654">
        <f t="shared" si="12"/>
        <v>100</v>
      </c>
      <c r="X43" s="1593"/>
      <c r="Y43" s="3598"/>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598"/>
      <c r="Q44" s="1543">
        <f t="shared" si="14"/>
        <v>111</v>
      </c>
      <c r="R44" s="1653" t="s">
        <v>25</v>
      </c>
      <c r="S44" s="1654">
        <f t="shared" si="10"/>
        <v>100</v>
      </c>
      <c r="T44" s="1653" t="s">
        <v>25</v>
      </c>
      <c r="U44" s="1654">
        <f t="shared" si="11"/>
        <v>100</v>
      </c>
      <c r="V44" s="1653" t="s">
        <v>25</v>
      </c>
      <c r="W44" s="1654">
        <f t="shared" si="12"/>
        <v>100</v>
      </c>
      <c r="X44" s="1593"/>
      <c r="Y44" s="3598"/>
      <c r="Z44" s="1655">
        <f t="shared" si="13"/>
        <v>111</v>
      </c>
      <c r="AA44" s="1656">
        <f t="shared" si="3"/>
        <v>1</v>
      </c>
      <c r="AB44" s="1656">
        <f t="shared" si="4"/>
        <v>1</v>
      </c>
      <c r="AC44" s="1656">
        <f t="shared" si="5"/>
        <v>1</v>
      </c>
    </row>
    <row r="45" spans="1:29" s="1699" customFormat="1" ht="15.75" thickBot="1">
      <c r="A45" s="1692"/>
      <c r="B45" s="1931">
        <v>111</v>
      </c>
      <c r="C45" s="1932"/>
      <c r="D45" s="3064">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598"/>
      <c r="Q45" s="1543">
        <f t="shared" si="14"/>
        <v>111</v>
      </c>
      <c r="R45" s="1695" t="s">
        <v>25</v>
      </c>
      <c r="S45" s="1696">
        <f t="shared" si="10"/>
        <v>100</v>
      </c>
      <c r="T45" s="1695" t="s">
        <v>25</v>
      </c>
      <c r="U45" s="1696">
        <f t="shared" si="11"/>
        <v>100</v>
      </c>
      <c r="V45" s="1695" t="s">
        <v>25</v>
      </c>
      <c r="W45" s="1696">
        <f t="shared" si="12"/>
        <v>100</v>
      </c>
      <c r="X45" s="1697"/>
      <c r="Y45" s="3598"/>
      <c r="Z45" s="1698">
        <f t="shared" si="13"/>
        <v>111</v>
      </c>
      <c r="AA45" s="1656">
        <f t="shared" si="3"/>
        <v>1</v>
      </c>
      <c r="AB45" s="1656">
        <f t="shared" si="4"/>
        <v>1</v>
      </c>
      <c r="AC45" s="1656">
        <f t="shared" si="5"/>
        <v>1</v>
      </c>
    </row>
    <row r="46" spans="1:29" ht="15">
      <c r="A46" s="1709" t="s">
        <v>2178</v>
      </c>
      <c r="B46" s="1934" t="s">
        <v>2215</v>
      </c>
      <c r="C46" s="1935" t="s">
        <v>1</v>
      </c>
      <c r="D46" s="1936"/>
      <c r="E46" s="1937"/>
      <c r="F46" s="1938"/>
      <c r="G46" s="1939"/>
      <c r="H46" s="1940"/>
      <c r="I46" s="1937"/>
      <c r="J46" s="1940"/>
      <c r="K46" s="1941"/>
      <c r="L46" s="2920"/>
      <c r="N46" s="2915"/>
      <c r="P46" s="3600" t="str">
        <f>A46</f>
        <v>成交单价</v>
      </c>
      <c r="Q46" s="3600"/>
      <c r="R46" s="3586">
        <f>E46</f>
        <v>0</v>
      </c>
      <c r="S46" s="3586"/>
      <c r="T46" s="3586">
        <f>G46</f>
        <v>0</v>
      </c>
      <c r="U46" s="3586"/>
      <c r="V46" s="3586">
        <f>I46</f>
        <v>0</v>
      </c>
      <c r="W46" s="3586"/>
      <c r="X46" s="1719"/>
      <c r="Y46" s="1720"/>
      <c r="Z46" s="1719"/>
      <c r="AA46" s="1719"/>
      <c r="AB46" s="1719"/>
      <c r="AC46" s="1719"/>
    </row>
    <row r="47" spans="1:29" ht="15.75" thickBot="1">
      <c r="A47" s="1721" t="s">
        <v>2131</v>
      </c>
      <c r="B47" s="1942"/>
      <c r="C47" s="1943" t="e">
        <f>R48</f>
        <v>#DIV/0!</v>
      </c>
      <c r="D47" s="1724" t="s">
        <v>2502</v>
      </c>
      <c r="E47" s="1943" t="e">
        <f>R47</f>
        <v>#DIV/0!</v>
      </c>
      <c r="F47" s="1726"/>
      <c r="G47" s="1944" t="e">
        <f>T47</f>
        <v>#DIV/0!</v>
      </c>
      <c r="H47" s="1726"/>
      <c r="I47" s="1943" t="e">
        <f>V47</f>
        <v>#DIV/0!</v>
      </c>
      <c r="J47" s="1726"/>
      <c r="K47" s="2428">
        <f>F47+H47+J47</f>
        <v>0</v>
      </c>
      <c r="L47" s="2920"/>
      <c r="P47" s="3600" t="str">
        <f>A47</f>
        <v>比较价值（元/平方米）</v>
      </c>
      <c r="Q47" s="3600"/>
      <c r="R47" s="3678" t="e">
        <f>ROUND(PRODUCT(R46,AA7:AA45),0)</f>
        <v>#DIV/0!</v>
      </c>
      <c r="S47" s="3678"/>
      <c r="T47" s="3678" t="e">
        <f>ROUND(PRODUCT(T46,AB7:AB45),0)</f>
        <v>#DIV/0!</v>
      </c>
      <c r="U47" s="3678"/>
      <c r="V47" s="3678" t="e">
        <f>ROUND(PRODUCT(V46,AC7:AC45),0)</f>
        <v>#DIV/0!</v>
      </c>
      <c r="W47" s="3678"/>
      <c r="X47" s="1719"/>
      <c r="Y47" s="1719"/>
      <c r="Z47" s="1719"/>
      <c r="AA47" s="1719"/>
      <c r="AB47" s="1719"/>
      <c r="AC47" s="1719"/>
    </row>
    <row r="48" spans="1:29" ht="15.75" thickBot="1">
      <c r="A48" s="1727" t="s">
        <v>2154</v>
      </c>
      <c r="B48" s="1728"/>
      <c r="C48" s="1945" t="e">
        <f>R48</f>
        <v>#DIV/0!</v>
      </c>
      <c r="D48" s="1945"/>
      <c r="E48" s="1945"/>
      <c r="F48" s="1945"/>
      <c r="G48" s="1945"/>
      <c r="H48" s="1945"/>
      <c r="I48" s="1945"/>
      <c r="J48" s="1945"/>
      <c r="K48" s="1946"/>
      <c r="L48" s="2920"/>
      <c r="P48" s="3602" t="str">
        <f>A48</f>
        <v>估价对象XX用房的比较价值（楼面单价，元/平方米）</v>
      </c>
      <c r="Q48" s="3603"/>
      <c r="R48" s="3679" t="e">
        <f>ROUND(IF(D47="简单平均",AVERAGE(R47:W47),R47*F47+T47*H47+V47*J47),0)</f>
        <v>#DIV/0!</v>
      </c>
      <c r="S48" s="3679"/>
      <c r="T48" s="3679"/>
      <c r="U48" s="3679"/>
      <c r="V48" s="3679"/>
      <c r="W48" s="3679"/>
      <c r="X48" s="1719"/>
      <c r="Y48" s="1719"/>
      <c r="Z48" s="1719"/>
      <c r="AA48" s="1719"/>
      <c r="AB48" s="1719"/>
      <c r="AC48" s="1719"/>
    </row>
    <row r="49" spans="1:14">
      <c r="G49" s="2924"/>
    </row>
    <row r="51" spans="1:14" ht="13.5" customHeight="1">
      <c r="C51" s="383" t="s">
        <v>2133</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2134</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2135</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2216</v>
      </c>
      <c r="B55" s="1947" t="s">
        <v>2217</v>
      </c>
      <c r="C55" s="1948" t="s">
        <v>2218</v>
      </c>
      <c r="D55" s="1949" t="s">
        <v>2219</v>
      </c>
      <c r="E55" s="1950" t="s">
        <v>2220</v>
      </c>
      <c r="F55" s="1951" t="s">
        <v>2221</v>
      </c>
      <c r="G55" s="1846" t="s">
        <v>2222</v>
      </c>
      <c r="H55" s="1846" t="str">
        <f>项目基本情况!G8</f>
        <v>XX</v>
      </c>
      <c r="I55" s="1521" t="s">
        <v>2223</v>
      </c>
      <c r="J55" s="1952"/>
      <c r="K55" s="1733"/>
    </row>
    <row r="56" spans="1:14" s="1959" customFormat="1">
      <c r="A56" s="1953" t="s">
        <v>2224</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2225</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2226</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2227</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2228</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2229</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2230</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2231</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2232</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2233</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2022-8-1</v>
      </c>
      <c r="D67" s="1968">
        <f>EDATE(C67,-3)</f>
        <v>44682</v>
      </c>
      <c r="E67" s="1968">
        <f t="shared" ref="E67:O67" si="18">EDATE(D67,-3)</f>
        <v>44593</v>
      </c>
      <c r="F67" s="1968">
        <f t="shared" si="18"/>
        <v>44501</v>
      </c>
      <c r="G67" s="1968">
        <f t="shared" si="18"/>
        <v>44409</v>
      </c>
      <c r="H67" s="1968">
        <f t="shared" si="18"/>
        <v>44317</v>
      </c>
      <c r="I67" s="1968">
        <f t="shared" si="18"/>
        <v>44228</v>
      </c>
      <c r="J67" s="1968">
        <f t="shared" si="18"/>
        <v>44136</v>
      </c>
      <c r="K67" s="1968">
        <f t="shared" si="18"/>
        <v>44044</v>
      </c>
      <c r="L67" s="1968">
        <f t="shared" si="18"/>
        <v>43952</v>
      </c>
      <c r="M67" s="1968">
        <f t="shared" si="18"/>
        <v>43862</v>
      </c>
      <c r="N67" s="1968">
        <f t="shared" si="18"/>
        <v>43770</v>
      </c>
      <c r="O67" s="1968">
        <f t="shared" si="18"/>
        <v>43678</v>
      </c>
    </row>
    <row r="68" spans="1:17" ht="21.75" thickBot="1">
      <c r="A68" s="1744" t="s">
        <v>2136</v>
      </c>
      <c r="B68" s="1719"/>
      <c r="C68" s="1745"/>
      <c r="D68" s="1745"/>
      <c r="E68" s="1745"/>
      <c r="F68" s="1745"/>
      <c r="G68" s="1745"/>
      <c r="H68" s="1745"/>
      <c r="I68" s="1970"/>
      <c r="J68" s="1970"/>
      <c r="K68" s="1971"/>
      <c r="L68" s="1972"/>
      <c r="M68" s="1970"/>
      <c r="N68" s="1970"/>
      <c r="O68" s="1970"/>
      <c r="P68" s="1973"/>
      <c r="Q68" s="1749"/>
    </row>
    <row r="69" spans="1:17" s="1978" customFormat="1" ht="15">
      <c r="A69" s="1974" t="s">
        <v>2234</v>
      </c>
      <c r="B69" s="1975"/>
      <c r="C69" s="1976" t="str">
        <f>YEAR(C67)&amp;"-"&amp;ROUNDUP(MONTH(C67)/3,0)</f>
        <v>2022-3</v>
      </c>
      <c r="D69" s="1976" t="str">
        <f>YEAR(D67)&amp;"-"&amp;ROUNDUP(MONTH(D67)/3,0)</f>
        <v>2022-2</v>
      </c>
      <c r="E69" s="1976" t="str">
        <f t="shared" ref="E69:O69" si="19">YEAR(E67)&amp;"-"&amp;ROUNDUP(MONTH(E67)/3,0)</f>
        <v>2022-1</v>
      </c>
      <c r="F69" s="1976" t="str">
        <f t="shared" si="19"/>
        <v>2021-4</v>
      </c>
      <c r="G69" s="1976" t="str">
        <f t="shared" si="19"/>
        <v>2021-3</v>
      </c>
      <c r="H69" s="1976" t="str">
        <f t="shared" si="19"/>
        <v>2021-2</v>
      </c>
      <c r="I69" s="1976" t="str">
        <f t="shared" si="19"/>
        <v>2021-1</v>
      </c>
      <c r="J69" s="1976" t="str">
        <f t="shared" si="19"/>
        <v>2020-4</v>
      </c>
      <c r="K69" s="1976" t="str">
        <f t="shared" si="19"/>
        <v>2020-3</v>
      </c>
      <c r="L69" s="1976" t="str">
        <f t="shared" si="19"/>
        <v>2020-2</v>
      </c>
      <c r="M69" s="1976" t="str">
        <f t="shared" si="19"/>
        <v>2020-1</v>
      </c>
      <c r="N69" s="1976" t="str">
        <f t="shared" si="19"/>
        <v>2019-4</v>
      </c>
      <c r="O69" s="1976" t="str">
        <f t="shared" si="19"/>
        <v>2019-3</v>
      </c>
      <c r="P69" s="1977"/>
    </row>
    <row r="70" spans="1:17" s="1612" customFormat="1" ht="29.25" customHeight="1">
      <c r="A70" s="1979" t="s">
        <v>2235</v>
      </c>
      <c r="B70" s="1980" t="str">
        <f>"北京市平均增长率"&amp;TEXT(SUMIF(基准地价修正!N21:N25,A70,基准地价修正!P21:P25),"0.00%")</f>
        <v>北京市平均增长率0.98%</v>
      </c>
      <c r="C70" s="1833">
        <v>100</v>
      </c>
      <c r="D70" s="1829"/>
      <c r="E70" s="1829"/>
      <c r="F70" s="1829"/>
      <c r="G70" s="1829"/>
      <c r="H70" s="1829"/>
      <c r="I70" s="1829"/>
      <c r="J70" s="1829"/>
      <c r="K70" s="1829"/>
      <c r="L70" s="1829"/>
      <c r="M70" s="1981"/>
      <c r="N70" s="1829"/>
      <c r="O70" s="1982"/>
      <c r="P70" s="1749"/>
    </row>
    <row r="71" spans="1:17" s="1612" customFormat="1" ht="15.75" thickBot="1">
      <c r="A71" s="1762" t="s">
        <v>2056</v>
      </c>
      <c r="B71" s="1763"/>
      <c r="C71" s="1764"/>
      <c r="D71" s="1765"/>
      <c r="E71" s="1765"/>
      <c r="F71" s="1765"/>
      <c r="G71" s="1765"/>
      <c r="H71" s="1765"/>
      <c r="I71" s="1765"/>
      <c r="J71" s="1765"/>
      <c r="K71" s="1765"/>
      <c r="L71" s="1765"/>
      <c r="M71" s="1766"/>
      <c r="N71" s="1765"/>
      <c r="O71" s="1983"/>
      <c r="P71" s="1749"/>
      <c r="Q71" s="1749"/>
    </row>
    <row r="72" spans="1:17" s="1612" customFormat="1" ht="15">
      <c r="A72" s="1767" t="s">
        <v>2020</v>
      </c>
      <c r="B72" s="1757"/>
      <c r="C72" s="1768" t="s">
        <v>2021</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2059</v>
      </c>
      <c r="B74" s="1775" t="s">
        <v>2024</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2027</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2028</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2029</v>
      </c>
      <c r="B87" s="1775" t="s">
        <v>2067</v>
      </c>
      <c r="C87" s="1813" t="s">
        <v>2068</v>
      </c>
      <c r="D87" s="1813" t="s">
        <v>2069</v>
      </c>
      <c r="E87" s="1813" t="s">
        <v>2070</v>
      </c>
      <c r="F87" s="1813" t="s">
        <v>2071</v>
      </c>
      <c r="G87" s="1813" t="s">
        <v>2072</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2236</v>
      </c>
      <c r="C89" s="579" t="s">
        <v>2068</v>
      </c>
      <c r="D89" s="579" t="s">
        <v>2069</v>
      </c>
      <c r="E89" s="579" t="s">
        <v>2070</v>
      </c>
      <c r="F89" s="579" t="s">
        <v>2071</v>
      </c>
      <c r="G89" s="579" t="s">
        <v>2072</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2155</v>
      </c>
      <c r="C91" s="579" t="s">
        <v>2068</v>
      </c>
      <c r="D91" s="579" t="s">
        <v>2069</v>
      </c>
      <c r="E91" s="579" t="s">
        <v>2070</v>
      </c>
      <c r="F91" s="579" t="s">
        <v>2071</v>
      </c>
      <c r="G91" s="579" t="s">
        <v>2072</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2073</v>
      </c>
      <c r="C93" s="579" t="s">
        <v>2068</v>
      </c>
      <c r="D93" s="579" t="s">
        <v>2069</v>
      </c>
      <c r="E93" s="579" t="s">
        <v>2070</v>
      </c>
      <c r="F93" s="579" t="s">
        <v>2071</v>
      </c>
      <c r="G93" s="579" t="s">
        <v>2072</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2237</v>
      </c>
      <c r="C95" s="579" t="s">
        <v>2068</v>
      </c>
      <c r="D95" s="579" t="s">
        <v>2069</v>
      </c>
      <c r="E95" s="579" t="s">
        <v>2070</v>
      </c>
      <c r="F95" s="579" t="s">
        <v>2071</v>
      </c>
      <c r="G95" s="579" t="s">
        <v>2072</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2238</v>
      </c>
      <c r="C97" s="1813" t="s">
        <v>2068</v>
      </c>
      <c r="D97" s="1813" t="s">
        <v>2069</v>
      </c>
      <c r="E97" s="1813" t="s">
        <v>2070</v>
      </c>
      <c r="F97" s="1813" t="s">
        <v>2071</v>
      </c>
      <c r="G97" s="1813" t="s">
        <v>2072</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2116</v>
      </c>
      <c r="C99" s="1813" t="s">
        <v>2068</v>
      </c>
      <c r="D99" s="1813" t="s">
        <v>2069</v>
      </c>
      <c r="E99" s="1813" t="s">
        <v>2070</v>
      </c>
      <c r="F99" s="1813" t="s">
        <v>2071</v>
      </c>
      <c r="G99" s="1813" t="s">
        <v>2072</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2117</v>
      </c>
      <c r="C101" s="1787" t="s">
        <v>2075</v>
      </c>
      <c r="D101" s="1787" t="s">
        <v>2076</v>
      </c>
      <c r="E101" s="1787" t="s">
        <v>2077</v>
      </c>
      <c r="F101" s="1787" t="s">
        <v>2078</v>
      </c>
      <c r="G101" s="1787" t="s">
        <v>2079</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2239</v>
      </c>
      <c r="D103" s="1787" t="s">
        <v>2240</v>
      </c>
      <c r="E103" s="1787" t="s">
        <v>2241</v>
      </c>
      <c r="F103" s="1787" t="s">
        <v>2242</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2148</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2209</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2034</v>
      </c>
      <c r="B115" s="1775" t="s">
        <v>2243</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2244</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2245</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2246</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2247</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2201</v>
      </c>
      <c r="B1" s="289"/>
      <c r="C1" s="290" t="s">
        <v>2248</v>
      </c>
      <c r="D1" s="613"/>
      <c r="E1" s="613"/>
      <c r="F1" s="612" t="s">
        <v>2003</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1674</v>
      </c>
      <c r="B2" s="552" t="e">
        <f>F60</f>
        <v>#DIV/0!</v>
      </c>
      <c r="C2" s="611" t="s">
        <v>2203</v>
      </c>
      <c r="D2" s="2937"/>
      <c r="E2" s="2937"/>
      <c r="F2" s="2940"/>
      <c r="G2" s="2937"/>
      <c r="H2" s="2937"/>
      <c r="I2" s="2937"/>
      <c r="J2" s="2937"/>
      <c r="K2" s="2941"/>
      <c r="L2" s="2938"/>
      <c r="M2" s="2939"/>
      <c r="N2" s="2939"/>
      <c r="O2" s="2939"/>
      <c r="P2" s="624"/>
      <c r="Q2" s="624"/>
      <c r="R2" s="624"/>
      <c r="S2" s="624"/>
      <c r="T2" s="624"/>
      <c r="U2" s="624"/>
      <c r="V2" s="624"/>
      <c r="W2" s="624"/>
      <c r="X2" s="624"/>
      <c r="Y2" s="624"/>
      <c r="Z2" s="624"/>
      <c r="AA2" s="624"/>
      <c r="AB2" s="624"/>
      <c r="AC2" s="625"/>
    </row>
    <row r="3" spans="1:29" s="291" customFormat="1" ht="28.5" customHeight="1" thickBot="1">
      <c r="A3" s="83" t="s">
        <v>1675</v>
      </c>
      <c r="B3" s="495" t="e">
        <f>ROUND(B2/'数据-取费表'!B5,0)</f>
        <v>#DIV/0!</v>
      </c>
      <c r="C3" s="611" t="s">
        <v>2204</v>
      </c>
      <c r="D3" s="2937"/>
      <c r="E3" s="2937"/>
      <c r="F3" s="2940"/>
      <c r="G3" s="2937"/>
      <c r="H3" s="2937"/>
      <c r="I3" s="2937"/>
      <c r="J3" s="2937"/>
      <c r="K3" s="2941"/>
      <c r="L3" s="2938"/>
      <c r="M3" s="2939"/>
      <c r="N3" s="2939"/>
      <c r="O3" s="2939"/>
      <c r="P3" s="624"/>
      <c r="Q3" s="624"/>
      <c r="R3" s="624"/>
      <c r="S3" s="624"/>
      <c r="T3" s="624"/>
      <c r="U3" s="624"/>
      <c r="V3" s="624"/>
      <c r="W3" s="624"/>
      <c r="X3" s="624"/>
      <c r="Y3" s="624"/>
      <c r="Z3" s="624"/>
      <c r="AA3" s="624"/>
      <c r="AB3" s="643"/>
      <c r="AC3" s="638"/>
    </row>
    <row r="4" spans="1:29" ht="15">
      <c r="A4" s="294" t="s">
        <v>2005</v>
      </c>
      <c r="B4" s="295"/>
      <c r="C4" s="3648" t="s">
        <v>2006</v>
      </c>
      <c r="D4" s="3649"/>
      <c r="E4" s="3650" t="s">
        <v>2007</v>
      </c>
      <c r="F4" s="3651"/>
      <c r="G4" s="3648" t="s">
        <v>2008</v>
      </c>
      <c r="H4" s="3649"/>
      <c r="I4" s="3648" t="s">
        <v>2009</v>
      </c>
      <c r="J4" s="3649"/>
      <c r="K4" s="496" t="s">
        <v>2010</v>
      </c>
      <c r="L4" s="2942"/>
      <c r="M4" s="2943"/>
      <c r="N4" s="2943"/>
      <c r="O4" s="2943"/>
      <c r="P4" s="3652" t="s">
        <v>2011</v>
      </c>
      <c r="Q4" s="3653"/>
      <c r="R4" s="3658" t="s">
        <v>2007</v>
      </c>
      <c r="S4" s="3659"/>
      <c r="T4" s="3658" t="s">
        <v>2008</v>
      </c>
      <c r="U4" s="3659"/>
      <c r="V4" s="3664" t="s">
        <v>2009</v>
      </c>
      <c r="W4" s="3664"/>
      <c r="X4" s="1262"/>
      <c r="Y4" s="3658" t="s">
        <v>2011</v>
      </c>
      <c r="Z4" s="3659"/>
      <c r="AA4" s="3645" t="s">
        <v>2007</v>
      </c>
      <c r="AB4" s="3646" t="s">
        <v>2008</v>
      </c>
      <c r="AC4" s="3645" t="s">
        <v>2009</v>
      </c>
    </row>
    <row r="5" spans="1:29" ht="15">
      <c r="A5" s="297"/>
      <c r="B5" s="298"/>
      <c r="C5" s="3641" t="s">
        <v>2012</v>
      </c>
      <c r="D5" s="3642"/>
      <c r="E5" s="3665" t="s">
        <v>2013</v>
      </c>
      <c r="F5" s="3666"/>
      <c r="G5" s="3641" t="s">
        <v>2014</v>
      </c>
      <c r="H5" s="3642"/>
      <c r="I5" s="3641" t="s">
        <v>2015</v>
      </c>
      <c r="J5" s="3642"/>
      <c r="K5" s="496"/>
      <c r="L5" s="2942"/>
      <c r="M5" s="2943"/>
      <c r="N5" s="2943"/>
      <c r="O5" s="2943"/>
      <c r="P5" s="3654"/>
      <c r="Q5" s="3655"/>
      <c r="R5" s="3660"/>
      <c r="S5" s="3661"/>
      <c r="T5" s="3660"/>
      <c r="U5" s="3661"/>
      <c r="V5" s="3664"/>
      <c r="W5" s="3664"/>
      <c r="X5" s="1262"/>
      <c r="Y5" s="3660"/>
      <c r="Z5" s="3661"/>
      <c r="AA5" s="3646"/>
      <c r="AB5" s="3646"/>
      <c r="AC5" s="3646"/>
    </row>
    <row r="6" spans="1:29" ht="15.75" thickBot="1">
      <c r="A6" s="299"/>
      <c r="B6" s="300"/>
      <c r="C6" s="3638" t="s">
        <v>2016</v>
      </c>
      <c r="D6" s="3639"/>
      <c r="E6" s="3636" t="s">
        <v>2016</v>
      </c>
      <c r="F6" s="3637"/>
      <c r="G6" s="3638" t="s">
        <v>2016</v>
      </c>
      <c r="H6" s="3639"/>
      <c r="I6" s="3638" t="s">
        <v>2016</v>
      </c>
      <c r="J6" s="3639"/>
      <c r="K6" s="496" t="s">
        <v>2017</v>
      </c>
      <c r="L6" s="2942"/>
      <c r="M6" s="2943"/>
      <c r="N6" s="2943"/>
      <c r="O6" s="2943"/>
      <c r="P6" s="3656"/>
      <c r="Q6" s="3657"/>
      <c r="R6" s="3660"/>
      <c r="S6" s="3661"/>
      <c r="T6" s="3662"/>
      <c r="U6" s="3663"/>
      <c r="V6" s="3664"/>
      <c r="W6" s="3664"/>
      <c r="X6" s="1262"/>
      <c r="Y6" s="3662"/>
      <c r="Z6" s="3663"/>
      <c r="AA6" s="3647"/>
      <c r="AB6" s="3647"/>
      <c r="AC6" s="3647"/>
    </row>
    <row r="7" spans="1:29" s="25" customFormat="1" ht="15.75" thickBot="1">
      <c r="A7" s="301" t="s">
        <v>2018</v>
      </c>
      <c r="B7" s="302"/>
      <c r="C7" s="303">
        <f>'数据-取费表'!B2</f>
        <v>44795</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43" t="s">
        <v>2019</v>
      </c>
      <c r="Q7" s="3667"/>
      <c r="R7" s="626" t="s">
        <v>25</v>
      </c>
      <c r="S7" s="627">
        <f t="shared" ref="S7:S15" si="0">F7</f>
        <v>0</v>
      </c>
      <c r="T7" s="626" t="s">
        <v>25</v>
      </c>
      <c r="U7" s="627">
        <f t="shared" ref="U7:U15" si="1">H7</f>
        <v>0</v>
      </c>
      <c r="V7" s="626" t="s">
        <v>25</v>
      </c>
      <c r="W7" s="627">
        <f t="shared" ref="W7:W15" si="2">J7</f>
        <v>0</v>
      </c>
      <c r="X7" s="628"/>
      <c r="Y7" s="3643" t="s">
        <v>2019</v>
      </c>
      <c r="Z7" s="3644"/>
      <c r="AA7" s="629" t="e">
        <f>D7/F7</f>
        <v>#DIV/0!</v>
      </c>
      <c r="AB7" s="629" t="e">
        <f>D7/H7</f>
        <v>#DIV/0!</v>
      </c>
      <c r="AC7" s="629" t="e">
        <f>D7/J7</f>
        <v>#DIV/0!</v>
      </c>
    </row>
    <row r="8" spans="1:29" s="25" customFormat="1" ht="15.75" thickBot="1">
      <c r="A8" s="301" t="s">
        <v>2020</v>
      </c>
      <c r="B8" s="302"/>
      <c r="C8" s="307" t="s">
        <v>2205</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3" t="s">
        <v>2022</v>
      </c>
      <c r="Q8" s="3644"/>
      <c r="R8" s="626" t="s">
        <v>25</v>
      </c>
      <c r="S8" s="627">
        <f t="shared" si="0"/>
        <v>0</v>
      </c>
      <c r="T8" s="626" t="s">
        <v>25</v>
      </c>
      <c r="U8" s="627">
        <f t="shared" si="1"/>
        <v>0</v>
      </c>
      <c r="V8" s="626" t="s">
        <v>25</v>
      </c>
      <c r="W8" s="627">
        <f t="shared" si="2"/>
        <v>0</v>
      </c>
      <c r="X8" s="628"/>
      <c r="Y8" s="3643" t="s">
        <v>2022</v>
      </c>
      <c r="Z8" s="3644"/>
      <c r="AA8" s="629" t="e">
        <f t="shared" ref="AA8:AA40" si="3">D8/F8</f>
        <v>#DIV/0!</v>
      </c>
      <c r="AB8" s="629" t="e">
        <f t="shared" ref="AB8:AB40" si="4">D8/H8</f>
        <v>#DIV/0!</v>
      </c>
      <c r="AC8" s="629" t="e">
        <f t="shared" ref="AC8:AC40" si="5">D8/J8</f>
        <v>#DIV/0!</v>
      </c>
    </row>
    <row r="9" spans="1:29" s="25" customFormat="1">
      <c r="A9" s="308" t="s">
        <v>2023</v>
      </c>
      <c r="B9" s="24" t="s">
        <v>2024</v>
      </c>
      <c r="C9" s="1513" t="s">
        <v>2249</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40" t="s">
        <v>2025</v>
      </c>
      <c r="Q9" s="1254" t="str">
        <f t="shared" ref="Q9:Q15" si="6">B9</f>
        <v>用途</v>
      </c>
      <c r="R9" s="626" t="s">
        <v>25</v>
      </c>
      <c r="S9" s="627">
        <f t="shared" si="0"/>
        <v>100</v>
      </c>
      <c r="T9" s="626" t="s">
        <v>25</v>
      </c>
      <c r="U9" s="627">
        <f t="shared" si="1"/>
        <v>100</v>
      </c>
      <c r="V9" s="626" t="s">
        <v>25</v>
      </c>
      <c r="W9" s="627">
        <f t="shared" si="2"/>
        <v>100</v>
      </c>
      <c r="X9" s="628"/>
      <c r="Y9" s="3670" t="s">
        <v>2026</v>
      </c>
      <c r="Z9" s="19" t="str">
        <f t="shared" ref="Z9:Z15" si="7">Q9</f>
        <v>用途</v>
      </c>
      <c r="AA9" s="629">
        <f t="shared" si="3"/>
        <v>1</v>
      </c>
      <c r="AB9" s="629">
        <f t="shared" si="4"/>
        <v>1</v>
      </c>
      <c r="AC9" s="629">
        <f t="shared" si="5"/>
        <v>1</v>
      </c>
    </row>
    <row r="10" spans="1:29" s="317" customFormat="1" ht="27">
      <c r="A10" s="312"/>
      <c r="B10" s="313" t="s">
        <v>2027</v>
      </c>
      <c r="C10" s="322"/>
      <c r="D10" s="29">
        <v>100</v>
      </c>
      <c r="E10" s="322"/>
      <c r="F10" s="29">
        <f>ROUND(100/'数据-取费表'!B14,0)</f>
        <v>147</v>
      </c>
      <c r="G10" s="322"/>
      <c r="H10" s="29">
        <f>ROUND(100/'数据-取费表'!B14,0)</f>
        <v>147</v>
      </c>
      <c r="I10" s="322"/>
      <c r="J10" s="29">
        <f>ROUND(100/'数据-取费表'!B14,0)</f>
        <v>147</v>
      </c>
      <c r="K10" s="553"/>
      <c r="L10" s="2947"/>
      <c r="M10" s="2948"/>
      <c r="N10" s="2948"/>
      <c r="O10" s="2949"/>
      <c r="P10" s="3640"/>
      <c r="Q10" s="1254" t="str">
        <f t="shared" si="6"/>
        <v>土地使用年限（年）</v>
      </c>
      <c r="R10" s="626" t="s">
        <v>25</v>
      </c>
      <c r="S10" s="627">
        <f t="shared" si="0"/>
        <v>147</v>
      </c>
      <c r="T10" s="626" t="s">
        <v>25</v>
      </c>
      <c r="U10" s="627">
        <f t="shared" si="1"/>
        <v>147</v>
      </c>
      <c r="V10" s="626" t="s">
        <v>25</v>
      </c>
      <c r="W10" s="627">
        <f t="shared" si="2"/>
        <v>147</v>
      </c>
      <c r="X10" s="628"/>
      <c r="Y10" s="3670"/>
      <c r="Z10" s="19" t="str">
        <f t="shared" si="7"/>
        <v>土地使用年限（年）</v>
      </c>
      <c r="AA10" s="629">
        <f t="shared" si="3"/>
        <v>0.68027210884353739</v>
      </c>
      <c r="AB10" s="629">
        <f t="shared" si="4"/>
        <v>0.68027210884353739</v>
      </c>
      <c r="AC10" s="629">
        <f t="shared" si="5"/>
        <v>0.68027210884353739</v>
      </c>
    </row>
    <row r="11" spans="1:29" ht="15">
      <c r="A11" s="318"/>
      <c r="B11" s="313" t="s">
        <v>2028</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40"/>
      <c r="Q11" s="1254" t="str">
        <f t="shared" si="6"/>
        <v>容积率</v>
      </c>
      <c r="R11" s="626" t="s">
        <v>25</v>
      </c>
      <c r="S11" s="627" t="e">
        <f t="shared" si="0"/>
        <v>#N/A</v>
      </c>
      <c r="T11" s="626" t="s">
        <v>25</v>
      </c>
      <c r="U11" s="627" t="e">
        <f t="shared" si="1"/>
        <v>#N/A</v>
      </c>
      <c r="V11" s="626" t="s">
        <v>25</v>
      </c>
      <c r="W11" s="627" t="e">
        <f t="shared" si="2"/>
        <v>#N/A</v>
      </c>
      <c r="X11" s="628"/>
      <c r="Y11" s="3670"/>
      <c r="Z11" s="19" t="str">
        <f t="shared" si="7"/>
        <v>容积率</v>
      </c>
      <c r="AA11" s="629" t="e">
        <f t="shared" si="3"/>
        <v>#N/A</v>
      </c>
      <c r="AB11" s="629" t="e">
        <f t="shared" si="4"/>
        <v>#N/A</v>
      </c>
      <c r="AC11" s="629"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40"/>
      <c r="Q12" s="1254">
        <f t="shared" si="6"/>
        <v>111</v>
      </c>
      <c r="R12" s="626" t="s">
        <v>25</v>
      </c>
      <c r="S12" s="627">
        <f t="shared" si="0"/>
        <v>100</v>
      </c>
      <c r="T12" s="626" t="s">
        <v>25</v>
      </c>
      <c r="U12" s="627">
        <f t="shared" si="1"/>
        <v>100</v>
      </c>
      <c r="V12" s="626" t="s">
        <v>25</v>
      </c>
      <c r="W12" s="627">
        <f t="shared" si="2"/>
        <v>100</v>
      </c>
      <c r="X12" s="628"/>
      <c r="Y12" s="3670"/>
      <c r="Z12" s="19">
        <f t="shared" si="7"/>
        <v>111</v>
      </c>
      <c r="AA12" s="629">
        <f>D12/F12</f>
        <v>1</v>
      </c>
      <c r="AB12" s="629">
        <f>D12/H12</f>
        <v>1</v>
      </c>
      <c r="AC12" s="629">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40"/>
      <c r="Q13" s="1254">
        <f t="shared" si="6"/>
        <v>111</v>
      </c>
      <c r="R13" s="626" t="s">
        <v>25</v>
      </c>
      <c r="S13" s="627">
        <f t="shared" si="0"/>
        <v>100</v>
      </c>
      <c r="T13" s="626" t="s">
        <v>25</v>
      </c>
      <c r="U13" s="627">
        <f t="shared" si="1"/>
        <v>100</v>
      </c>
      <c r="V13" s="626" t="s">
        <v>25</v>
      </c>
      <c r="W13" s="627">
        <f t="shared" si="2"/>
        <v>100</v>
      </c>
      <c r="X13" s="628"/>
      <c r="Y13" s="3670"/>
      <c r="Z13" s="19">
        <f t="shared" si="7"/>
        <v>111</v>
      </c>
      <c r="AA13" s="629">
        <f t="shared" si="3"/>
        <v>1</v>
      </c>
      <c r="AB13" s="629">
        <f t="shared" si="4"/>
        <v>1</v>
      </c>
      <c r="AC13" s="629">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40"/>
      <c r="Q14" s="1254">
        <f t="shared" si="6"/>
        <v>111</v>
      </c>
      <c r="R14" s="626" t="s">
        <v>25</v>
      </c>
      <c r="S14" s="627">
        <f t="shared" si="0"/>
        <v>100</v>
      </c>
      <c r="T14" s="626" t="s">
        <v>25</v>
      </c>
      <c r="U14" s="627">
        <f t="shared" si="1"/>
        <v>100</v>
      </c>
      <c r="V14" s="626" t="s">
        <v>25</v>
      </c>
      <c r="W14" s="627">
        <f t="shared" si="2"/>
        <v>100</v>
      </c>
      <c r="X14" s="628"/>
      <c r="Y14" s="3670"/>
      <c r="Z14" s="19">
        <f t="shared" si="7"/>
        <v>111</v>
      </c>
      <c r="AA14" s="629">
        <f t="shared" si="3"/>
        <v>1</v>
      </c>
      <c r="AB14" s="629">
        <f t="shared" si="4"/>
        <v>1</v>
      </c>
      <c r="AC14" s="629">
        <f t="shared" si="5"/>
        <v>1</v>
      </c>
    </row>
    <row r="15" spans="1:29" ht="57">
      <c r="A15" s="329" t="s">
        <v>2029</v>
      </c>
      <c r="B15" s="511" t="s">
        <v>2250</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68" t="s">
        <v>2030</v>
      </c>
      <c r="Q15" s="1261" t="str">
        <f t="shared" si="6"/>
        <v>产业集聚程度</v>
      </c>
      <c r="R15" s="630" t="s">
        <v>25</v>
      </c>
      <c r="S15" s="631">
        <f t="shared" si="0"/>
        <v>100</v>
      </c>
      <c r="T15" s="630" t="s">
        <v>25</v>
      </c>
      <c r="U15" s="631">
        <f t="shared" si="1"/>
        <v>100</v>
      </c>
      <c r="V15" s="630" t="s">
        <v>25</v>
      </c>
      <c r="W15" s="631">
        <f t="shared" si="2"/>
        <v>100</v>
      </c>
      <c r="X15" s="1262"/>
      <c r="Y15" s="3668" t="s">
        <v>2030</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69"/>
      <c r="Q16" s="1261"/>
      <c r="R16" s="630"/>
      <c r="S16" s="631"/>
      <c r="T16" s="630"/>
      <c r="U16" s="631"/>
      <c r="V16" s="630"/>
      <c r="W16" s="631"/>
      <c r="X16" s="1262"/>
      <c r="Y16" s="3669"/>
      <c r="Z16" s="1263"/>
      <c r="AA16" s="1264">
        <v>1</v>
      </c>
      <c r="AB16" s="1264">
        <v>1</v>
      </c>
      <c r="AC16" s="1264">
        <v>1</v>
      </c>
    </row>
    <row r="17" spans="1:29" ht="85.5">
      <c r="A17" s="318"/>
      <c r="B17" s="513" t="s">
        <v>2167</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69"/>
      <c r="Q17" s="1261" t="str">
        <f>B17</f>
        <v>交通便捷度</v>
      </c>
      <c r="R17" s="630" t="s">
        <v>25</v>
      </c>
      <c r="S17" s="631">
        <f>F17</f>
        <v>100</v>
      </c>
      <c r="T17" s="630" t="s">
        <v>25</v>
      </c>
      <c r="U17" s="631">
        <f>H17</f>
        <v>100</v>
      </c>
      <c r="V17" s="630" t="s">
        <v>25</v>
      </c>
      <c r="W17" s="631">
        <f>J17</f>
        <v>100</v>
      </c>
      <c r="X17" s="1262"/>
      <c r="Y17" s="3669"/>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69"/>
      <c r="Q18" s="1261"/>
      <c r="R18" s="630"/>
      <c r="S18" s="631"/>
      <c r="T18" s="630"/>
      <c r="U18" s="631"/>
      <c r="V18" s="630"/>
      <c r="W18" s="631"/>
      <c r="X18" s="1262"/>
      <c r="Y18" s="3669"/>
      <c r="Z18" s="1263"/>
      <c r="AA18" s="1264">
        <v>1</v>
      </c>
      <c r="AB18" s="1264">
        <v>1</v>
      </c>
      <c r="AC18" s="1264">
        <v>1</v>
      </c>
    </row>
    <row r="19" spans="1:29" ht="15">
      <c r="A19" s="318"/>
      <c r="B19" s="513" t="s">
        <v>2207</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69"/>
      <c r="Q19" s="1261" t="str">
        <f t="shared" ref="Q19:Q33" si="8">B19</f>
        <v>区域土地利用方向</v>
      </c>
      <c r="R19" s="630" t="s">
        <v>25</v>
      </c>
      <c r="S19" s="631">
        <f>F19</f>
        <v>100</v>
      </c>
      <c r="T19" s="630" t="s">
        <v>25</v>
      </c>
      <c r="U19" s="631">
        <f>H19</f>
        <v>100</v>
      </c>
      <c r="V19" s="630" t="s">
        <v>25</v>
      </c>
      <c r="W19" s="631">
        <f>J19</f>
        <v>100</v>
      </c>
      <c r="X19" s="1262"/>
      <c r="Y19" s="3669"/>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4"/>
      <c r="L20" s="2952"/>
      <c r="M20" s="2943"/>
      <c r="N20" s="2943"/>
      <c r="O20" s="2951"/>
      <c r="P20" s="3669"/>
      <c r="Q20" s="1261"/>
      <c r="R20" s="630"/>
      <c r="S20" s="631"/>
      <c r="T20" s="630"/>
      <c r="U20" s="631"/>
      <c r="V20" s="630"/>
      <c r="W20" s="631"/>
      <c r="X20" s="1262"/>
      <c r="Y20" s="3669"/>
      <c r="Z20" s="1263"/>
      <c r="AA20" s="1264"/>
      <c r="AB20" s="1264"/>
      <c r="AC20" s="1264"/>
    </row>
    <row r="21" spans="1:29" ht="71.25">
      <c r="A21" s="297"/>
      <c r="B21" s="513" t="s">
        <v>2251</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69"/>
      <c r="Q21" s="1261" t="str">
        <f t="shared" si="8"/>
        <v>环境状况</v>
      </c>
      <c r="R21" s="630" t="s">
        <v>25</v>
      </c>
      <c r="S21" s="631">
        <f>F21</f>
        <v>100</v>
      </c>
      <c r="T21" s="630" t="s">
        <v>25</v>
      </c>
      <c r="U21" s="631">
        <f>H21</f>
        <v>100</v>
      </c>
      <c r="V21" s="630" t="s">
        <v>25</v>
      </c>
      <c r="W21" s="631">
        <f>J21</f>
        <v>100</v>
      </c>
      <c r="X21" s="1262"/>
      <c r="Y21" s="3669"/>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69"/>
      <c r="Q22" s="1261"/>
      <c r="R22" s="630"/>
      <c r="S22" s="631"/>
      <c r="T22" s="630"/>
      <c r="U22" s="631"/>
      <c r="V22" s="630"/>
      <c r="W22" s="631"/>
      <c r="X22" s="1262"/>
      <c r="Y22" s="3669"/>
      <c r="Z22" s="1263"/>
      <c r="AA22" s="1264">
        <v>1</v>
      </c>
      <c r="AB22" s="1264">
        <v>1</v>
      </c>
      <c r="AC22" s="1264">
        <v>1</v>
      </c>
    </row>
    <row r="23" spans="1:29" s="25" customFormat="1" ht="42.75">
      <c r="A23" s="531"/>
      <c r="B23" s="513" t="s">
        <v>2116</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69"/>
      <c r="Q23" s="1254" t="str">
        <f t="shared" si="8"/>
        <v>公共配套设施</v>
      </c>
      <c r="R23" s="626" t="s">
        <v>25</v>
      </c>
      <c r="S23" s="627">
        <f>F23</f>
        <v>100</v>
      </c>
      <c r="T23" s="626" t="s">
        <v>25</v>
      </c>
      <c r="U23" s="627">
        <f>H23</f>
        <v>100</v>
      </c>
      <c r="V23" s="626" t="s">
        <v>25</v>
      </c>
      <c r="W23" s="627">
        <f>J23</f>
        <v>100</v>
      </c>
      <c r="X23" s="628"/>
      <c r="Y23" s="3669"/>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69"/>
      <c r="Q24" s="1254"/>
      <c r="R24" s="626"/>
      <c r="S24" s="627"/>
      <c r="T24" s="626"/>
      <c r="U24" s="627"/>
      <c r="V24" s="626"/>
      <c r="W24" s="627"/>
      <c r="X24" s="628"/>
      <c r="Y24" s="3669"/>
      <c r="Z24" s="19"/>
      <c r="AA24" s="629">
        <v>1</v>
      </c>
      <c r="AB24" s="629">
        <v>1</v>
      </c>
      <c r="AC24" s="629">
        <v>1</v>
      </c>
    </row>
    <row r="25" spans="1:29" s="25" customFormat="1" ht="28.5">
      <c r="A25" s="531"/>
      <c r="B25" s="515" t="s">
        <v>2117</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69"/>
      <c r="Q25" s="1254" t="str">
        <f t="shared" ref="Q25" si="9">B25</f>
        <v>基础设施水平</v>
      </c>
      <c r="R25" s="626" t="s">
        <v>25</v>
      </c>
      <c r="S25" s="627">
        <f>F25</f>
        <v>100</v>
      </c>
      <c r="T25" s="626" t="s">
        <v>25</v>
      </c>
      <c r="U25" s="627">
        <f>H25</f>
        <v>100</v>
      </c>
      <c r="V25" s="626" t="s">
        <v>25</v>
      </c>
      <c r="W25" s="627">
        <f>J25</f>
        <v>100</v>
      </c>
      <c r="X25" s="628"/>
      <c r="Y25" s="3669"/>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69"/>
      <c r="Q26" s="1254"/>
      <c r="R26" s="626"/>
      <c r="S26" s="627"/>
      <c r="T26" s="626"/>
      <c r="U26" s="627"/>
      <c r="V26" s="626"/>
      <c r="W26" s="627"/>
      <c r="X26" s="628"/>
      <c r="Y26" s="3669"/>
      <c r="Z26" s="19"/>
      <c r="AA26" s="629">
        <v>1</v>
      </c>
      <c r="AB26" s="629">
        <v>1</v>
      </c>
      <c r="AC26" s="629">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69"/>
      <c r="Q27" s="1261" t="str">
        <f t="shared" si="8"/>
        <v>临街状况</v>
      </c>
      <c r="R27" s="630" t="s">
        <v>25</v>
      </c>
      <c r="S27" s="631">
        <f t="shared" ref="S27:S40" si="10">F27</f>
        <v>100</v>
      </c>
      <c r="T27" s="630" t="s">
        <v>25</v>
      </c>
      <c r="U27" s="631">
        <f t="shared" ref="U27:U40" si="11">H27</f>
        <v>100</v>
      </c>
      <c r="V27" s="630" t="s">
        <v>25</v>
      </c>
      <c r="W27" s="631">
        <f t="shared" ref="W27:W40" si="12">J27</f>
        <v>100</v>
      </c>
      <c r="X27" s="1262"/>
      <c r="Y27" s="3669"/>
      <c r="Z27" s="1263" t="str">
        <f t="shared" ref="Z27:Z40" si="13">Q27</f>
        <v>临街状况</v>
      </c>
      <c r="AA27" s="1264">
        <f t="shared" si="3"/>
        <v>1</v>
      </c>
      <c r="AB27" s="1264">
        <f t="shared" si="4"/>
        <v>1</v>
      </c>
      <c r="AC27" s="1264">
        <f t="shared" si="5"/>
        <v>1</v>
      </c>
    </row>
    <row r="28" spans="1:29" ht="27">
      <c r="A28" s="318"/>
      <c r="B28" s="515" t="s">
        <v>2148</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69"/>
      <c r="Q28" s="1261" t="str">
        <f t="shared" si="8"/>
        <v>毗邻道路的类型与等级</v>
      </c>
      <c r="R28" s="630" t="s">
        <v>25</v>
      </c>
      <c r="S28" s="631">
        <f t="shared" si="10"/>
        <v>100</v>
      </c>
      <c r="T28" s="630" t="s">
        <v>25</v>
      </c>
      <c r="U28" s="631">
        <f t="shared" si="11"/>
        <v>100</v>
      </c>
      <c r="V28" s="630" t="s">
        <v>25</v>
      </c>
      <c r="W28" s="631">
        <f t="shared" si="12"/>
        <v>100</v>
      </c>
      <c r="X28" s="1262"/>
      <c r="Y28" s="3669"/>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69"/>
      <c r="Q29" s="1261"/>
      <c r="R29" s="630"/>
      <c r="S29" s="631"/>
      <c r="T29" s="630"/>
      <c r="U29" s="631"/>
      <c r="V29" s="630"/>
      <c r="W29" s="631"/>
      <c r="X29" s="1262"/>
      <c r="Y29" s="3669"/>
      <c r="Z29" s="1263"/>
      <c r="AA29" s="1264">
        <v>1</v>
      </c>
      <c r="AB29" s="1264">
        <v>1</v>
      </c>
      <c r="AC29" s="1264">
        <v>1</v>
      </c>
    </row>
    <row r="30" spans="1:29" ht="15">
      <c r="A30" s="318"/>
      <c r="B30" s="535" t="s">
        <v>2209</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69"/>
      <c r="Q30" s="1261" t="str">
        <f t="shared" si="8"/>
        <v>土地级别</v>
      </c>
      <c r="R30" s="630" t="s">
        <v>25</v>
      </c>
      <c r="S30" s="631">
        <f t="shared" si="10"/>
        <v>100</v>
      </c>
      <c r="T30" s="630" t="s">
        <v>25</v>
      </c>
      <c r="U30" s="631">
        <f t="shared" si="11"/>
        <v>100</v>
      </c>
      <c r="V30" s="630" t="s">
        <v>25</v>
      </c>
      <c r="W30" s="631">
        <f t="shared" si="12"/>
        <v>100</v>
      </c>
      <c r="X30" s="1262"/>
      <c r="Y30" s="3669"/>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69"/>
      <c r="Q31" s="1261">
        <f t="shared" si="8"/>
        <v>111</v>
      </c>
      <c r="R31" s="630" t="s">
        <v>25</v>
      </c>
      <c r="S31" s="631">
        <f t="shared" si="10"/>
        <v>100</v>
      </c>
      <c r="T31" s="630" t="s">
        <v>25</v>
      </c>
      <c r="U31" s="631">
        <f t="shared" si="11"/>
        <v>100</v>
      </c>
      <c r="V31" s="630" t="s">
        <v>25</v>
      </c>
      <c r="W31" s="631">
        <f t="shared" si="12"/>
        <v>100</v>
      </c>
      <c r="X31" s="1262"/>
      <c r="Y31" s="3669"/>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71" t="s">
        <v>2036</v>
      </c>
      <c r="Q32" s="1261">
        <f t="shared" si="8"/>
        <v>111</v>
      </c>
      <c r="R32" s="630" t="s">
        <v>25</v>
      </c>
      <c r="S32" s="631">
        <f t="shared" si="10"/>
        <v>100</v>
      </c>
      <c r="T32" s="630" t="s">
        <v>25</v>
      </c>
      <c r="U32" s="631">
        <f t="shared" si="11"/>
        <v>100</v>
      </c>
      <c r="V32" s="630" t="s">
        <v>25</v>
      </c>
      <c r="W32" s="631">
        <f t="shared" si="12"/>
        <v>100</v>
      </c>
      <c r="X32" s="1262"/>
      <c r="Y32" s="3672" t="s">
        <v>2036</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72"/>
      <c r="Q33" s="1261">
        <f t="shared" si="8"/>
        <v>111</v>
      </c>
      <c r="R33" s="633" t="s">
        <v>25</v>
      </c>
      <c r="S33" s="634">
        <f t="shared" si="10"/>
        <v>100</v>
      </c>
      <c r="T33" s="633" t="s">
        <v>25</v>
      </c>
      <c r="U33" s="634">
        <f t="shared" si="11"/>
        <v>100</v>
      </c>
      <c r="V33" s="633" t="s">
        <v>25</v>
      </c>
      <c r="W33" s="634">
        <f t="shared" si="12"/>
        <v>100</v>
      </c>
      <c r="X33" s="635"/>
      <c r="Y33" s="3672"/>
      <c r="Z33" s="636">
        <f t="shared" si="13"/>
        <v>111</v>
      </c>
      <c r="AA33" s="1264">
        <f t="shared" si="3"/>
        <v>1</v>
      </c>
      <c r="AB33" s="1264">
        <f t="shared" si="4"/>
        <v>1</v>
      </c>
      <c r="AC33" s="1264">
        <f t="shared" si="5"/>
        <v>1</v>
      </c>
    </row>
    <row r="34" spans="1:29" ht="28.5">
      <c r="A34" s="360" t="s">
        <v>2034</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72"/>
      <c r="Q34" s="1261" t="str">
        <f>B34</f>
        <v>宗地面积</v>
      </c>
      <c r="R34" s="630" t="s">
        <v>25</v>
      </c>
      <c r="S34" s="631" t="e">
        <f t="shared" si="10"/>
        <v>#N/A</v>
      </c>
      <c r="T34" s="630" t="s">
        <v>25</v>
      </c>
      <c r="U34" s="631" t="e">
        <f t="shared" si="11"/>
        <v>#N/A</v>
      </c>
      <c r="V34" s="630" t="s">
        <v>25</v>
      </c>
      <c r="W34" s="631" t="e">
        <f t="shared" si="12"/>
        <v>#N/A</v>
      </c>
      <c r="X34" s="1262"/>
      <c r="Y34" s="3672"/>
      <c r="Z34" s="1263" t="str">
        <f t="shared" si="13"/>
        <v>宗地面积</v>
      </c>
      <c r="AA34" s="1264" t="e">
        <f t="shared" si="3"/>
        <v>#N/A</v>
      </c>
      <c r="AB34" s="1264" t="e">
        <f t="shared" si="4"/>
        <v>#N/A</v>
      </c>
      <c r="AC34" s="1264" t="e">
        <f t="shared" si="5"/>
        <v>#N/A</v>
      </c>
    </row>
    <row r="35" spans="1:29" ht="15">
      <c r="A35" s="360"/>
      <c r="B35" s="313" t="s">
        <v>2211</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72"/>
      <c r="Q35" s="1261" t="str">
        <f t="shared" ref="Q35:Q40" si="14">B35</f>
        <v>宗地形状</v>
      </c>
      <c r="R35" s="630" t="s">
        <v>25</v>
      </c>
      <c r="S35" s="631">
        <f t="shared" si="10"/>
        <v>100</v>
      </c>
      <c r="T35" s="630" t="s">
        <v>25</v>
      </c>
      <c r="U35" s="631">
        <f t="shared" si="11"/>
        <v>100</v>
      </c>
      <c r="V35" s="630" t="s">
        <v>25</v>
      </c>
      <c r="W35" s="631">
        <f t="shared" si="12"/>
        <v>100</v>
      </c>
      <c r="X35" s="1262"/>
      <c r="Y35" s="3672"/>
      <c r="Z35" s="1263" t="str">
        <f t="shared" si="13"/>
        <v>宗地形状</v>
      </c>
      <c r="AA35" s="1264">
        <f t="shared" si="3"/>
        <v>1</v>
      </c>
      <c r="AB35" s="1264">
        <f t="shared" si="4"/>
        <v>1</v>
      </c>
      <c r="AC35" s="1264">
        <f t="shared" si="5"/>
        <v>1</v>
      </c>
    </row>
    <row r="36" spans="1:29" s="25" customFormat="1" ht="15">
      <c r="A36" s="361"/>
      <c r="B36" s="313" t="s">
        <v>2213</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72"/>
      <c r="Q36" s="1261" t="str">
        <f t="shared" si="14"/>
        <v>宗地开发程度</v>
      </c>
      <c r="R36" s="626" t="s">
        <v>25</v>
      </c>
      <c r="S36" s="627">
        <f t="shared" si="10"/>
        <v>100</v>
      </c>
      <c r="T36" s="626" t="s">
        <v>25</v>
      </c>
      <c r="U36" s="627">
        <f t="shared" si="11"/>
        <v>100</v>
      </c>
      <c r="V36" s="626" t="s">
        <v>25</v>
      </c>
      <c r="W36" s="627">
        <f t="shared" si="12"/>
        <v>100</v>
      </c>
      <c r="X36" s="628"/>
      <c r="Y36" s="3672"/>
      <c r="Z36" s="19" t="str">
        <f t="shared" si="13"/>
        <v>宗地开发程度</v>
      </c>
      <c r="AA36" s="629">
        <f t="shared" si="3"/>
        <v>1</v>
      </c>
      <c r="AB36" s="629">
        <f t="shared" si="4"/>
        <v>1</v>
      </c>
      <c r="AC36" s="629">
        <f t="shared" si="5"/>
        <v>1</v>
      </c>
    </row>
    <row r="37" spans="1:29" ht="15">
      <c r="A37" s="360"/>
      <c r="B37" s="313" t="s">
        <v>2214</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72" t="s">
        <v>2036</v>
      </c>
      <c r="Q37" s="1261" t="str">
        <f t="shared" si="14"/>
        <v>工程地质条件</v>
      </c>
      <c r="R37" s="630" t="s">
        <v>25</v>
      </c>
      <c r="S37" s="631">
        <f t="shared" si="10"/>
        <v>100</v>
      </c>
      <c r="T37" s="630" t="s">
        <v>25</v>
      </c>
      <c r="U37" s="631">
        <f t="shared" si="11"/>
        <v>100</v>
      </c>
      <c r="V37" s="630" t="s">
        <v>25</v>
      </c>
      <c r="W37" s="631">
        <f t="shared" si="12"/>
        <v>100</v>
      </c>
      <c r="X37" s="1262"/>
      <c r="Y37" s="3672" t="s">
        <v>2036</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72"/>
      <c r="Q38" s="1261">
        <f t="shared" si="14"/>
        <v>111</v>
      </c>
      <c r="R38" s="630" t="s">
        <v>25</v>
      </c>
      <c r="S38" s="631">
        <f t="shared" si="10"/>
        <v>100</v>
      </c>
      <c r="T38" s="630" t="s">
        <v>25</v>
      </c>
      <c r="U38" s="631">
        <f t="shared" si="11"/>
        <v>100</v>
      </c>
      <c r="V38" s="630" t="s">
        <v>25</v>
      </c>
      <c r="W38" s="631">
        <f t="shared" si="12"/>
        <v>100</v>
      </c>
      <c r="X38" s="1262"/>
      <c r="Y38" s="3672"/>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72"/>
      <c r="Q39" s="1261">
        <f t="shared" si="14"/>
        <v>111</v>
      </c>
      <c r="R39" s="630" t="s">
        <v>25</v>
      </c>
      <c r="S39" s="631">
        <f t="shared" si="10"/>
        <v>100</v>
      </c>
      <c r="T39" s="630" t="s">
        <v>25</v>
      </c>
      <c r="U39" s="631">
        <f t="shared" si="11"/>
        <v>100</v>
      </c>
      <c r="V39" s="630" t="s">
        <v>25</v>
      </c>
      <c r="W39" s="631">
        <f t="shared" si="12"/>
        <v>100</v>
      </c>
      <c r="X39" s="1262"/>
      <c r="Y39" s="3672"/>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72"/>
      <c r="Q40" s="1261">
        <f t="shared" si="14"/>
        <v>111</v>
      </c>
      <c r="R40" s="633" t="s">
        <v>25</v>
      </c>
      <c r="S40" s="634">
        <f t="shared" si="10"/>
        <v>100</v>
      </c>
      <c r="T40" s="633" t="s">
        <v>25</v>
      </c>
      <c r="U40" s="634">
        <f t="shared" si="11"/>
        <v>100</v>
      </c>
      <c r="V40" s="633" t="s">
        <v>25</v>
      </c>
      <c r="W40" s="634">
        <f t="shared" si="12"/>
        <v>100</v>
      </c>
      <c r="X40" s="635"/>
      <c r="Y40" s="3672"/>
      <c r="Z40" s="636">
        <f t="shared" si="13"/>
        <v>111</v>
      </c>
      <c r="AA40" s="1264">
        <f t="shared" si="3"/>
        <v>1</v>
      </c>
      <c r="AB40" s="1264">
        <f t="shared" si="4"/>
        <v>1</v>
      </c>
      <c r="AC40" s="1264">
        <f t="shared" si="5"/>
        <v>1</v>
      </c>
    </row>
    <row r="41" spans="1:29" ht="15">
      <c r="A41" s="367" t="s">
        <v>2178</v>
      </c>
      <c r="B41" s="1518" t="s">
        <v>2252</v>
      </c>
      <c r="C41" s="562" t="s">
        <v>1</v>
      </c>
      <c r="D41" s="369"/>
      <c r="E41" s="370"/>
      <c r="F41" s="371"/>
      <c r="G41" s="372"/>
      <c r="H41" s="373"/>
      <c r="I41" s="370"/>
      <c r="J41" s="373"/>
      <c r="K41" s="639"/>
      <c r="L41" s="2954"/>
      <c r="M41" s="2943"/>
      <c r="N41" s="2943"/>
      <c r="P41" s="3640" t="str">
        <f>A41</f>
        <v>成交单价</v>
      </c>
      <c r="Q41" s="3640"/>
      <c r="R41" s="3664">
        <f>E41</f>
        <v>0</v>
      </c>
      <c r="S41" s="3664"/>
      <c r="T41" s="3664">
        <f>G41</f>
        <v>0</v>
      </c>
      <c r="U41" s="3664"/>
      <c r="V41" s="3664">
        <f>I41</f>
        <v>0</v>
      </c>
      <c r="W41" s="3664"/>
      <c r="X41" s="617"/>
      <c r="Y41" s="637"/>
      <c r="Z41" s="617"/>
      <c r="AA41" s="617"/>
      <c r="AB41" s="617"/>
      <c r="AC41" s="617"/>
    </row>
    <row r="42" spans="1:29" ht="15.75" thickBot="1">
      <c r="A42" s="374" t="s">
        <v>2131</v>
      </c>
      <c r="B42" s="563"/>
      <c r="C42" s="377" t="e">
        <f>R43</f>
        <v>#DIV/0!</v>
      </c>
      <c r="D42" s="1724" t="s">
        <v>2502</v>
      </c>
      <c r="E42" s="377" t="e">
        <f>R42</f>
        <v>#DIV/0!</v>
      </c>
      <c r="F42" s="1726"/>
      <c r="G42" s="376" t="e">
        <f>T42</f>
        <v>#DIV/0!</v>
      </c>
      <c r="H42" s="1726"/>
      <c r="I42" s="377" t="e">
        <f>V42</f>
        <v>#DIV/0!</v>
      </c>
      <c r="J42" s="1726"/>
      <c r="K42" s="2428">
        <f>F42+H42+J42</f>
        <v>0</v>
      </c>
      <c r="L42" s="2954"/>
      <c r="M42" s="2943"/>
      <c r="N42" s="2943"/>
      <c r="P42" s="3640" t="str">
        <f>A42</f>
        <v>比较价值（元/平方米）</v>
      </c>
      <c r="Q42" s="3640"/>
      <c r="R42" s="3681" t="e">
        <f>ROUND(PRODUCT(R41,AA7:AA40),0)</f>
        <v>#DIV/0!</v>
      </c>
      <c r="S42" s="3681"/>
      <c r="T42" s="3681" t="e">
        <f>ROUND(PRODUCT(T41,AB7:AB40),0)</f>
        <v>#DIV/0!</v>
      </c>
      <c r="U42" s="3681"/>
      <c r="V42" s="3681" t="e">
        <f>ROUND(PRODUCT(V41,AC7:AC40),0)</f>
        <v>#DIV/0!</v>
      </c>
      <c r="W42" s="3681"/>
      <c r="X42" s="617"/>
      <c r="Y42" s="617"/>
      <c r="Z42" s="617"/>
      <c r="AA42" s="617"/>
      <c r="AB42" s="617"/>
      <c r="AC42" s="617"/>
    </row>
    <row r="43" spans="1:29" ht="15.75" thickBot="1">
      <c r="A43" s="378" t="s">
        <v>2154</v>
      </c>
      <c r="B43" s="379"/>
      <c r="C43" s="380" t="e">
        <f>R43</f>
        <v>#DIV/0!</v>
      </c>
      <c r="D43" s="380"/>
      <c r="E43" s="380"/>
      <c r="F43" s="380"/>
      <c r="G43" s="380"/>
      <c r="H43" s="380"/>
      <c r="I43" s="380"/>
      <c r="J43" s="380"/>
      <c r="K43" s="640"/>
      <c r="L43" s="2954"/>
      <c r="M43" s="2943"/>
      <c r="N43" s="2943"/>
      <c r="P43" s="3675" t="str">
        <f>A43</f>
        <v>估价对象XX用房的比较价值（楼面单价，元/平方米）</v>
      </c>
      <c r="Q43" s="3676"/>
      <c r="R43" s="3680" t="e">
        <f>ROUND(IF(D42="简单平均",AVERAGE(R42:W42),R42*F42+T42*H42+V42*J42),0)</f>
        <v>#DIV/0!</v>
      </c>
      <c r="S43" s="3680"/>
      <c r="T43" s="3680"/>
      <c r="U43" s="3680"/>
      <c r="V43" s="3680"/>
      <c r="W43" s="3680"/>
      <c r="X43" s="617"/>
      <c r="Y43" s="617"/>
      <c r="Z43" s="617"/>
      <c r="AA43" s="617"/>
      <c r="AB43" s="617"/>
      <c r="AC43" s="617"/>
    </row>
    <row r="44" spans="1:29">
      <c r="G44" s="2957"/>
      <c r="M44" s="2943"/>
      <c r="N44" s="2943"/>
    </row>
    <row r="45" spans="1:29">
      <c r="M45" s="2943"/>
      <c r="N45" s="2943"/>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2216</v>
      </c>
      <c r="B50" s="565" t="s">
        <v>2217</v>
      </c>
      <c r="C50" s="1519" t="s">
        <v>2218</v>
      </c>
      <c r="D50" s="1520" t="s">
        <v>2219</v>
      </c>
      <c r="E50" s="566" t="s">
        <v>2220</v>
      </c>
      <c r="F50" s="567" t="s">
        <v>2221</v>
      </c>
      <c r="G50" s="1263" t="s">
        <v>2253</v>
      </c>
      <c r="H50" s="1263" t="str">
        <f>项目基本情况!G8</f>
        <v>XX</v>
      </c>
      <c r="I50" s="1237" t="s">
        <v>2223</v>
      </c>
      <c r="J50" s="915"/>
      <c r="K50" s="913"/>
    </row>
    <row r="51" spans="1:17" s="572" customFormat="1">
      <c r="A51" s="568" t="s">
        <v>2224</v>
      </c>
      <c r="B51" s="569" t="e">
        <f>C43</f>
        <v>#DIV/0!</v>
      </c>
      <c r="C51" s="570">
        <v>1</v>
      </c>
      <c r="D51" s="570">
        <v>1</v>
      </c>
      <c r="E51" s="574">
        <v>120</v>
      </c>
      <c r="F51" s="571" t="e">
        <f t="shared" ref="F51:F59" si="15">ROUND(B51*E51,0)</f>
        <v>#DIV/0!</v>
      </c>
      <c r="G51" s="753">
        <v>1</v>
      </c>
      <c r="H51" s="753">
        <v>1</v>
      </c>
      <c r="I51" s="388"/>
      <c r="J51" s="381"/>
      <c r="K51" s="382"/>
      <c r="L51" s="382"/>
      <c r="M51" s="296"/>
      <c r="N51" s="296"/>
      <c r="O51" s="296"/>
    </row>
    <row r="52" spans="1:17" s="572" customFormat="1">
      <c r="A52" s="573" t="s">
        <v>2225</v>
      </c>
      <c r="B52" s="94" t="e">
        <f>ROUND($C$43*C52*D52,0)</f>
        <v>#DIV/0!</v>
      </c>
      <c r="C52" s="51">
        <f>IF($C$50="北京市系数",G52,H52)</f>
        <v>0</v>
      </c>
      <c r="D52" s="939">
        <v>0.25</v>
      </c>
      <c r="E52" s="574">
        <v>0</v>
      </c>
      <c r="F52" s="571" t="e">
        <f t="shared" si="15"/>
        <v>#DIV/0!</v>
      </c>
      <c r="G52" s="753">
        <f>SUMIF(修正!$A$57:$A$68,项目基本情况!$F$9,修正!B57:B68)</f>
        <v>0</v>
      </c>
      <c r="H52" s="754"/>
      <c r="I52" s="296"/>
      <c r="J52" s="381"/>
      <c r="K52" s="382"/>
      <c r="L52" s="382"/>
      <c r="M52" s="296"/>
      <c r="N52" s="296"/>
      <c r="O52" s="296"/>
    </row>
    <row r="53" spans="1:17" s="572" customFormat="1">
      <c r="A53" s="573" t="s">
        <v>2226</v>
      </c>
      <c r="B53" s="94" t="e">
        <f t="shared" ref="B53:B59" si="16">ROUND($C$43*C53*D53,0)</f>
        <v>#DIV/0!</v>
      </c>
      <c r="C53" s="51">
        <f t="shared" ref="C53:C59" si="17">IF($C$50="北京市系数",G53,H53)</f>
        <v>0</v>
      </c>
      <c r="D53" s="939">
        <v>0.25</v>
      </c>
      <c r="E53" s="574">
        <v>0</v>
      </c>
      <c r="F53" s="571" t="e">
        <f t="shared" si="15"/>
        <v>#DIV/0!</v>
      </c>
      <c r="G53" s="753">
        <f>SUMIF(修正!$A$57:$A$68,项目基本情况!$F$9,修正!C57:C68)</f>
        <v>0</v>
      </c>
      <c r="H53" s="754"/>
      <c r="I53" s="388"/>
      <c r="J53" s="381"/>
      <c r="K53" s="382"/>
      <c r="L53" s="382"/>
      <c r="M53" s="296"/>
      <c r="N53" s="296"/>
      <c r="O53" s="296"/>
    </row>
    <row r="54" spans="1:17" s="572" customFormat="1">
      <c r="A54" s="573" t="s">
        <v>2227</v>
      </c>
      <c r="B54" s="94" t="e">
        <f t="shared" si="16"/>
        <v>#DIV/0!</v>
      </c>
      <c r="C54" s="51">
        <f t="shared" si="17"/>
        <v>0</v>
      </c>
      <c r="D54" s="939">
        <v>0.25</v>
      </c>
      <c r="E54" s="574">
        <v>0</v>
      </c>
      <c r="F54" s="571" t="e">
        <f t="shared" si="15"/>
        <v>#DIV/0!</v>
      </c>
      <c r="G54" s="753">
        <f>SUMIF(修正!$A$57:$A$68,项目基本情况!$F$9,修正!D57:D68)</f>
        <v>0</v>
      </c>
      <c r="H54" s="754"/>
      <c r="I54" s="296"/>
      <c r="J54" s="381"/>
      <c r="K54" s="382"/>
      <c r="L54" s="382"/>
      <c r="M54" s="296"/>
      <c r="N54" s="296"/>
      <c r="O54" s="296"/>
    </row>
    <row r="55" spans="1:17" s="572" customFormat="1">
      <c r="A55" s="573" t="s">
        <v>2228</v>
      </c>
      <c r="B55" s="94" t="e">
        <f t="shared" si="16"/>
        <v>#DIV/0!</v>
      </c>
      <c r="C55" s="51">
        <f t="shared" si="17"/>
        <v>0</v>
      </c>
      <c r="D55" s="939">
        <v>0.25</v>
      </c>
      <c r="E55" s="574">
        <v>0</v>
      </c>
      <c r="F55" s="571" t="e">
        <f t="shared" si="15"/>
        <v>#DIV/0!</v>
      </c>
      <c r="G55" s="753">
        <f>SUMIF(修正!A52:A63,项目基本情况!F9,修正!E57:E68)</f>
        <v>0</v>
      </c>
      <c r="H55" s="754"/>
      <c r="I55" s="296"/>
      <c r="J55" s="381"/>
      <c r="K55" s="382"/>
      <c r="L55" s="382"/>
      <c r="M55" s="296"/>
      <c r="N55" s="296"/>
      <c r="O55" s="296"/>
    </row>
    <row r="56" spans="1:17" s="572" customFormat="1">
      <c r="A56" s="573" t="s">
        <v>2229</v>
      </c>
      <c r="B56" s="94" t="e">
        <f t="shared" si="16"/>
        <v>#DIV/0!</v>
      </c>
      <c r="C56" s="51">
        <f t="shared" si="17"/>
        <v>0</v>
      </c>
      <c r="D56" s="939">
        <v>0.25</v>
      </c>
      <c r="E56" s="574">
        <v>0</v>
      </c>
      <c r="F56" s="571" t="e">
        <f t="shared" si="15"/>
        <v>#DIV/0!</v>
      </c>
      <c r="G56" s="753">
        <f>SUMIF(修正!A52:A63,项目基本情况!F9,修正!F57:F68)</f>
        <v>0</v>
      </c>
      <c r="H56" s="754"/>
      <c r="I56" s="388"/>
      <c r="J56" s="381"/>
      <c r="K56" s="382"/>
      <c r="L56" s="382"/>
      <c r="M56" s="296"/>
      <c r="N56" s="296"/>
      <c r="O56" s="296"/>
    </row>
    <row r="57" spans="1:17" s="572" customFormat="1">
      <c r="A57" s="573" t="s">
        <v>2230</v>
      </c>
      <c r="B57" s="94" t="e">
        <f t="shared" si="16"/>
        <v>#DIV/0!</v>
      </c>
      <c r="C57" s="51">
        <f t="shared" si="17"/>
        <v>0</v>
      </c>
      <c r="D57" s="939">
        <v>0.25</v>
      </c>
      <c r="E57" s="574">
        <v>0</v>
      </c>
      <c r="F57" s="571" t="e">
        <f t="shared" si="15"/>
        <v>#DIV/0!</v>
      </c>
      <c r="G57" s="753">
        <f>SUMIF(修正!A52:A63,项目基本情况!F9,修正!G57:G68)</f>
        <v>0</v>
      </c>
      <c r="H57" s="754"/>
      <c r="I57" s="296"/>
      <c r="J57" s="381"/>
      <c r="K57" s="382"/>
      <c r="L57" s="382"/>
      <c r="M57" s="296"/>
      <c r="N57" s="296"/>
      <c r="O57" s="296"/>
    </row>
    <row r="58" spans="1:17" s="572" customFormat="1">
      <c r="A58" s="573" t="s">
        <v>2231</v>
      </c>
      <c r="B58" s="94" t="e">
        <f t="shared" si="16"/>
        <v>#DIV/0!</v>
      </c>
      <c r="C58" s="51">
        <f t="shared" si="17"/>
        <v>0</v>
      </c>
      <c r="D58" s="939">
        <v>0.25</v>
      </c>
      <c r="E58" s="574">
        <v>0</v>
      </c>
      <c r="F58" s="571" t="e">
        <f t="shared" si="15"/>
        <v>#DIV/0!</v>
      </c>
      <c r="G58" s="753">
        <f>G57</f>
        <v>0</v>
      </c>
      <c r="H58" s="754"/>
      <c r="I58" s="388"/>
      <c r="J58" s="381"/>
      <c r="K58" s="382"/>
      <c r="L58" s="382"/>
      <c r="M58" s="296"/>
      <c r="N58" s="296"/>
      <c r="O58" s="296"/>
    </row>
    <row r="59" spans="1:17" s="572" customFormat="1">
      <c r="A59" s="573" t="s">
        <v>2232</v>
      </c>
      <c r="B59" s="94" t="e">
        <f t="shared" si="16"/>
        <v>#DIV/0!</v>
      </c>
      <c r="C59" s="51">
        <f t="shared" si="17"/>
        <v>0</v>
      </c>
      <c r="D59" s="939">
        <v>0.25</v>
      </c>
      <c r="E59" s="574">
        <v>0</v>
      </c>
      <c r="F59" s="571" t="e">
        <f t="shared" si="15"/>
        <v>#DIV/0!</v>
      </c>
      <c r="G59" s="753">
        <f>G57</f>
        <v>0</v>
      </c>
      <c r="H59" s="754"/>
      <c r="I59" s="296"/>
      <c r="J59" s="381"/>
      <c r="K59" s="382"/>
      <c r="L59" s="382"/>
      <c r="M59" s="296"/>
      <c r="N59" s="296"/>
      <c r="O59" s="296"/>
    </row>
    <row r="60" spans="1:17" s="572" customFormat="1" ht="15" thickBot="1">
      <c r="A60" s="576" t="s">
        <v>2233</v>
      </c>
      <c r="B60" s="577" t="s">
        <v>39</v>
      </c>
      <c r="C60" s="577" t="s">
        <v>40</v>
      </c>
      <c r="D60" s="577" t="s">
        <v>36</v>
      </c>
      <c r="E60" s="577">
        <f>SUM(E51:E59)</f>
        <v>120</v>
      </c>
      <c r="F60" s="578" t="e">
        <f>SUM(F51:F59)</f>
        <v>#DIV/0!</v>
      </c>
      <c r="G60" s="917"/>
      <c r="H60" s="917"/>
      <c r="I60" s="2966"/>
      <c r="J60" s="381"/>
      <c r="K60" s="382"/>
      <c r="L60" s="382"/>
      <c r="M60" s="296"/>
      <c r="N60" s="296"/>
      <c r="O60" s="296"/>
    </row>
    <row r="61" spans="1:17">
      <c r="A61" s="912"/>
      <c r="B61" s="914"/>
      <c r="C61" s="916"/>
      <c r="D61" s="912"/>
      <c r="E61" s="912"/>
      <c r="F61" s="912"/>
      <c r="G61" s="912"/>
      <c r="H61" s="912"/>
      <c r="I61" s="912"/>
      <c r="J61" s="912"/>
      <c r="K61" s="915"/>
      <c r="L61" s="913"/>
      <c r="M61" s="912"/>
      <c r="N61" s="912"/>
      <c r="O61" s="912"/>
    </row>
    <row r="62" spans="1:17">
      <c r="A62" s="912"/>
      <c r="B62" s="914"/>
      <c r="C62" s="1110" t="str">
        <f>YEAR(C7)&amp;"-"&amp;MONTH(C7)&amp;"-1"</f>
        <v>2022-8-1</v>
      </c>
      <c r="D62" s="1110">
        <f>EDATE(C62,-3)</f>
        <v>44682</v>
      </c>
      <c r="E62" s="1110">
        <f t="shared" ref="E62:O62" si="18">EDATE(D62,-3)</f>
        <v>44593</v>
      </c>
      <c r="F62" s="1110">
        <f t="shared" si="18"/>
        <v>44501</v>
      </c>
      <c r="G62" s="1110">
        <f t="shared" si="18"/>
        <v>44409</v>
      </c>
      <c r="H62" s="1110">
        <f t="shared" si="18"/>
        <v>44317</v>
      </c>
      <c r="I62" s="1110">
        <f t="shared" si="18"/>
        <v>44228</v>
      </c>
      <c r="J62" s="1110">
        <f t="shared" si="18"/>
        <v>44136</v>
      </c>
      <c r="K62" s="1110">
        <f t="shared" si="18"/>
        <v>44044</v>
      </c>
      <c r="L62" s="1110">
        <f t="shared" si="18"/>
        <v>43952</v>
      </c>
      <c r="M62" s="1110">
        <f t="shared" si="18"/>
        <v>43862</v>
      </c>
      <c r="N62" s="1110">
        <f t="shared" si="18"/>
        <v>43770</v>
      </c>
      <c r="O62" s="1110">
        <f t="shared" si="18"/>
        <v>43678</v>
      </c>
    </row>
    <row r="63" spans="1:17" ht="21.75" thickBot="1">
      <c r="A63" s="619" t="s">
        <v>2136</v>
      </c>
      <c r="B63" s="617"/>
      <c r="C63" s="620"/>
      <c r="D63" s="620"/>
      <c r="E63" s="620"/>
      <c r="F63" s="621"/>
      <c r="G63" s="621"/>
      <c r="H63" s="620"/>
      <c r="I63" s="920"/>
      <c r="J63" s="920"/>
      <c r="K63" s="918"/>
      <c r="L63" s="919"/>
      <c r="M63" s="920"/>
      <c r="N63" s="920"/>
      <c r="O63" s="920"/>
      <c r="P63" s="389"/>
      <c r="Q63" s="390"/>
    </row>
    <row r="64" spans="1:17" s="394" customFormat="1" ht="15">
      <c r="A64" s="1522" t="s">
        <v>2234</v>
      </c>
      <c r="B64" s="1054"/>
      <c r="C64" s="1111" t="str">
        <f>YEAR(C62)&amp;"-"&amp;ROUNDUP(MONTH(C62)/3,0)</f>
        <v>2022-3</v>
      </c>
      <c r="D64" s="1111" t="str">
        <f t="shared" ref="D64:O64" si="19">YEAR(D62)&amp;"-"&amp;ROUNDUP(MONTH(D62)/3,0)</f>
        <v>2022-2</v>
      </c>
      <c r="E64" s="1111" t="str">
        <f t="shared" si="19"/>
        <v>2022-1</v>
      </c>
      <c r="F64" s="1111" t="str">
        <f t="shared" si="19"/>
        <v>2021-4</v>
      </c>
      <c r="G64" s="1111" t="str">
        <f t="shared" si="19"/>
        <v>2021-3</v>
      </c>
      <c r="H64" s="1111" t="str">
        <f t="shared" si="19"/>
        <v>2021-2</v>
      </c>
      <c r="I64" s="1111" t="str">
        <f t="shared" si="19"/>
        <v>2021-1</v>
      </c>
      <c r="J64" s="1111" t="str">
        <f t="shared" si="19"/>
        <v>2020-4</v>
      </c>
      <c r="K64" s="1111" t="str">
        <f t="shared" si="19"/>
        <v>2020-3</v>
      </c>
      <c r="L64" s="1111" t="str">
        <f t="shared" si="19"/>
        <v>2020-2</v>
      </c>
      <c r="M64" s="1111" t="str">
        <f t="shared" si="19"/>
        <v>2020-1</v>
      </c>
      <c r="N64" s="1111" t="str">
        <f t="shared" si="19"/>
        <v>2019-4</v>
      </c>
      <c r="O64" s="1111" t="str">
        <f t="shared" si="19"/>
        <v>2019-3</v>
      </c>
      <c r="P64" s="393"/>
    </row>
    <row r="65" spans="1:17" s="25" customFormat="1" ht="33.75" customHeight="1">
      <c r="A65" s="1527" t="s">
        <v>2254</v>
      </c>
      <c r="B65" s="200" t="str">
        <f>"北京市平均增长率"&amp;TEXT(基准地价修正!P24,"0.00%")</f>
        <v>北京市平均增长率1.15%</v>
      </c>
      <c r="C65" s="491">
        <v>100</v>
      </c>
      <c r="D65" s="483"/>
      <c r="E65" s="483"/>
      <c r="F65" s="483"/>
      <c r="G65" s="483"/>
      <c r="H65" s="483"/>
      <c r="I65" s="483"/>
      <c r="J65" s="483"/>
      <c r="K65" s="483"/>
      <c r="L65" s="483"/>
      <c r="M65" s="1109"/>
      <c r="N65" s="483"/>
      <c r="O65" s="1112"/>
      <c r="P65" s="390"/>
    </row>
    <row r="66" spans="1:17" s="25" customFormat="1" ht="15.75" thickBot="1">
      <c r="A66" s="400" t="s">
        <v>2056</v>
      </c>
      <c r="B66" s="401"/>
      <c r="C66" s="402"/>
      <c r="D66" s="403"/>
      <c r="E66" s="403"/>
      <c r="F66" s="403"/>
      <c r="G66" s="403"/>
      <c r="H66" s="403"/>
      <c r="I66" s="403"/>
      <c r="J66" s="403"/>
      <c r="K66" s="403"/>
      <c r="L66" s="403"/>
      <c r="M66" s="404"/>
      <c r="N66" s="403"/>
      <c r="O66" s="1113"/>
      <c r="P66" s="390"/>
      <c r="Q66" s="390"/>
    </row>
    <row r="67" spans="1:17" s="25" customFormat="1" ht="15">
      <c r="A67" s="406" t="s">
        <v>2020</v>
      </c>
      <c r="B67" s="396"/>
      <c r="C67" s="407" t="s">
        <v>2021</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2059</v>
      </c>
      <c r="B69" s="413" t="s">
        <v>2024</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2027</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2028</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2029</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2148</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2209</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2034</v>
      </c>
      <c r="B106" s="413" t="s">
        <v>2243</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1"/>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估价对象为北京市房地产，为XX所有。根据《》[]，估价对象建筑面积为400.8平方米。根据《》[]，估价对象（分摊）出让国有建设用地使用权面积为平方米。估价对象用途为。</v>
      </c>
      <c r="B6" s="1276"/>
      <c r="C6" s="1276"/>
      <c r="D6" s="1276"/>
      <c r="E6" s="1276"/>
      <c r="F6" s="1276"/>
      <c r="G6" s="1276"/>
    </row>
    <row r="7" spans="1:7" ht="18.75">
      <c r="A7" s="1277" t="s">
        <v>1016</v>
      </c>
    </row>
    <row r="8" spans="1:7" ht="18">
      <c r="A8" s="1279" t="str">
        <f>IF(项目基本情况!D4="抵押",IF(项目基本情况!B4=项目基本情况!B5,定义!C51,定义!B51),定义!D51)</f>
        <v>为估价委托人了解估价对象房地产市场价值提供参考依据。</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2022年8月22日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本次估价的“房地产价值”是指在正常市场情况下，在价值时点2022年8月22日，估价对象规划用途为，假定未设立法定优先受偿款下的房地产市场价值。</v>
      </c>
      <c r="B13" s="1276"/>
      <c r="C13" s="1276"/>
      <c r="D13" s="1276"/>
      <c r="E13" s="1276"/>
      <c r="F13" s="1276"/>
      <c r="G13" s="1276"/>
    </row>
    <row r="14" spans="1:7" ht="72">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2255</v>
      </c>
      <c r="B1" s="2025"/>
      <c r="C1" s="2026" t="s">
        <v>2256</v>
      </c>
      <c r="D1" s="2027">
        <f>SUM(D29:D30,D33:D39)</f>
        <v>400.8</v>
      </c>
      <c r="E1" s="2027"/>
      <c r="F1" s="2027"/>
      <c r="G1" s="2027"/>
      <c r="H1" s="2027"/>
      <c r="I1" s="2027"/>
      <c r="J1" s="2027"/>
      <c r="K1" s="2967"/>
      <c r="L1" s="2028" t="s">
        <v>2257</v>
      </c>
      <c r="M1" s="2029">
        <f>SUMPRODUCT((区片价!B5:B9=I2)*(区片价!C3:F3=E2)*(区片价!C5:F9))</f>
        <v>0</v>
      </c>
      <c r="N1" s="2030">
        <f>SUMPRODUCT((因素修正幅度!B5:B9=I2)*(因素修正幅度!C3:F3=E2)*(因素修正幅度!C5:F9))</f>
        <v>0</v>
      </c>
      <c r="O1" s="2967"/>
      <c r="P1" s="2967"/>
      <c r="Q1" s="2967"/>
      <c r="R1" s="2031" t="s">
        <v>2258</v>
      </c>
      <c r="S1" s="2031" t="s">
        <v>2259</v>
      </c>
      <c r="T1" s="2031" t="s">
        <v>2260</v>
      </c>
      <c r="U1" s="2031" t="s">
        <v>2261</v>
      </c>
      <c r="V1" s="2031" t="s">
        <v>2262</v>
      </c>
      <c r="W1" s="2032"/>
      <c r="X1" s="2032"/>
      <c r="Y1" s="2032"/>
      <c r="Z1" s="2032"/>
      <c r="AA1" s="2032"/>
      <c r="AB1" s="2032"/>
      <c r="AC1" s="2032"/>
      <c r="AD1" s="2033"/>
      <c r="AE1" s="2033"/>
      <c r="AF1" s="2033"/>
      <c r="AG1" s="2033"/>
      <c r="AH1" s="2033"/>
      <c r="AI1" s="2033"/>
      <c r="AJ1" s="2034"/>
    </row>
    <row r="2" spans="1:36" ht="24.75">
      <c r="A2" s="1888" t="s">
        <v>2263</v>
      </c>
      <c r="B2" s="1586" t="e">
        <f>C26</f>
        <v>#REF!</v>
      </c>
      <c r="C2" s="2035" t="s">
        <v>2264</v>
      </c>
      <c r="D2" s="1529" t="s">
        <v>2265</v>
      </c>
      <c r="E2" s="2036" t="s">
        <v>2642</v>
      </c>
      <c r="F2" s="1529" t="s">
        <v>2266</v>
      </c>
      <c r="G2" s="2037">
        <f>项目基本情况!F9</f>
        <v>0</v>
      </c>
      <c r="H2" s="1530" t="s">
        <v>2267</v>
      </c>
      <c r="I2" s="2037">
        <f>项目基本情况!F10</f>
        <v>0</v>
      </c>
      <c r="J2" s="2038"/>
      <c r="K2" s="2967"/>
      <c r="L2" s="2039" t="s">
        <v>2268</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2269</v>
      </c>
      <c r="B3" s="1586" t="e">
        <f>ROUND(B2/D1,0)</f>
        <v>#REF!</v>
      </c>
      <c r="C3" s="2035" t="s">
        <v>2270</v>
      </c>
      <c r="D3" s="1529" t="s">
        <v>2271</v>
      </c>
      <c r="E3" s="2036" t="s">
        <v>2644</v>
      </c>
      <c r="F3" s="1531" t="s">
        <v>2272</v>
      </c>
      <c r="G3" s="2043">
        <f>项目基本情况!C15</f>
        <v>0</v>
      </c>
      <c r="H3" s="50" t="s">
        <v>2273</v>
      </c>
      <c r="I3" s="2044"/>
      <c r="J3" s="2038" t="s">
        <v>2274</v>
      </c>
      <c r="K3" s="2967"/>
      <c r="L3" s="2039" t="s">
        <v>2275</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699"/>
      <c r="B4" s="3700"/>
      <c r="C4" s="3700"/>
      <c r="D4" s="3701"/>
      <c r="E4" s="3701"/>
      <c r="F4" s="3701"/>
      <c r="G4" s="3701"/>
      <c r="H4" s="3701"/>
      <c r="I4" s="3701"/>
      <c r="J4" s="3702"/>
      <c r="K4" s="2967"/>
      <c r="L4" s="2039" t="s">
        <v>2276</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2277</v>
      </c>
      <c r="B5" s="1532" t="s">
        <v>2278</v>
      </c>
      <c r="C5" s="2045">
        <f>ROUND(IF(E2="商业",C6*C7+C16,(IF(E2="住宅",C6*C12+C16,C6+C16))),0)</f>
        <v>0</v>
      </c>
      <c r="D5" s="2046">
        <f>ROUND(C6+C16,0)</f>
        <v>0</v>
      </c>
      <c r="E5" s="2046"/>
      <c r="F5" s="2047"/>
      <c r="G5" s="2048"/>
      <c r="H5" s="2048"/>
      <c r="I5" s="2048"/>
      <c r="J5" s="2005"/>
      <c r="K5" s="1594"/>
      <c r="L5" s="2039" t="s">
        <v>2279</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2280</v>
      </c>
      <c r="C6" s="2054">
        <f>SUMIF(L1:L12,G2,M1:M12)</f>
        <v>0</v>
      </c>
      <c r="D6" s="2055" t="s">
        <v>2281</v>
      </c>
      <c r="E6" s="1533"/>
      <c r="F6" s="1533"/>
      <c r="G6" s="2056"/>
      <c r="H6" s="2056"/>
      <c r="I6" s="2056"/>
      <c r="J6" s="2057"/>
      <c r="K6" s="2968"/>
      <c r="L6" s="2039" t="s">
        <v>2282</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703" t="str">
        <f>IF(E2="商业",IF(C8="不临58条商业街","",2),"")</f>
        <v/>
      </c>
      <c r="B7" s="1534" t="s">
        <v>2283</v>
      </c>
      <c r="C7" s="2058" t="e">
        <f>IF(C8="不临58条商业街",1,ROUND(1+(1.6*E8+1.2*E9+0.8*E10+0.4*E11)*C9,4))</f>
        <v>#DIV/0!</v>
      </c>
      <c r="D7" s="2059" t="s">
        <v>2284</v>
      </c>
      <c r="E7" s="2060"/>
      <c r="F7" s="2061"/>
      <c r="G7" s="2061"/>
      <c r="H7" s="2061"/>
      <c r="I7" s="2061"/>
      <c r="J7" s="2062"/>
      <c r="K7" s="2968"/>
      <c r="L7" s="2039" t="s">
        <v>2285</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2286</v>
      </c>
      <c r="X7" s="2064">
        <f>G2</f>
        <v>0</v>
      </c>
      <c r="Y7" s="2064" t="s">
        <v>2287</v>
      </c>
      <c r="Z7" s="2065">
        <f>G3</f>
        <v>0</v>
      </c>
      <c r="AA7" s="2032"/>
      <c r="AB7" s="2032"/>
      <c r="AC7" s="2032"/>
      <c r="AD7" s="2033"/>
      <c r="AE7" s="2033"/>
      <c r="AF7" s="2033"/>
      <c r="AG7" s="2033"/>
      <c r="AH7" s="2033"/>
      <c r="AI7" s="2033"/>
      <c r="AJ7" s="2034"/>
    </row>
    <row r="8" spans="1:36" ht="15">
      <c r="A8" s="3704"/>
      <c r="B8" s="50" t="s">
        <v>2288</v>
      </c>
      <c r="C8" s="2066"/>
      <c r="D8" s="65" t="s">
        <v>89</v>
      </c>
      <c r="E8" s="2067" t="e">
        <f>ROUND(C11/E7,4)</f>
        <v>#DIV/0!</v>
      </c>
      <c r="F8" s="2068" t="s">
        <v>2289</v>
      </c>
      <c r="G8" s="2069"/>
      <c r="H8" s="2069"/>
      <c r="I8" s="2069"/>
      <c r="J8" s="2070"/>
      <c r="K8" s="2967"/>
      <c r="L8" s="2039" t="s">
        <v>2290</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697" t="s">
        <v>2291</v>
      </c>
      <c r="X8" s="3698"/>
      <c r="Y8" s="2071" t="s">
        <v>2292</v>
      </c>
      <c r="Z8" s="2071" t="s">
        <v>2293</v>
      </c>
      <c r="AA8" s="2071" t="s">
        <v>2294</v>
      </c>
      <c r="AB8" s="2071" t="s">
        <v>2295</v>
      </c>
      <c r="AC8" s="2071" t="s">
        <v>2296</v>
      </c>
      <c r="AD8" s="2071" t="s">
        <v>2297</v>
      </c>
      <c r="AE8" s="2071" t="s">
        <v>2298</v>
      </c>
      <c r="AF8" s="2071" t="s">
        <v>2299</v>
      </c>
      <c r="AG8" s="2071" t="s">
        <v>2300</v>
      </c>
      <c r="AH8" s="2071" t="s">
        <v>2301</v>
      </c>
      <c r="AI8" s="2071" t="s">
        <v>2302</v>
      </c>
      <c r="AJ8" s="2071" t="s">
        <v>2303</v>
      </c>
    </row>
    <row r="9" spans="1:36" ht="15">
      <c r="A9" s="3704"/>
      <c r="B9" s="50" t="s">
        <v>2304</v>
      </c>
      <c r="C9" s="2072">
        <f>SUMIF(修正!C71:C138,C8,修正!E71:E138)</f>
        <v>0</v>
      </c>
      <c r="D9" s="50" t="s">
        <v>90</v>
      </c>
      <c r="E9" s="50" t="e">
        <f>ROUND(C11/E7,4)</f>
        <v>#DIV/0!</v>
      </c>
      <c r="F9" s="2068" t="s">
        <v>2305</v>
      </c>
      <c r="G9" s="2069"/>
      <c r="H9" s="2069"/>
      <c r="I9" s="2069"/>
      <c r="J9" s="2070"/>
      <c r="K9" s="2967"/>
      <c r="L9" s="2039" t="s">
        <v>2306</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698" t="s">
        <v>2307</v>
      </c>
      <c r="X9" s="2073" t="s">
        <v>2308</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04"/>
      <c r="B10" s="50" t="s">
        <v>2309</v>
      </c>
      <c r="C10" s="50">
        <f>SUMIF(修正!C71:C138,C8,修正!F71:F138)</f>
        <v>0</v>
      </c>
      <c r="D10" s="50" t="s">
        <v>91</v>
      </c>
      <c r="E10" s="50" t="e">
        <f>ROUND(C11/E7,4)</f>
        <v>#DIV/0!</v>
      </c>
      <c r="F10" s="2068" t="s">
        <v>2310</v>
      </c>
      <c r="G10" s="2069"/>
      <c r="H10" s="2069"/>
      <c r="I10" s="2069"/>
      <c r="J10" s="2070"/>
      <c r="K10" s="2967"/>
      <c r="L10" s="2039" t="s">
        <v>2311</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698"/>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04"/>
      <c r="B11" s="1535" t="s">
        <v>2312</v>
      </c>
      <c r="C11" s="1535">
        <f>C10/4</f>
        <v>0</v>
      </c>
      <c r="D11" s="1535" t="s">
        <v>92</v>
      </c>
      <c r="E11" s="1535" t="e">
        <f>ROUND(C11/E7,4)</f>
        <v>#DIV/0!</v>
      </c>
      <c r="F11" s="2077" t="s">
        <v>2313</v>
      </c>
      <c r="G11" s="2078"/>
      <c r="H11" s="2078"/>
      <c r="I11" s="2078"/>
      <c r="J11" s="2079"/>
      <c r="K11" s="2967"/>
      <c r="L11" s="2039" t="s">
        <v>2314</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698" t="s">
        <v>2315</v>
      </c>
      <c r="X11" s="2080" t="s">
        <v>2316</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703">
        <f>IF(E2="住宅",2,"")</f>
        <v>2</v>
      </c>
      <c r="B12" s="1536" t="s">
        <v>2317</v>
      </c>
      <c r="C12" s="2058">
        <f>ROUND(C15*D15*E15*F15*G15*H15*I15*J15,4)</f>
        <v>1.32</v>
      </c>
      <c r="D12" s="2082" t="s">
        <v>2318</v>
      </c>
      <c r="E12" s="2083"/>
      <c r="F12" s="2083"/>
      <c r="G12" s="2083"/>
      <c r="H12" s="2083"/>
      <c r="I12" s="2083"/>
      <c r="J12" s="2084"/>
      <c r="K12" s="2967"/>
      <c r="L12" s="2085" t="s">
        <v>2319</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698"/>
      <c r="X12" s="2088" t="s">
        <v>2320</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05"/>
      <c r="B13" s="1537" t="s">
        <v>2321</v>
      </c>
      <c r="C13" s="2089" t="s">
        <v>2322</v>
      </c>
      <c r="D13" s="1538" t="s">
        <v>2323</v>
      </c>
      <c r="E13" s="1538" t="s">
        <v>2324</v>
      </c>
      <c r="F13" s="264" t="s">
        <v>2325</v>
      </c>
      <c r="G13" s="2090" t="s">
        <v>2326</v>
      </c>
      <c r="H13" s="2090" t="s">
        <v>2326</v>
      </c>
      <c r="I13" s="2090" t="s">
        <v>2326</v>
      </c>
      <c r="J13" s="2091" t="s">
        <v>2326</v>
      </c>
      <c r="K13" s="2967"/>
      <c r="L13" s="2967"/>
      <c r="M13" s="2967"/>
      <c r="N13" s="2967"/>
      <c r="O13" s="2967"/>
      <c r="P13" s="2967"/>
      <c r="Q13" s="2967"/>
      <c r="R13" s="2031">
        <v>12</v>
      </c>
      <c r="S13" s="2042"/>
      <c r="T13" s="2031">
        <f t="shared" si="1"/>
        <v>0</v>
      </c>
      <c r="U13" s="2042"/>
      <c r="V13" s="2031">
        <f t="shared" si="2"/>
        <v>0</v>
      </c>
      <c r="W13" s="3698"/>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05"/>
      <c r="B14" s="1538"/>
      <c r="C14" s="2092" t="s">
        <v>2327</v>
      </c>
      <c r="D14" s="2093" t="s">
        <v>2328</v>
      </c>
      <c r="E14" s="2093" t="s">
        <v>2328</v>
      </c>
      <c r="F14" s="2094" t="s">
        <v>2329</v>
      </c>
      <c r="G14" s="2095" t="s">
        <v>2330</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06"/>
      <c r="B15" s="1539" t="s">
        <v>2331</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82">
        <f>IF(E2="办公",2,IF(E2="工业",2,IF(E2="住宅",3,IF(E2="商业",IF(C8="不临58条商业街",2,3)))))</f>
        <v>3</v>
      </c>
      <c r="B16" s="1558" t="s">
        <v>2337</v>
      </c>
      <c r="C16" s="1534">
        <f>ROUND(IF(F17="与级别开发程度一致",0,(G17-E17)/C17),0)</f>
        <v>0</v>
      </c>
      <c r="D16" s="3695" t="s">
        <v>2341</v>
      </c>
      <c r="E16" s="3696"/>
      <c r="F16" s="3695" t="s">
        <v>2338</v>
      </c>
      <c r="G16" s="3696"/>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83"/>
      <c r="B17" s="1559" t="s">
        <v>2340</v>
      </c>
      <c r="C17" s="2105">
        <f>SUMPRODUCT((修正!A2:A7=E2)*(修正!B1:M1=G2)*(修正!B2:M7))</f>
        <v>0</v>
      </c>
      <c r="D17" s="2099" t="str">
        <f>IF(OR(G2="八级",G2="九级",G2="十级",G2="十一级",G2="十二级"),"五通一平","七通一平")</f>
        <v>七通一平</v>
      </c>
      <c r="E17" s="2106">
        <f>SUMPRODUCT((修正!B1:M1=G2)*(修正!B17:M17))</f>
        <v>0</v>
      </c>
      <c r="F17" s="2107" t="s">
        <v>2645</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2343</v>
      </c>
      <c r="B18" s="1557" t="s">
        <v>2344</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2345</v>
      </c>
      <c r="B19" s="1540" t="s">
        <v>2346</v>
      </c>
      <c r="C19" s="2116">
        <f>ROUND(IF(H19="按公示增长率计算",SUMPRODUCT((地价!A3:A41=YEAR(G19)&amp;"-"&amp;ROUNDUP(MONTH(G19)/3,0))*(地价!X2:AB2=E2)*(地价!X3:AB41)),IF(H19="地价指数",M20/M19,(1+I19)^O19)),4)</f>
        <v>1.7601</v>
      </c>
      <c r="D19" s="2117" t="s">
        <v>2347</v>
      </c>
      <c r="E19" s="2118">
        <v>41640</v>
      </c>
      <c r="F19" s="2117" t="s">
        <v>2348</v>
      </c>
      <c r="G19" s="2119">
        <f>'数据-取费表'!B2</f>
        <v>44795</v>
      </c>
      <c r="H19" s="2120" t="s">
        <v>2483</v>
      </c>
      <c r="I19" s="2121" t="str">
        <f>IF(H19="季度增幅（自定义）",SUMIF(N21:N24,E2,O21:O24),"")</f>
        <v/>
      </c>
      <c r="J19" s="2122"/>
      <c r="K19" s="2969"/>
      <c r="L19" s="2003" t="s">
        <v>2349</v>
      </c>
      <c r="M19" s="2123">
        <f>ROUND(SUMIF(地价!B2:F2,E2,地价!B41:F41),0)</f>
        <v>423</v>
      </c>
      <c r="N19" s="2124" t="s">
        <v>2350</v>
      </c>
      <c r="O19" s="2125">
        <f>ROUNDDOWN(DATEDIF(E19,G19,"M")/3,0)</f>
        <v>34</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2351</v>
      </c>
      <c r="B20" s="1541" t="s">
        <v>2352</v>
      </c>
      <c r="C20" s="2128">
        <f>ROUND(POWER(1+G20,J20-I20)*(POWER(1+G20,I20)-1)/(POWER(1+G20,J20)-1),4)</f>
        <v>0.60429999999999995</v>
      </c>
      <c r="D20" s="2129" t="s">
        <v>2353</v>
      </c>
      <c r="E20" s="3071">
        <f>存贷款利率!E21/100</f>
        <v>4.3499999999999997E-2</v>
      </c>
      <c r="F20" s="2129" t="s">
        <v>2342</v>
      </c>
      <c r="G20" s="3072">
        <f>SUMIF(M26:P26,E2,M28:P28)</f>
        <v>0.05</v>
      </c>
      <c r="H20" s="2129" t="s">
        <v>2354</v>
      </c>
      <c r="I20" s="2130">
        <f>'数据-取费表'!B13</f>
        <v>18</v>
      </c>
      <c r="J20" s="2131">
        <f>IF(E2="住宅",70,IF(E2="商业",40,50))</f>
        <v>70</v>
      </c>
      <c r="K20" s="2969"/>
      <c r="L20" s="2132" t="s">
        <v>2355</v>
      </c>
      <c r="M20" s="2133">
        <f>ROUND(SUMPRODUCT((地价!A4:A41=YEAR(G19)&amp;"-"&amp;ROUNDUP(MONTH(G19)/3,0))*(地价!B2:F2=E2)*(地价!B4:F41)),0)</f>
        <v>744</v>
      </c>
      <c r="N20" s="2134" t="s">
        <v>2356</v>
      </c>
      <c r="O20" s="2135" t="s">
        <v>2357</v>
      </c>
      <c r="P20" s="2136" t="s">
        <v>2358</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2359</v>
      </c>
      <c r="B21" s="1542" t="s">
        <v>2360</v>
      </c>
      <c r="C21" s="2138">
        <f>IF(B21="容积率修正",IF(G3&lt;=10,D22,J22),C23)</f>
        <v>0</v>
      </c>
      <c r="D21" s="2139"/>
      <c r="E21" s="2139"/>
      <c r="F21" s="2139"/>
      <c r="G21" s="2139"/>
      <c r="H21" s="2139"/>
      <c r="I21" s="2139"/>
      <c r="J21" s="2004"/>
      <c r="K21" s="2969"/>
      <c r="L21" s="2969"/>
      <c r="M21" s="2969"/>
      <c r="N21" s="2140" t="s">
        <v>2361</v>
      </c>
      <c r="O21" s="2141"/>
      <c r="P21" s="2142">
        <f>SUMPRODUCT((地价!A3:A41=YEAR(G19)&amp;"-"&amp;ROUNDUP(MONTH(G19)/3,0))*(地价!AD2:AH2=N21)*(地价!AD3:AH41))</f>
        <v>9.7999999999999997E-3</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2362</v>
      </c>
      <c r="C22" s="1999" t="s">
        <v>2363</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2364</v>
      </c>
      <c r="O22" s="2141"/>
      <c r="P22" s="2142">
        <f>SUMPRODUCT((地价!A3:A41=YEAR(G19)&amp;"-"&amp;ROUNDUP(MONTH(G19)/3,0))*(地价!AD2:AH2=N22)*(地价!AD3:AH41))</f>
        <v>9.7999999999999997E-3</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2365</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2366</v>
      </c>
      <c r="O23" s="2141"/>
      <c r="P23" s="2142">
        <f>SUMPRODUCT((地价!A3:A41=YEAR(G19)&amp;"-"&amp;ROUNDUP(MONTH(G19)/3,0))*(地价!AD2:AH2=N23)*(地价!AD3:AH41))</f>
        <v>1.7299999999999999E-2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2367</v>
      </c>
      <c r="B24" s="1544" t="s">
        <v>2368</v>
      </c>
      <c r="C24" s="2148">
        <f>SUMIF(A46:A88,E2,B46:B88)</f>
        <v>1</v>
      </c>
      <c r="D24" s="2149"/>
      <c r="E24" s="2150"/>
      <c r="F24" s="2150"/>
      <c r="G24" s="2150"/>
      <c r="H24" s="2150"/>
      <c r="I24" s="2150"/>
      <c r="J24" s="2151"/>
      <c r="K24" s="2969"/>
      <c r="L24" s="2969"/>
      <c r="M24" s="2969"/>
      <c r="N24" s="2152" t="s">
        <v>2369</v>
      </c>
      <c r="O24" s="2153"/>
      <c r="P24" s="2154">
        <f>SUMPRODUCT((地价!A3:A41=YEAR(G19)&amp;"-"&amp;ROUNDUP(MONTH(G19)/3,0))*(地价!AD2:AH2=N24)*(地价!AD3:AH41))</f>
        <v>1.15E-2</v>
      </c>
      <c r="Q24" s="2969"/>
      <c r="R24" s="2967"/>
      <c r="S24" s="2967"/>
      <c r="T24" s="2967"/>
      <c r="U24" s="2967"/>
      <c r="V24" s="2967"/>
      <c r="W24" s="2967"/>
      <c r="X24" s="1550"/>
      <c r="Y24" s="1550"/>
      <c r="Z24" s="1550"/>
      <c r="AA24" s="1550"/>
      <c r="AB24" s="1550"/>
      <c r="AC24" s="1550"/>
      <c r="AD24" s="1550"/>
      <c r="AE24" s="2115"/>
      <c r="AF24" s="2115"/>
    </row>
    <row r="25" spans="1:35" ht="15" thickBot="1">
      <c r="A25" s="1645" t="s">
        <v>2370</v>
      </c>
      <c r="B25" s="1545" t="s">
        <v>2371</v>
      </c>
      <c r="C25" s="2155"/>
      <c r="D25" s="2061"/>
      <c r="E25" s="2061"/>
      <c r="F25" s="2156"/>
      <c r="G25" s="2061"/>
      <c r="H25" s="2061"/>
      <c r="I25" s="2061"/>
      <c r="J25" s="2062"/>
      <c r="K25" s="2967"/>
      <c r="L25" s="2967"/>
      <c r="M25" s="2967"/>
      <c r="N25" s="2970" t="s">
        <v>2372</v>
      </c>
      <c r="O25" s="2971"/>
      <c r="P25" s="2972">
        <f>SUMPRODUCT((地价!A3:A41=YEAR(G19)&amp;"-"&amp;ROUNDUP(MONTH(G19)/3,0))*(地价!AD2:AH2=N25)*(地价!AD3:AH41))</f>
        <v>1.5699999999999999E-2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2373</v>
      </c>
      <c r="C26" s="2807" t="e">
        <f>IF(B21="容积率修正",E29+SUM(E33:E39),SUM(V2:V16)+SUM(E33:E39))</f>
        <v>#REF!</v>
      </c>
      <c r="D26" s="2157"/>
      <c r="E26" s="2096"/>
      <c r="F26" s="1405"/>
      <c r="G26" s="2096"/>
      <c r="H26" s="2096"/>
      <c r="I26" s="2096"/>
      <c r="J26" s="2158"/>
      <c r="K26" s="2967"/>
      <c r="L26" s="2973" t="s">
        <v>2332</v>
      </c>
      <c r="M26" s="2059" t="s">
        <v>2333</v>
      </c>
      <c r="N26" s="2059" t="s">
        <v>2334</v>
      </c>
      <c r="O26" s="2059" t="s">
        <v>2335</v>
      </c>
      <c r="P26" s="2974" t="s">
        <v>2336</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2374</v>
      </c>
      <c r="C27" s="2159" t="e">
        <f>E30+SUM(I33:I39)</f>
        <v>#REF!</v>
      </c>
      <c r="D27" s="2108"/>
      <c r="E27" s="2160"/>
      <c r="F27" s="2161"/>
      <c r="G27" s="2160"/>
      <c r="H27" s="2160"/>
      <c r="I27" s="2160"/>
      <c r="J27" s="2162"/>
      <c r="K27" s="2967"/>
      <c r="L27" s="2163" t="s">
        <v>2339</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2375</v>
      </c>
      <c r="C28" s="2166" t="s">
        <v>2376</v>
      </c>
      <c r="D28" s="2166" t="s">
        <v>2377</v>
      </c>
      <c r="E28" s="1545" t="s">
        <v>2378</v>
      </c>
      <c r="F28" s="2167"/>
      <c r="G28" s="2083"/>
      <c r="H28" s="2083"/>
      <c r="I28" s="2083"/>
      <c r="J28" s="2084"/>
      <c r="K28" s="2967"/>
      <c r="L28" s="2168" t="s">
        <v>2342</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2379</v>
      </c>
      <c r="C29" s="54">
        <f>ROUND(C5*C18*C19*C20*C21*C24,0)</f>
        <v>0</v>
      </c>
      <c r="D29" s="2171">
        <f>项目基本情况!C12</f>
        <v>400.8</v>
      </c>
      <c r="E29" s="1958">
        <f>ROUND(C29*D29,0)</f>
        <v>0</v>
      </c>
      <c r="F29" s="2172" t="s">
        <v>2380</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2381</v>
      </c>
      <c r="C30" s="2099">
        <f>ROUND(IF(E2="工业",C29*M39,C29*M38),0)</f>
        <v>0</v>
      </c>
      <c r="D30" s="2176"/>
      <c r="E30" s="1958">
        <f>ROUND(C30*D30,0)</f>
        <v>0</v>
      </c>
      <c r="F30" s="2177" t="s">
        <v>2382</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2383</v>
      </c>
      <c r="C31" s="2181" t="s">
        <v>2384</v>
      </c>
      <c r="D31" s="2083"/>
      <c r="E31" s="2181"/>
      <c r="F31" s="2181"/>
      <c r="G31" s="2082" t="s">
        <v>2385</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2376</v>
      </c>
      <c r="D32" s="1735" t="s">
        <v>2377</v>
      </c>
      <c r="E32" s="1735" t="s">
        <v>2378</v>
      </c>
      <c r="F32" s="50" t="s">
        <v>2386</v>
      </c>
      <c r="G32" s="2144" t="s">
        <v>2376</v>
      </c>
      <c r="H32" s="2144" t="s">
        <v>2377</v>
      </c>
      <c r="I32" s="2144" t="s">
        <v>2378</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692" t="s">
        <v>2387</v>
      </c>
      <c r="B33" s="2184" t="s">
        <v>2388</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693"/>
      <c r="B34" s="2089" t="s">
        <v>2389</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693"/>
      <c r="B35" s="2089" t="s">
        <v>2390</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694"/>
      <c r="B36" s="2089" t="s">
        <v>2391</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2392</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2393</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2394</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2395</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2396</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2336</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2475</v>
      </c>
      <c r="C41" s="50">
        <f>ROUND(POWER(1+E41,H41-G41)*(POWER(1+E41,G41)-1)/(POWER(1+E41,H41)-1),4)</f>
        <v>0</v>
      </c>
      <c r="D41" s="50" t="s">
        <v>2473</v>
      </c>
      <c r="E41" s="2194">
        <f>G20</f>
        <v>0.05</v>
      </c>
      <c r="F41" s="50" t="s">
        <v>2474</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2397</v>
      </c>
      <c r="B45" s="2197"/>
      <c r="C45" s="607"/>
      <c r="D45" s="607"/>
      <c r="E45" s="607"/>
      <c r="F45" s="607"/>
      <c r="G45" s="607"/>
      <c r="H45" s="607"/>
      <c r="I45" s="607"/>
      <c r="J45" s="607"/>
      <c r="K45" s="607"/>
      <c r="L45" s="607"/>
      <c r="M45" s="607"/>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2398</v>
      </c>
      <c r="B46" s="2199">
        <f>1+E48</f>
        <v>1</v>
      </c>
      <c r="C46" s="2200"/>
      <c r="D46" s="2201"/>
      <c r="E46" s="2202"/>
      <c r="F46" s="2203"/>
      <c r="G46" s="607"/>
      <c r="H46" s="607"/>
      <c r="I46" s="607"/>
      <c r="J46" s="607"/>
      <c r="K46" s="607"/>
      <c r="L46" s="607"/>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2399</v>
      </c>
      <c r="B47" s="2206" t="s">
        <v>2400</v>
      </c>
      <c r="C47" s="2206" t="s">
        <v>2401</v>
      </c>
      <c r="D47" s="2206" t="s">
        <v>2402</v>
      </c>
      <c r="E47" s="2207" t="s">
        <v>2403</v>
      </c>
      <c r="F47" s="2157" t="s">
        <v>2404</v>
      </c>
      <c r="G47" s="2206" t="s">
        <v>2405</v>
      </c>
      <c r="H47" s="2208" t="s">
        <v>2406</v>
      </c>
      <c r="I47" s="2206" t="s">
        <v>2407</v>
      </c>
      <c r="J47" s="1833" t="s">
        <v>2408</v>
      </c>
      <c r="K47" s="1833" t="s">
        <v>2409</v>
      </c>
      <c r="L47" s="1833" t="s">
        <v>2410</v>
      </c>
      <c r="M47" s="1833" t="s">
        <v>2411</v>
      </c>
      <c r="N47" s="1833" t="s">
        <v>2412</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2413</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2414</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2415</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2416</v>
      </c>
      <c r="B51" s="2219" t="s">
        <v>2417</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2418</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2419</v>
      </c>
      <c r="B53" s="2220" t="s">
        <v>2420</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2421</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2422</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2423</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2424</v>
      </c>
      <c r="B57" s="2227">
        <f>1+E59</f>
        <v>1</v>
      </c>
      <c r="C57" s="2201"/>
      <c r="D57" s="2201"/>
      <c r="E57" s="2202"/>
      <c r="F57" s="2203"/>
      <c r="G57" s="607"/>
      <c r="H57" s="607"/>
      <c r="I57" s="607"/>
      <c r="J57" s="607"/>
      <c r="K57" s="607"/>
      <c r="L57" s="607"/>
      <c r="M57" s="607"/>
      <c r="N57" s="607"/>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2399</v>
      </c>
      <c r="B58" s="2217"/>
      <c r="C58" s="2206" t="s">
        <v>2401</v>
      </c>
      <c r="D58" s="2206" t="s">
        <v>2402</v>
      </c>
      <c r="E58" s="2207" t="s">
        <v>2403</v>
      </c>
      <c r="F58" s="2157" t="s">
        <v>2404</v>
      </c>
      <c r="G58" s="2206" t="s">
        <v>2425</v>
      </c>
      <c r="H58" s="2208" t="s">
        <v>2426</v>
      </c>
      <c r="I58" s="2206" t="s">
        <v>2427</v>
      </c>
      <c r="J58" s="1833" t="s">
        <v>2068</v>
      </c>
      <c r="K58" s="1833" t="s">
        <v>2069</v>
      </c>
      <c r="L58" s="1833" t="s">
        <v>2070</v>
      </c>
      <c r="M58" s="1833" t="s">
        <v>2071</v>
      </c>
      <c r="N58" s="1833" t="s">
        <v>2072</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2428</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2414</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2415</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2416</v>
      </c>
      <c r="B62" s="2219" t="s">
        <v>2417</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2418</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2419</v>
      </c>
      <c r="B64" s="2220" t="s">
        <v>2420</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2421</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2422</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2423</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2429</v>
      </c>
      <c r="B68" s="2227">
        <f>1+E70</f>
        <v>1</v>
      </c>
      <c r="C68" s="2201"/>
      <c r="D68" s="2201"/>
      <c r="E68" s="2202"/>
      <c r="F68" s="2203"/>
      <c r="G68" s="607"/>
      <c r="H68" s="607"/>
      <c r="I68" s="607"/>
      <c r="J68" s="607"/>
      <c r="K68" s="607"/>
      <c r="L68" s="607"/>
      <c r="M68" s="607"/>
      <c r="N68" s="607"/>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2399</v>
      </c>
      <c r="B69" s="2217"/>
      <c r="C69" s="2206" t="s">
        <v>2401</v>
      </c>
      <c r="D69" s="2206" t="s">
        <v>2402</v>
      </c>
      <c r="E69" s="2207" t="s">
        <v>2403</v>
      </c>
      <c r="F69" s="2157" t="s">
        <v>2404</v>
      </c>
      <c r="G69" s="2206" t="s">
        <v>2425</v>
      </c>
      <c r="H69" s="2208" t="s">
        <v>2426</v>
      </c>
      <c r="I69" s="2206" t="s">
        <v>2427</v>
      </c>
      <c r="J69" s="1833" t="s">
        <v>2068</v>
      </c>
      <c r="K69" s="1833" t="s">
        <v>2069</v>
      </c>
      <c r="L69" s="1833" t="s">
        <v>2070</v>
      </c>
      <c r="M69" s="1833" t="s">
        <v>2071</v>
      </c>
      <c r="N69" s="1833" t="s">
        <v>2072</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2430</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2414</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2415</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2431</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2421</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2422</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2419</v>
      </c>
      <c r="B76" s="2220" t="s">
        <v>2420</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2423</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2432</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2433</v>
      </c>
      <c r="B79" s="2227">
        <f>1+E81</f>
        <v>1</v>
      </c>
      <c r="C79" s="2201"/>
      <c r="D79" s="2201"/>
      <c r="E79" s="2202"/>
      <c r="F79" s="2203"/>
      <c r="G79" s="607"/>
      <c r="H79" s="607"/>
      <c r="I79" s="607"/>
      <c r="J79" s="607"/>
      <c r="K79" s="607"/>
      <c r="L79" s="607"/>
      <c r="M79" s="607"/>
      <c r="N79" s="607"/>
      <c r="Q79" s="2975"/>
      <c r="R79" s="2975"/>
      <c r="S79" s="2975"/>
      <c r="T79" s="2975"/>
      <c r="U79" s="2975"/>
      <c r="V79" s="2975"/>
      <c r="W79" s="2975"/>
      <c r="AA79" s="1551"/>
      <c r="AG79" s="2192"/>
    </row>
    <row r="80" spans="1:33" ht="24.75">
      <c r="A80" s="2205" t="s">
        <v>2399</v>
      </c>
      <c r="B80" s="2217"/>
      <c r="C80" s="2206" t="s">
        <v>2401</v>
      </c>
      <c r="D80" s="2206" t="s">
        <v>2402</v>
      </c>
      <c r="E80" s="2207" t="s">
        <v>2403</v>
      </c>
      <c r="F80" s="2157" t="s">
        <v>2404</v>
      </c>
      <c r="G80" s="2206" t="s">
        <v>2425</v>
      </c>
      <c r="H80" s="2208" t="s">
        <v>2426</v>
      </c>
      <c r="I80" s="2206" t="s">
        <v>2427</v>
      </c>
      <c r="J80" s="1833" t="s">
        <v>2068</v>
      </c>
      <c r="K80" s="1833" t="s">
        <v>2069</v>
      </c>
      <c r="L80" s="1833" t="s">
        <v>2070</v>
      </c>
      <c r="M80" s="1833" t="s">
        <v>2071</v>
      </c>
      <c r="N80" s="1833" t="s">
        <v>2072</v>
      </c>
      <c r="Q80" s="2975"/>
      <c r="R80" s="2975"/>
      <c r="S80" s="2975"/>
      <c r="T80" s="2975"/>
      <c r="U80" s="2975"/>
      <c r="V80" s="2975"/>
      <c r="W80" s="2975"/>
      <c r="AA80" s="1551"/>
      <c r="AG80" s="2192"/>
    </row>
    <row r="81" spans="1:33" ht="38.25">
      <c r="A81" s="2205" t="s">
        <v>2434</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2414</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2415</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2431</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2421</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2422</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2419</v>
      </c>
      <c r="B87" s="2220" t="s">
        <v>2420</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2435</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684" t="s">
        <v>2436</v>
      </c>
      <c r="B90" s="3684"/>
      <c r="C90" s="3684"/>
      <c r="D90" s="3684"/>
      <c r="E90" s="3684"/>
      <c r="F90" s="3684"/>
      <c r="G90" s="3684"/>
      <c r="H90" s="3684"/>
      <c r="I90" s="3684"/>
      <c r="J90" s="3684"/>
      <c r="K90" s="2233"/>
      <c r="L90" s="2233"/>
      <c r="M90" s="2233"/>
      <c r="N90" s="2233"/>
      <c r="Q90" s="2975"/>
      <c r="R90" s="2975"/>
      <c r="S90" s="2975"/>
      <c r="T90" s="2975"/>
      <c r="U90" s="2975"/>
      <c r="V90" s="2975"/>
      <c r="W90" s="2975"/>
    </row>
    <row r="91" spans="1:33">
      <c r="A91" s="3686" t="s">
        <v>2437</v>
      </c>
      <c r="B91" s="3686" t="s">
        <v>2438</v>
      </c>
      <c r="C91" s="2172" t="s">
        <v>2439</v>
      </c>
      <c r="D91" s="2173"/>
      <c r="E91" s="2173"/>
      <c r="F91" s="2173"/>
      <c r="G91" s="2173"/>
      <c r="H91" s="2173"/>
      <c r="I91" s="2173"/>
      <c r="J91" s="2235"/>
      <c r="K91" s="1995"/>
      <c r="L91" s="1995"/>
      <c r="M91" s="1995"/>
      <c r="N91" s="1995"/>
      <c r="Q91" s="2975"/>
      <c r="R91" s="2975"/>
      <c r="S91" s="2975"/>
      <c r="T91" s="2975"/>
      <c r="U91" s="2975"/>
      <c r="V91" s="2975"/>
      <c r="W91" s="2975"/>
    </row>
    <row r="92" spans="1:33">
      <c r="A92" s="3686"/>
      <c r="B92" s="3686"/>
      <c r="C92" s="1958" t="s">
        <v>2292</v>
      </c>
      <c r="D92" s="1958" t="s">
        <v>2293</v>
      </c>
      <c r="E92" s="1958" t="s">
        <v>2294</v>
      </c>
      <c r="F92" s="1958" t="s">
        <v>2295</v>
      </c>
      <c r="G92" s="1958" t="s">
        <v>2296</v>
      </c>
      <c r="H92" s="1958" t="s">
        <v>2297</v>
      </c>
      <c r="I92" s="1958" t="s">
        <v>2298</v>
      </c>
      <c r="J92" s="1958" t="s">
        <v>2299</v>
      </c>
      <c r="K92" s="1958" t="s">
        <v>2300</v>
      </c>
      <c r="L92" s="1958" t="s">
        <v>2301</v>
      </c>
      <c r="M92" s="1958" t="s">
        <v>2302</v>
      </c>
      <c r="N92" s="1958" t="s">
        <v>2303</v>
      </c>
      <c r="Q92" s="2975"/>
      <c r="R92" s="2975"/>
      <c r="S92" s="2975"/>
      <c r="T92" s="2975"/>
      <c r="U92" s="2975"/>
      <c r="V92" s="2975"/>
      <c r="W92" s="2975"/>
    </row>
    <row r="93" spans="1:33">
      <c r="A93" s="3687" t="s">
        <v>2440</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688"/>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688"/>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688"/>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688"/>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688"/>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688"/>
      <c r="B99" s="2236" t="s">
        <v>2308</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689"/>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687" t="s">
        <v>2441</v>
      </c>
      <c r="B101" s="2240" t="s">
        <v>2442</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688"/>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688"/>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688"/>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688"/>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688"/>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688"/>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688"/>
      <c r="B108" s="3690" t="s">
        <v>2443</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689"/>
      <c r="B109" s="3691"/>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685" t="s">
        <v>2444</v>
      </c>
      <c r="B110" s="3685"/>
      <c r="C110" s="3685"/>
      <c r="D110" s="3685"/>
      <c r="E110" s="3685"/>
      <c r="F110" s="3685"/>
      <c r="G110" s="3685"/>
      <c r="H110" s="3685"/>
      <c r="I110" s="3685"/>
      <c r="J110" s="3685"/>
      <c r="K110" s="2007"/>
      <c r="L110" s="2007"/>
      <c r="M110" s="2007"/>
      <c r="N110" s="2007"/>
      <c r="Q110" s="2975"/>
      <c r="R110" s="2975"/>
      <c r="S110" s="2975"/>
      <c r="T110" s="2975"/>
      <c r="U110" s="2975"/>
      <c r="V110" s="2975"/>
      <c r="W110" s="2975"/>
    </row>
    <row r="112" spans="1:23" ht="13.5" thickBot="1"/>
    <row r="113" spans="1:13" ht="25.5" thickBot="1">
      <c r="A113" s="2242" t="s">
        <v>2445</v>
      </c>
      <c r="B113" s="2243">
        <f>G3</f>
        <v>0</v>
      </c>
      <c r="C113" s="2244" t="s">
        <v>2446</v>
      </c>
      <c r="D113" s="2245">
        <f>SUMPRODUCT((A115:A118=F113)*(B114:M114=H113)*B115:M118)</f>
        <v>0</v>
      </c>
      <c r="E113" s="1529" t="s">
        <v>2332</v>
      </c>
      <c r="F113" s="2246" t="str">
        <f>E2</f>
        <v>住宅</v>
      </c>
      <c r="G113" s="1529" t="s">
        <v>2266</v>
      </c>
      <c r="H113" s="2246">
        <f>G2</f>
        <v>0</v>
      </c>
      <c r="I113" s="1529"/>
      <c r="J113" s="2247"/>
      <c r="K113" s="2247"/>
      <c r="L113" s="2247"/>
      <c r="M113" s="2247"/>
    </row>
    <row r="114" spans="1:13">
      <c r="A114" s="2248"/>
      <c r="B114" s="2249" t="s">
        <v>2447</v>
      </c>
      <c r="C114" s="2249" t="s">
        <v>2448</v>
      </c>
      <c r="D114" s="2249" t="s">
        <v>2449</v>
      </c>
      <c r="E114" s="2250" t="s">
        <v>2450</v>
      </c>
      <c r="F114" s="2250" t="s">
        <v>2451</v>
      </c>
      <c r="G114" s="2250" t="s">
        <v>2452</v>
      </c>
      <c r="H114" s="2251" t="s">
        <v>2453</v>
      </c>
      <c r="I114" s="2251" t="s">
        <v>2454</v>
      </c>
      <c r="J114" s="2252" t="s">
        <v>2455</v>
      </c>
      <c r="K114" s="2252" t="s">
        <v>2456</v>
      </c>
      <c r="L114" s="2252" t="s">
        <v>2457</v>
      </c>
      <c r="M114" s="2253" t="s">
        <v>2458</v>
      </c>
    </row>
    <row r="115" spans="1:13">
      <c r="A115" s="2254" t="s">
        <v>2333</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2334</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2335</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2336</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8" customWidth="1"/>
    <col min="2" max="2" width="10.25" style="673" customWidth="1"/>
  </cols>
  <sheetData>
    <row r="1" spans="1:6">
      <c r="A1" s="3707" t="s">
        <v>597</v>
      </c>
      <c r="B1" s="3707"/>
    </row>
    <row r="2" spans="1:6" ht="14.25" thickBot="1">
      <c r="A2" s="798"/>
      <c r="B2" s="798"/>
    </row>
    <row r="3" spans="1:6" ht="14.25" thickBot="1">
      <c r="A3" s="798"/>
      <c r="B3" s="798"/>
      <c r="C3" s="799" t="s">
        <v>598</v>
      </c>
      <c r="D3" s="799" t="s">
        <v>599</v>
      </c>
      <c r="E3" s="799" t="s">
        <v>600</v>
      </c>
      <c r="F3" s="799" t="s">
        <v>601</v>
      </c>
    </row>
    <row r="4" spans="1:6" ht="14.25" thickBot="1">
      <c r="A4" s="800" t="s">
        <v>602</v>
      </c>
      <c r="B4" s="801" t="s">
        <v>603</v>
      </c>
      <c r="C4" s="799"/>
      <c r="D4" s="799"/>
      <c r="E4" s="799"/>
      <c r="F4" s="799"/>
    </row>
    <row r="5" spans="1:6" ht="14.25" thickBot="1">
      <c r="A5" s="714" t="s">
        <v>604</v>
      </c>
      <c r="B5" s="715" t="s">
        <v>605</v>
      </c>
      <c r="C5" s="802">
        <v>8.8999999999999996E-2</v>
      </c>
      <c r="D5" s="802">
        <v>7.3999999999999996E-2</v>
      </c>
      <c r="E5" s="802">
        <v>7.4999999999999997E-2</v>
      </c>
      <c r="F5" s="803">
        <v>0.1</v>
      </c>
    </row>
    <row r="6" spans="1:6" ht="14.25" thickBot="1">
      <c r="A6" s="714" t="s">
        <v>160</v>
      </c>
      <c r="B6" s="708" t="s">
        <v>606</v>
      </c>
      <c r="C6" s="804">
        <v>0.1</v>
      </c>
      <c r="D6" s="804">
        <v>9.0999999999999998E-2</v>
      </c>
      <c r="E6" s="804">
        <v>9.0999999999999998E-2</v>
      </c>
      <c r="F6" s="805">
        <v>0.1</v>
      </c>
    </row>
    <row r="7" spans="1:6" ht="14.25" thickBot="1">
      <c r="A7" s="714" t="s">
        <v>160</v>
      </c>
      <c r="B7" s="722" t="s">
        <v>149</v>
      </c>
      <c r="C7" s="804">
        <v>8.5999999999999993E-2</v>
      </c>
      <c r="D7" s="804">
        <v>9.6000000000000002E-2</v>
      </c>
      <c r="E7" s="804">
        <v>7.5999999999999998E-2</v>
      </c>
      <c r="F7" s="805">
        <v>0.1</v>
      </c>
    </row>
    <row r="8" spans="1:6" ht="14.25" thickBot="1">
      <c r="A8" s="714" t="s">
        <v>160</v>
      </c>
      <c r="B8" s="708" t="s">
        <v>161</v>
      </c>
      <c r="C8" s="804">
        <v>9.9000000000000005E-2</v>
      </c>
      <c r="D8" s="804">
        <v>9.8000000000000004E-2</v>
      </c>
      <c r="E8" s="804">
        <v>9.8000000000000004E-2</v>
      </c>
      <c r="F8" s="805">
        <v>0.1</v>
      </c>
    </row>
    <row r="9" spans="1:6" ht="14.25" thickBot="1">
      <c r="A9" s="731" t="s">
        <v>160</v>
      </c>
      <c r="B9" s="723" t="s">
        <v>173</v>
      </c>
      <c r="C9" s="806">
        <v>0.05</v>
      </c>
      <c r="D9" s="807"/>
      <c r="E9" s="807"/>
      <c r="F9" s="808"/>
    </row>
    <row r="10" spans="1:6" ht="14.25" thickBot="1">
      <c r="A10" s="714" t="s">
        <v>220</v>
      </c>
      <c r="B10" s="715" t="s">
        <v>607</v>
      </c>
      <c r="C10" s="802">
        <v>8.8999999999999996E-2</v>
      </c>
      <c r="D10" s="802">
        <v>7.2999999999999995E-2</v>
      </c>
      <c r="E10" s="802">
        <v>8.2000000000000003E-2</v>
      </c>
      <c r="F10" s="803">
        <v>0.1</v>
      </c>
    </row>
    <row r="11" spans="1:6" ht="14.25" thickBot="1">
      <c r="A11" s="714" t="s">
        <v>220</v>
      </c>
      <c r="B11" s="722" t="s">
        <v>136</v>
      </c>
      <c r="C11" s="804">
        <v>8.8999999999999996E-2</v>
      </c>
      <c r="D11" s="804">
        <v>7.2999999999999995E-2</v>
      </c>
      <c r="E11" s="804">
        <v>8.2000000000000003E-2</v>
      </c>
      <c r="F11" s="805">
        <v>0.1</v>
      </c>
    </row>
    <row r="12" spans="1:6" ht="14.25" thickBot="1">
      <c r="A12" s="714" t="s">
        <v>220</v>
      </c>
      <c r="B12" s="722" t="s">
        <v>88</v>
      </c>
      <c r="C12" s="804">
        <v>6.0999999999999999E-2</v>
      </c>
      <c r="D12" s="804">
        <v>7.0999999999999994E-2</v>
      </c>
      <c r="E12" s="804">
        <v>9.6000000000000002E-2</v>
      </c>
      <c r="F12" s="805">
        <v>0.1</v>
      </c>
    </row>
    <row r="13" spans="1:6" ht="14.25" thickBot="1">
      <c r="A13" s="714" t="s">
        <v>220</v>
      </c>
      <c r="B13" s="722" t="s">
        <v>162</v>
      </c>
      <c r="C13" s="804">
        <v>6.9000000000000006E-2</v>
      </c>
      <c r="D13" s="804">
        <v>6.5000000000000002E-2</v>
      </c>
      <c r="E13" s="804">
        <v>6.6000000000000003E-2</v>
      </c>
      <c r="F13" s="805">
        <v>0.1</v>
      </c>
    </row>
    <row r="14" spans="1:6" ht="14.25" thickBot="1">
      <c r="A14" s="714" t="s">
        <v>220</v>
      </c>
      <c r="B14" s="722" t="s">
        <v>174</v>
      </c>
      <c r="C14" s="804">
        <v>0.1</v>
      </c>
      <c r="D14" s="804">
        <v>6.5000000000000002E-2</v>
      </c>
      <c r="E14" s="804">
        <v>7.0000000000000007E-2</v>
      </c>
      <c r="F14" s="805">
        <v>0.1</v>
      </c>
    </row>
    <row r="15" spans="1:6" ht="14.25" thickBot="1">
      <c r="A15" s="714" t="s">
        <v>220</v>
      </c>
      <c r="B15" s="722" t="s">
        <v>186</v>
      </c>
      <c r="C15" s="804">
        <v>9.8000000000000004E-2</v>
      </c>
      <c r="D15" s="804">
        <v>8.8999999999999996E-2</v>
      </c>
      <c r="E15" s="804">
        <v>8.8999999999999996E-2</v>
      </c>
      <c r="F15" s="805">
        <v>0.1</v>
      </c>
    </row>
    <row r="16" spans="1:6" ht="14.25" thickBot="1">
      <c r="A16" s="714" t="s">
        <v>220</v>
      </c>
      <c r="B16" s="722" t="s">
        <v>198</v>
      </c>
      <c r="C16" s="804">
        <v>7.0000000000000007E-2</v>
      </c>
      <c r="D16" s="804">
        <v>9.2999999999999999E-2</v>
      </c>
      <c r="E16" s="804">
        <v>9.6000000000000002E-2</v>
      </c>
      <c r="F16" s="805">
        <v>0.1</v>
      </c>
    </row>
    <row r="17" spans="1:6" ht="14.25" thickBot="1">
      <c r="A17" s="714" t="s">
        <v>220</v>
      </c>
      <c r="B17" s="722" t="s">
        <v>210</v>
      </c>
      <c r="C17" s="804">
        <v>9.5000000000000001E-2</v>
      </c>
      <c r="D17" s="804">
        <v>0.1</v>
      </c>
      <c r="E17" s="804">
        <v>0.1</v>
      </c>
      <c r="F17" s="809"/>
    </row>
    <row r="18" spans="1:6" ht="14.25" thickBot="1">
      <c r="A18" s="714" t="s">
        <v>220</v>
      </c>
      <c r="B18" s="722" t="s">
        <v>223</v>
      </c>
      <c r="C18" s="804">
        <v>7.3999999999999996E-2</v>
      </c>
      <c r="D18" s="804">
        <v>9.9000000000000005E-2</v>
      </c>
      <c r="E18" s="804">
        <v>0.1</v>
      </c>
      <c r="F18" s="809"/>
    </row>
    <row r="19" spans="1:6" ht="14.25" thickBot="1">
      <c r="A19" s="714" t="s">
        <v>220</v>
      </c>
      <c r="B19" s="722" t="s">
        <v>234</v>
      </c>
      <c r="C19" s="804">
        <v>9.9000000000000005E-2</v>
      </c>
      <c r="D19" s="804">
        <v>7.5999999999999998E-2</v>
      </c>
      <c r="E19" s="804">
        <v>8.6999999999999994E-2</v>
      </c>
      <c r="F19" s="809"/>
    </row>
    <row r="20" spans="1:6" ht="14.25" thickBot="1">
      <c r="A20" s="714" t="s">
        <v>220</v>
      </c>
      <c r="B20" s="722" t="s">
        <v>245</v>
      </c>
      <c r="C20" s="804">
        <v>9.8000000000000004E-2</v>
      </c>
      <c r="D20" s="804">
        <v>8.5000000000000006E-2</v>
      </c>
      <c r="E20" s="804">
        <v>8.2000000000000003E-2</v>
      </c>
      <c r="F20" s="809"/>
    </row>
    <row r="21" spans="1:6" ht="14.25" thickBot="1">
      <c r="A21" s="714" t="s">
        <v>220</v>
      </c>
      <c r="B21" s="722" t="s">
        <v>256</v>
      </c>
      <c r="C21" s="804">
        <v>6.6000000000000003E-2</v>
      </c>
      <c r="D21" s="804">
        <v>6.4000000000000001E-2</v>
      </c>
      <c r="E21" s="804">
        <v>6.5000000000000002E-2</v>
      </c>
      <c r="F21" s="809"/>
    </row>
    <row r="22" spans="1:6" ht="14.25" thickBot="1">
      <c r="A22" s="714" t="s">
        <v>220</v>
      </c>
      <c r="B22" s="722" t="s">
        <v>608</v>
      </c>
      <c r="C22" s="804">
        <v>0.08</v>
      </c>
      <c r="D22" s="804">
        <v>9.8000000000000004E-2</v>
      </c>
      <c r="E22" s="804">
        <v>9.8000000000000004E-2</v>
      </c>
      <c r="F22" s="809"/>
    </row>
    <row r="23" spans="1:6" ht="14.25" thickBot="1">
      <c r="A23" s="714" t="s">
        <v>220</v>
      </c>
      <c r="B23" s="722" t="s">
        <v>278</v>
      </c>
      <c r="C23" s="804">
        <v>9.9000000000000005E-2</v>
      </c>
      <c r="D23" s="804">
        <v>9.8000000000000004E-2</v>
      </c>
      <c r="E23" s="804">
        <v>9.0999999999999998E-2</v>
      </c>
      <c r="F23" s="809"/>
    </row>
    <row r="24" spans="1:6" ht="14.25" thickBot="1">
      <c r="A24" s="714" t="s">
        <v>220</v>
      </c>
      <c r="B24" s="722" t="s">
        <v>289</v>
      </c>
      <c r="C24" s="804">
        <v>8.8999999999999996E-2</v>
      </c>
      <c r="D24" s="804">
        <v>9.7000000000000003E-2</v>
      </c>
      <c r="E24" s="804">
        <v>7.0000000000000007E-2</v>
      </c>
      <c r="F24" s="809"/>
    </row>
    <row r="25" spans="1:6" ht="14.25" thickBot="1">
      <c r="A25" s="714" t="s">
        <v>220</v>
      </c>
      <c r="B25" s="722" t="s">
        <v>299</v>
      </c>
      <c r="C25" s="804">
        <v>8.8999999999999996E-2</v>
      </c>
      <c r="D25" s="804">
        <v>0.1</v>
      </c>
      <c r="E25" s="804">
        <v>8.1000000000000003E-2</v>
      </c>
      <c r="F25" s="809"/>
    </row>
    <row r="26" spans="1:6" ht="14.25" thickBot="1">
      <c r="A26" s="714" t="s">
        <v>220</v>
      </c>
      <c r="B26" s="722" t="s">
        <v>309</v>
      </c>
      <c r="C26" s="810"/>
      <c r="D26" s="804">
        <v>9.6000000000000002E-2</v>
      </c>
      <c r="E26" s="804">
        <v>9.2999999999999999E-2</v>
      </c>
      <c r="F26" s="809"/>
    </row>
    <row r="27" spans="1:6" ht="14.25" thickBot="1">
      <c r="A27" s="714" t="s">
        <v>220</v>
      </c>
      <c r="B27" s="722" t="s">
        <v>319</v>
      </c>
      <c r="C27" s="810"/>
      <c r="D27" s="804">
        <v>7.5999999999999998E-2</v>
      </c>
      <c r="E27" s="804">
        <v>9.1999999999999998E-2</v>
      </c>
      <c r="F27" s="809"/>
    </row>
    <row r="28" spans="1:6" ht="14.25" thickBot="1">
      <c r="A28" s="731" t="s">
        <v>220</v>
      </c>
      <c r="B28" s="723" t="s">
        <v>329</v>
      </c>
      <c r="C28" s="807"/>
      <c r="D28" s="806">
        <v>7.5999999999999998E-2</v>
      </c>
      <c r="E28" s="806">
        <v>9.1999999999999998E-2</v>
      </c>
      <c r="F28" s="808"/>
    </row>
    <row r="29" spans="1:6" ht="14.25" thickBot="1">
      <c r="A29" s="714" t="s">
        <v>398</v>
      </c>
      <c r="B29" s="715" t="s">
        <v>609</v>
      </c>
      <c r="C29" s="802">
        <v>6.4000000000000001E-2</v>
      </c>
      <c r="D29" s="802">
        <v>6.5000000000000002E-2</v>
      </c>
      <c r="E29" s="802">
        <v>6.9000000000000006E-2</v>
      </c>
      <c r="F29" s="803">
        <v>0.1</v>
      </c>
    </row>
    <row r="30" spans="1:6" ht="14.25" thickBot="1">
      <c r="A30" s="714" t="s">
        <v>398</v>
      </c>
      <c r="B30" s="722" t="s">
        <v>137</v>
      </c>
      <c r="C30" s="804">
        <v>6.4000000000000001E-2</v>
      </c>
      <c r="D30" s="804">
        <v>9.9000000000000005E-2</v>
      </c>
      <c r="E30" s="804">
        <v>0.1</v>
      </c>
      <c r="F30" s="805">
        <v>0.1</v>
      </c>
    </row>
    <row r="31" spans="1:6" ht="14.25" thickBot="1">
      <c r="A31" s="714" t="s">
        <v>398</v>
      </c>
      <c r="B31" s="722" t="s">
        <v>150</v>
      </c>
      <c r="C31" s="804">
        <v>0.1</v>
      </c>
      <c r="D31" s="804">
        <v>9.5000000000000001E-2</v>
      </c>
      <c r="E31" s="804">
        <v>8.8999999999999996E-2</v>
      </c>
      <c r="F31" s="805">
        <v>0.1</v>
      </c>
    </row>
    <row r="32" spans="1:6" ht="14.25" thickBot="1">
      <c r="A32" s="714" t="s">
        <v>398</v>
      </c>
      <c r="B32" s="722" t="s">
        <v>163</v>
      </c>
      <c r="C32" s="804">
        <v>0.05</v>
      </c>
      <c r="D32" s="804">
        <v>0.05</v>
      </c>
      <c r="E32" s="804">
        <v>8.7999999999999995E-2</v>
      </c>
      <c r="F32" s="805">
        <v>0.1</v>
      </c>
    </row>
    <row r="33" spans="1:6" ht="14.25" thickBot="1">
      <c r="A33" s="714" t="s">
        <v>398</v>
      </c>
      <c r="B33" s="722" t="s">
        <v>175</v>
      </c>
      <c r="C33" s="804">
        <v>7.4999999999999997E-2</v>
      </c>
      <c r="D33" s="804">
        <v>9.4E-2</v>
      </c>
      <c r="E33" s="804">
        <v>9.7000000000000003E-2</v>
      </c>
      <c r="F33" s="805">
        <v>0.1</v>
      </c>
    </row>
    <row r="34" spans="1:6" ht="14.25" thickBot="1">
      <c r="A34" s="714" t="s">
        <v>398</v>
      </c>
      <c r="B34" s="722" t="s">
        <v>187</v>
      </c>
      <c r="C34" s="804">
        <v>9.8000000000000004E-2</v>
      </c>
      <c r="D34" s="804">
        <v>8.5999999999999993E-2</v>
      </c>
      <c r="E34" s="804">
        <v>9.7000000000000003E-2</v>
      </c>
      <c r="F34" s="805">
        <v>0.1</v>
      </c>
    </row>
    <row r="35" spans="1:6" ht="14.25" thickBot="1">
      <c r="A35" s="714" t="s">
        <v>398</v>
      </c>
      <c r="B35" s="722" t="s">
        <v>199</v>
      </c>
      <c r="C35" s="804">
        <v>5.8999999999999997E-2</v>
      </c>
      <c r="D35" s="804">
        <v>6.5000000000000002E-2</v>
      </c>
      <c r="E35" s="804">
        <v>7.0000000000000007E-2</v>
      </c>
      <c r="F35" s="805">
        <v>0.1</v>
      </c>
    </row>
    <row r="36" spans="1:6" ht="14.25" thickBot="1">
      <c r="A36" s="714" t="s">
        <v>398</v>
      </c>
      <c r="B36" s="722" t="s">
        <v>211</v>
      </c>
      <c r="C36" s="804">
        <v>6.3E-2</v>
      </c>
      <c r="D36" s="804">
        <v>0.1</v>
      </c>
      <c r="E36" s="804">
        <v>0.1</v>
      </c>
      <c r="F36" s="805">
        <v>0.1</v>
      </c>
    </row>
    <row r="37" spans="1:6" ht="14.25" thickBot="1">
      <c r="A37" s="714" t="s">
        <v>398</v>
      </c>
      <c r="B37" s="722" t="s">
        <v>224</v>
      </c>
      <c r="C37" s="804">
        <v>7.3999999999999996E-2</v>
      </c>
      <c r="D37" s="804">
        <v>0.1</v>
      </c>
      <c r="E37" s="804">
        <v>0.1</v>
      </c>
      <c r="F37" s="805">
        <v>0.1</v>
      </c>
    </row>
    <row r="38" spans="1:6" ht="14.25" thickBot="1">
      <c r="A38" s="714" t="s">
        <v>398</v>
      </c>
      <c r="B38" s="722" t="s">
        <v>235</v>
      </c>
      <c r="C38" s="804">
        <v>0.1</v>
      </c>
      <c r="D38" s="804">
        <v>9.6000000000000002E-2</v>
      </c>
      <c r="E38" s="804">
        <v>9.6000000000000002E-2</v>
      </c>
      <c r="F38" s="809"/>
    </row>
    <row r="39" spans="1:6" ht="14.25" thickBot="1">
      <c r="A39" s="714" t="s">
        <v>398</v>
      </c>
      <c r="B39" s="722" t="s">
        <v>246</v>
      </c>
      <c r="C39" s="804">
        <v>0.1</v>
      </c>
      <c r="D39" s="804">
        <v>9.6000000000000002E-2</v>
      </c>
      <c r="E39" s="804">
        <v>9.6000000000000002E-2</v>
      </c>
      <c r="F39" s="809"/>
    </row>
    <row r="40" spans="1:6" ht="14.25" thickBot="1">
      <c r="A40" s="714" t="s">
        <v>398</v>
      </c>
      <c r="B40" s="722" t="s">
        <v>257</v>
      </c>
      <c r="C40" s="804">
        <v>9.6000000000000002E-2</v>
      </c>
      <c r="D40" s="804">
        <v>0.1</v>
      </c>
      <c r="E40" s="804">
        <v>9.9000000000000005E-2</v>
      </c>
      <c r="F40" s="809"/>
    </row>
    <row r="41" spans="1:6" ht="14.25" thickBot="1">
      <c r="A41" s="714" t="s">
        <v>398</v>
      </c>
      <c r="B41" s="722" t="s">
        <v>268</v>
      </c>
      <c r="C41" s="804">
        <v>9.6000000000000002E-2</v>
      </c>
      <c r="D41" s="804">
        <v>9.8000000000000004E-2</v>
      </c>
      <c r="E41" s="804">
        <v>9.8000000000000004E-2</v>
      </c>
      <c r="F41" s="809"/>
    </row>
    <row r="42" spans="1:6" ht="14.25" thickBot="1">
      <c r="A42" s="714" t="s">
        <v>398</v>
      </c>
      <c r="B42" s="722" t="s">
        <v>279</v>
      </c>
      <c r="C42" s="804">
        <v>0.1</v>
      </c>
      <c r="D42" s="804">
        <v>8.7999999999999995E-2</v>
      </c>
      <c r="E42" s="804">
        <v>0.1</v>
      </c>
      <c r="F42" s="809"/>
    </row>
    <row r="43" spans="1:6" ht="14.25" thickBot="1">
      <c r="A43" s="714" t="s">
        <v>398</v>
      </c>
      <c r="B43" s="722" t="s">
        <v>290</v>
      </c>
      <c r="C43" s="804">
        <v>9.8000000000000004E-2</v>
      </c>
      <c r="D43" s="804">
        <v>9.7000000000000003E-2</v>
      </c>
      <c r="E43" s="804">
        <v>9.6000000000000002E-2</v>
      </c>
      <c r="F43" s="809"/>
    </row>
    <row r="44" spans="1:6" ht="14.25" thickBot="1">
      <c r="A44" s="714" t="s">
        <v>398</v>
      </c>
      <c r="B44" s="722" t="s">
        <v>300</v>
      </c>
      <c r="C44" s="804">
        <v>8.5999999999999993E-2</v>
      </c>
      <c r="D44" s="804">
        <v>7.9000000000000001E-2</v>
      </c>
      <c r="E44" s="804">
        <v>7.0999999999999994E-2</v>
      </c>
      <c r="F44" s="809"/>
    </row>
    <row r="45" spans="1:6" ht="14.25" thickBot="1">
      <c r="A45" s="714" t="s">
        <v>398</v>
      </c>
      <c r="B45" s="722" t="s">
        <v>310</v>
      </c>
      <c r="C45" s="804">
        <v>9.8000000000000004E-2</v>
      </c>
      <c r="D45" s="804">
        <v>9.6000000000000002E-2</v>
      </c>
      <c r="E45" s="804">
        <v>9.6000000000000002E-2</v>
      </c>
      <c r="F45" s="809"/>
    </row>
    <row r="46" spans="1:6" ht="14.25" thickBot="1">
      <c r="A46" s="714" t="s">
        <v>398</v>
      </c>
      <c r="B46" s="722" t="s">
        <v>320</v>
      </c>
      <c r="C46" s="804">
        <v>8.5999999999999993E-2</v>
      </c>
      <c r="D46" s="804">
        <v>9.8000000000000004E-2</v>
      </c>
      <c r="E46" s="804">
        <v>8.7999999999999995E-2</v>
      </c>
      <c r="F46" s="809"/>
    </row>
    <row r="47" spans="1:6" ht="14.25" thickBot="1">
      <c r="A47" s="714" t="s">
        <v>398</v>
      </c>
      <c r="B47" s="722" t="s">
        <v>330</v>
      </c>
      <c r="C47" s="804">
        <v>9.6000000000000002E-2</v>
      </c>
      <c r="D47" s="810"/>
      <c r="E47" s="804">
        <v>6.9000000000000006E-2</v>
      </c>
      <c r="F47" s="809"/>
    </row>
    <row r="48" spans="1:6" ht="14.25" thickBot="1">
      <c r="A48" s="731" t="s">
        <v>398</v>
      </c>
      <c r="B48" s="723" t="s">
        <v>339</v>
      </c>
      <c r="C48" s="806">
        <v>9.8000000000000004E-2</v>
      </c>
      <c r="D48" s="807"/>
      <c r="E48" s="806">
        <v>9.5000000000000001E-2</v>
      </c>
      <c r="F48" s="808"/>
    </row>
    <row r="49" spans="1:6" ht="14.25" thickBot="1">
      <c r="A49" s="714" t="s">
        <v>87</v>
      </c>
      <c r="B49" s="715" t="s">
        <v>610</v>
      </c>
      <c r="C49" s="802">
        <v>9.7000000000000003E-2</v>
      </c>
      <c r="D49" s="802">
        <v>9.5000000000000001E-2</v>
      </c>
      <c r="E49" s="802">
        <v>9.7000000000000003E-2</v>
      </c>
      <c r="F49" s="803">
        <v>0.1</v>
      </c>
    </row>
    <row r="50" spans="1:6" ht="14.25" thickBot="1">
      <c r="A50" s="714" t="s">
        <v>87</v>
      </c>
      <c r="B50" s="708" t="s">
        <v>138</v>
      </c>
      <c r="C50" s="804">
        <v>7.4999999999999997E-2</v>
      </c>
      <c r="D50" s="804">
        <v>9.5000000000000001E-2</v>
      </c>
      <c r="E50" s="804">
        <v>0.1</v>
      </c>
      <c r="F50" s="805">
        <v>0.1</v>
      </c>
    </row>
    <row r="51" spans="1:6" ht="14.25" thickBot="1">
      <c r="A51" s="714" t="s">
        <v>87</v>
      </c>
      <c r="B51" s="708" t="s">
        <v>151</v>
      </c>
      <c r="C51" s="804">
        <v>9.8000000000000004E-2</v>
      </c>
      <c r="D51" s="804">
        <v>8.8999999999999996E-2</v>
      </c>
      <c r="E51" s="804">
        <v>0.1</v>
      </c>
      <c r="F51" s="805">
        <v>0.1</v>
      </c>
    </row>
    <row r="52" spans="1:6" ht="14.25" thickBot="1">
      <c r="A52" s="714" t="s">
        <v>87</v>
      </c>
      <c r="B52" s="708" t="s">
        <v>164</v>
      </c>
      <c r="C52" s="804">
        <v>9.8000000000000004E-2</v>
      </c>
      <c r="D52" s="804">
        <v>9.7000000000000003E-2</v>
      </c>
      <c r="E52" s="804">
        <v>8.1000000000000003E-2</v>
      </c>
      <c r="F52" s="805">
        <v>0.1</v>
      </c>
    </row>
    <row r="53" spans="1:6" ht="14.25" thickBot="1">
      <c r="A53" s="714" t="s">
        <v>87</v>
      </c>
      <c r="B53" s="708" t="s">
        <v>176</v>
      </c>
      <c r="C53" s="804">
        <v>9.7000000000000003E-2</v>
      </c>
      <c r="D53" s="804">
        <v>7.5999999999999998E-2</v>
      </c>
      <c r="E53" s="804">
        <v>7.0999999999999994E-2</v>
      </c>
      <c r="F53" s="805">
        <v>0.1</v>
      </c>
    </row>
    <row r="54" spans="1:6" ht="14.25" thickBot="1">
      <c r="A54" s="714" t="s">
        <v>87</v>
      </c>
      <c r="B54" s="708" t="s">
        <v>188</v>
      </c>
      <c r="C54" s="804">
        <v>7.5999999999999998E-2</v>
      </c>
      <c r="D54" s="804">
        <v>0.1</v>
      </c>
      <c r="E54" s="804">
        <v>9.9000000000000005E-2</v>
      </c>
      <c r="F54" s="805">
        <v>0.1</v>
      </c>
    </row>
    <row r="55" spans="1:6" ht="14.25" thickBot="1">
      <c r="A55" s="714" t="s">
        <v>87</v>
      </c>
      <c r="B55" s="708" t="s">
        <v>200</v>
      </c>
      <c r="C55" s="804">
        <v>0.1</v>
      </c>
      <c r="D55" s="804">
        <v>0.1</v>
      </c>
      <c r="E55" s="804">
        <v>9.6000000000000002E-2</v>
      </c>
      <c r="F55" s="805">
        <v>0.1</v>
      </c>
    </row>
    <row r="56" spans="1:6" ht="14.25" thickBot="1">
      <c r="A56" s="714" t="s">
        <v>87</v>
      </c>
      <c r="B56" s="708" t="s">
        <v>212</v>
      </c>
      <c r="C56" s="804">
        <v>0.1</v>
      </c>
      <c r="D56" s="804">
        <v>9.6000000000000002E-2</v>
      </c>
      <c r="E56" s="804">
        <v>5.1999999999999998E-2</v>
      </c>
      <c r="F56" s="805">
        <v>0.1</v>
      </c>
    </row>
    <row r="57" spans="1:6" ht="14.25" thickBot="1">
      <c r="A57" s="714" t="s">
        <v>87</v>
      </c>
      <c r="B57" s="708" t="s">
        <v>225</v>
      </c>
      <c r="C57" s="804">
        <v>9.7000000000000003E-2</v>
      </c>
      <c r="D57" s="804">
        <v>9.6000000000000002E-2</v>
      </c>
      <c r="E57" s="804">
        <v>9.6000000000000002E-2</v>
      </c>
      <c r="F57" s="805">
        <v>0.1</v>
      </c>
    </row>
    <row r="58" spans="1:6" ht="14.25" thickBot="1">
      <c r="A58" s="714" t="s">
        <v>87</v>
      </c>
      <c r="B58" s="708" t="s">
        <v>236</v>
      </c>
      <c r="C58" s="804">
        <v>9.6000000000000002E-2</v>
      </c>
      <c r="D58" s="804">
        <v>9.9000000000000005E-2</v>
      </c>
      <c r="E58" s="804">
        <v>9.6000000000000002E-2</v>
      </c>
      <c r="F58" s="805">
        <v>0.1</v>
      </c>
    </row>
    <row r="59" spans="1:6" ht="14.25" thickBot="1">
      <c r="A59" s="714" t="s">
        <v>87</v>
      </c>
      <c r="B59" s="708" t="s">
        <v>247</v>
      </c>
      <c r="C59" s="804">
        <v>7.1999999999999995E-2</v>
      </c>
      <c r="D59" s="804">
        <v>9.6000000000000002E-2</v>
      </c>
      <c r="E59" s="804">
        <v>7.0999999999999994E-2</v>
      </c>
      <c r="F59" s="805">
        <v>0.1</v>
      </c>
    </row>
    <row r="60" spans="1:6" ht="14.25" thickBot="1">
      <c r="A60" s="714" t="s">
        <v>87</v>
      </c>
      <c r="B60" s="708" t="s">
        <v>258</v>
      </c>
      <c r="C60" s="804">
        <v>9.6000000000000002E-2</v>
      </c>
      <c r="D60" s="804">
        <v>8.8999999999999996E-2</v>
      </c>
      <c r="E60" s="804">
        <v>9.6000000000000002E-2</v>
      </c>
      <c r="F60" s="805">
        <v>0.1</v>
      </c>
    </row>
    <row r="61" spans="1:6" ht="14.25" thickBot="1">
      <c r="A61" s="714" t="s">
        <v>87</v>
      </c>
      <c r="B61" s="708" t="s">
        <v>269</v>
      </c>
      <c r="C61" s="804">
        <v>8.8999999999999996E-2</v>
      </c>
      <c r="D61" s="804">
        <v>9.8000000000000004E-2</v>
      </c>
      <c r="E61" s="804">
        <v>8.7999999999999995E-2</v>
      </c>
      <c r="F61" s="809"/>
    </row>
    <row r="62" spans="1:6" ht="14.25" thickBot="1">
      <c r="A62" s="714" t="s">
        <v>87</v>
      </c>
      <c r="B62" s="708" t="s">
        <v>280</v>
      </c>
      <c r="C62" s="804">
        <v>9.8000000000000004E-2</v>
      </c>
      <c r="D62" s="804">
        <v>9.2999999999999999E-2</v>
      </c>
      <c r="E62" s="804">
        <v>9.7000000000000003E-2</v>
      </c>
      <c r="F62" s="809"/>
    </row>
    <row r="63" spans="1:6" ht="14.25" thickBot="1">
      <c r="A63" s="714" t="s">
        <v>87</v>
      </c>
      <c r="B63" s="708" t="s">
        <v>291</v>
      </c>
      <c r="C63" s="804">
        <v>9.6000000000000002E-2</v>
      </c>
      <c r="D63" s="804">
        <v>9.8000000000000004E-2</v>
      </c>
      <c r="E63" s="804">
        <v>0.09</v>
      </c>
      <c r="F63" s="809"/>
    </row>
    <row r="64" spans="1:6" ht="14.25" thickBot="1">
      <c r="A64" s="714" t="s">
        <v>87</v>
      </c>
      <c r="B64" s="708" t="s">
        <v>301</v>
      </c>
      <c r="C64" s="804">
        <v>9.9000000000000005E-2</v>
      </c>
      <c r="D64" s="804">
        <v>9.7000000000000003E-2</v>
      </c>
      <c r="E64" s="804">
        <v>9.9000000000000005E-2</v>
      </c>
      <c r="F64" s="809"/>
    </row>
    <row r="65" spans="1:6" ht="14.25" thickBot="1">
      <c r="A65" s="714" t="s">
        <v>87</v>
      </c>
      <c r="B65" s="708" t="s">
        <v>311</v>
      </c>
      <c r="C65" s="804">
        <v>9.8000000000000004E-2</v>
      </c>
      <c r="D65" s="804">
        <v>9.6000000000000002E-2</v>
      </c>
      <c r="E65" s="804">
        <v>9.6000000000000002E-2</v>
      </c>
      <c r="F65" s="809"/>
    </row>
    <row r="66" spans="1:6" ht="14.25" thickBot="1">
      <c r="A66" s="714" t="s">
        <v>87</v>
      </c>
      <c r="B66" s="708" t="s">
        <v>321</v>
      </c>
      <c r="C66" s="804">
        <v>9.6000000000000002E-2</v>
      </c>
      <c r="D66" s="804">
        <v>9.1999999999999998E-2</v>
      </c>
      <c r="E66" s="804">
        <v>9.6000000000000002E-2</v>
      </c>
      <c r="F66" s="809"/>
    </row>
    <row r="67" spans="1:6" ht="14.25" thickBot="1">
      <c r="A67" s="714" t="s">
        <v>87</v>
      </c>
      <c r="B67" s="708" t="s">
        <v>331</v>
      </c>
      <c r="C67" s="804">
        <v>9.4E-2</v>
      </c>
      <c r="D67" s="804">
        <v>0.1</v>
      </c>
      <c r="E67" s="804">
        <v>8.7999999999999995E-2</v>
      </c>
      <c r="F67" s="809"/>
    </row>
    <row r="68" spans="1:6" ht="14.25" thickBot="1">
      <c r="A68" s="714" t="s">
        <v>87</v>
      </c>
      <c r="B68" s="708" t="s">
        <v>340</v>
      </c>
      <c r="C68" s="804">
        <v>0.1</v>
      </c>
      <c r="D68" s="804">
        <v>8.7999999999999995E-2</v>
      </c>
      <c r="E68" s="804">
        <v>9.7000000000000003E-2</v>
      </c>
      <c r="F68" s="809"/>
    </row>
    <row r="69" spans="1:6" ht="14.25" thickBot="1">
      <c r="A69" s="714" t="s">
        <v>87</v>
      </c>
      <c r="B69" s="708" t="s">
        <v>349</v>
      </c>
      <c r="C69" s="804">
        <v>6.4000000000000001E-2</v>
      </c>
      <c r="D69" s="804">
        <v>0.1</v>
      </c>
      <c r="E69" s="804">
        <v>0.1</v>
      </c>
      <c r="F69" s="809"/>
    </row>
    <row r="70" spans="1:6" ht="14.25" thickBot="1">
      <c r="A70" s="714" t="s">
        <v>87</v>
      </c>
      <c r="B70" s="708" t="s">
        <v>357</v>
      </c>
      <c r="C70" s="804">
        <v>9.0999999999999998E-2</v>
      </c>
      <c r="D70" s="810"/>
      <c r="E70" s="810"/>
      <c r="F70" s="809"/>
    </row>
    <row r="71" spans="1:6" ht="14.25" thickBot="1">
      <c r="A71" s="714" t="s">
        <v>87</v>
      </c>
      <c r="B71" s="708" t="s">
        <v>364</v>
      </c>
      <c r="C71" s="804">
        <v>0.1</v>
      </c>
      <c r="D71" s="810"/>
      <c r="E71" s="810"/>
      <c r="F71" s="809"/>
    </row>
    <row r="72" spans="1:6" ht="14.25" thickBot="1">
      <c r="A72" s="714" t="s">
        <v>87</v>
      </c>
      <c r="B72" s="708" t="s">
        <v>611</v>
      </c>
      <c r="C72" s="810"/>
      <c r="D72" s="810"/>
      <c r="E72" s="810"/>
      <c r="F72" s="805">
        <v>0.05</v>
      </c>
    </row>
    <row r="73" spans="1:6" ht="14.25" thickBot="1">
      <c r="A73" s="714" t="s">
        <v>87</v>
      </c>
      <c r="B73" s="708" t="s">
        <v>612</v>
      </c>
      <c r="C73" s="810"/>
      <c r="D73" s="810"/>
      <c r="E73" s="810"/>
      <c r="F73" s="805">
        <v>0.05</v>
      </c>
    </row>
    <row r="74" spans="1:6" ht="14.25" thickBot="1">
      <c r="A74" s="714" t="s">
        <v>87</v>
      </c>
      <c r="B74" s="708" t="s">
        <v>613</v>
      </c>
      <c r="C74" s="810"/>
      <c r="D74" s="810"/>
      <c r="E74" s="810"/>
      <c r="F74" s="805">
        <v>0.05</v>
      </c>
    </row>
    <row r="75" spans="1:6" ht="14.25" thickBot="1">
      <c r="A75" s="731" t="s">
        <v>87</v>
      </c>
      <c r="B75" s="724" t="s">
        <v>614</v>
      </c>
      <c r="C75" s="807"/>
      <c r="D75" s="807"/>
      <c r="E75" s="807"/>
      <c r="F75" s="811">
        <v>0.05</v>
      </c>
    </row>
    <row r="76" spans="1:6" ht="14.25" thickBot="1">
      <c r="A76" s="714" t="s">
        <v>479</v>
      </c>
      <c r="B76" s="715" t="s">
        <v>615</v>
      </c>
      <c r="C76" s="802">
        <v>0.1</v>
      </c>
      <c r="D76" s="802">
        <v>0.1</v>
      </c>
      <c r="E76" s="802">
        <v>0.1</v>
      </c>
      <c r="F76" s="803">
        <v>0.1</v>
      </c>
    </row>
    <row r="77" spans="1:6" ht="14.25" thickBot="1">
      <c r="A77" s="714" t="s">
        <v>479</v>
      </c>
      <c r="B77" s="708" t="s">
        <v>139</v>
      </c>
      <c r="C77" s="804">
        <v>8.7999999999999995E-2</v>
      </c>
      <c r="D77" s="804">
        <v>8.6999999999999994E-2</v>
      </c>
      <c r="E77" s="804">
        <v>7.9000000000000001E-2</v>
      </c>
      <c r="F77" s="805">
        <v>0.1</v>
      </c>
    </row>
    <row r="78" spans="1:6" ht="14.25" thickBot="1">
      <c r="A78" s="714" t="s">
        <v>479</v>
      </c>
      <c r="B78" s="708" t="s">
        <v>152</v>
      </c>
      <c r="C78" s="804">
        <v>8.6999999999999994E-2</v>
      </c>
      <c r="D78" s="804">
        <v>8.4000000000000005E-2</v>
      </c>
      <c r="E78" s="804">
        <v>9.6000000000000002E-2</v>
      </c>
      <c r="F78" s="805">
        <v>0.1</v>
      </c>
    </row>
    <row r="79" spans="1:6" ht="14.25" thickBot="1">
      <c r="A79" s="714" t="s">
        <v>479</v>
      </c>
      <c r="B79" s="708" t="s">
        <v>165</v>
      </c>
      <c r="C79" s="804">
        <v>9.8000000000000004E-2</v>
      </c>
      <c r="D79" s="804">
        <v>9.8000000000000004E-2</v>
      </c>
      <c r="E79" s="804">
        <v>9.0999999999999998E-2</v>
      </c>
      <c r="F79" s="805">
        <v>0.1</v>
      </c>
    </row>
    <row r="80" spans="1:6" ht="14.25" thickBot="1">
      <c r="A80" s="714" t="s">
        <v>479</v>
      </c>
      <c r="B80" s="708" t="s">
        <v>177</v>
      </c>
      <c r="C80" s="804">
        <v>9.6000000000000002E-2</v>
      </c>
      <c r="D80" s="804">
        <v>9.6000000000000002E-2</v>
      </c>
      <c r="E80" s="804">
        <v>0.1</v>
      </c>
      <c r="F80" s="805">
        <v>0.1</v>
      </c>
    </row>
    <row r="81" spans="1:6" ht="14.25" thickBot="1">
      <c r="A81" s="714" t="s">
        <v>479</v>
      </c>
      <c r="B81" s="708" t="s">
        <v>189</v>
      </c>
      <c r="C81" s="804">
        <v>9.9000000000000005E-2</v>
      </c>
      <c r="D81" s="804">
        <v>9.9000000000000005E-2</v>
      </c>
      <c r="E81" s="804">
        <v>9.8000000000000004E-2</v>
      </c>
      <c r="F81" s="805">
        <v>0.1</v>
      </c>
    </row>
    <row r="82" spans="1:6" ht="14.25" thickBot="1">
      <c r="A82" s="714" t="s">
        <v>479</v>
      </c>
      <c r="B82" s="708" t="s">
        <v>201</v>
      </c>
      <c r="C82" s="804">
        <v>9.9000000000000005E-2</v>
      </c>
      <c r="D82" s="804">
        <v>9.9000000000000005E-2</v>
      </c>
      <c r="E82" s="804">
        <v>9.7000000000000003E-2</v>
      </c>
      <c r="F82" s="805">
        <v>0.1</v>
      </c>
    </row>
    <row r="83" spans="1:6" ht="14.25" thickBot="1">
      <c r="A83" s="714" t="s">
        <v>479</v>
      </c>
      <c r="B83" s="708" t="s">
        <v>213</v>
      </c>
      <c r="C83" s="804">
        <v>9.8000000000000004E-2</v>
      </c>
      <c r="D83" s="804">
        <v>9.8000000000000004E-2</v>
      </c>
      <c r="E83" s="804">
        <v>9.8000000000000004E-2</v>
      </c>
      <c r="F83" s="805">
        <v>0.1</v>
      </c>
    </row>
    <row r="84" spans="1:6" ht="14.25" thickBot="1">
      <c r="A84" s="714" t="s">
        <v>479</v>
      </c>
      <c r="B84" s="708" t="s">
        <v>226</v>
      </c>
      <c r="C84" s="804">
        <v>9.9000000000000005E-2</v>
      </c>
      <c r="D84" s="804">
        <v>9.9000000000000005E-2</v>
      </c>
      <c r="E84" s="804">
        <v>9.9000000000000005E-2</v>
      </c>
      <c r="F84" s="805">
        <v>0.1</v>
      </c>
    </row>
    <row r="85" spans="1:6" ht="14.25" thickBot="1">
      <c r="A85" s="714" t="s">
        <v>479</v>
      </c>
      <c r="B85" s="708" t="s">
        <v>237</v>
      </c>
      <c r="C85" s="804">
        <v>9.9000000000000005E-2</v>
      </c>
      <c r="D85" s="804">
        <v>9.9000000000000005E-2</v>
      </c>
      <c r="E85" s="804">
        <v>9.9000000000000005E-2</v>
      </c>
      <c r="F85" s="805">
        <v>0.1</v>
      </c>
    </row>
    <row r="86" spans="1:6" ht="14.25" thickBot="1">
      <c r="A86" s="714" t="s">
        <v>479</v>
      </c>
      <c r="B86" s="708" t="s">
        <v>248</v>
      </c>
      <c r="C86" s="804">
        <v>0.1</v>
      </c>
      <c r="D86" s="804">
        <v>0.1</v>
      </c>
      <c r="E86" s="804">
        <v>7.6999999999999999E-2</v>
      </c>
      <c r="F86" s="805">
        <v>0.1</v>
      </c>
    </row>
    <row r="87" spans="1:6" ht="14.25" thickBot="1">
      <c r="A87" s="714" t="s">
        <v>479</v>
      </c>
      <c r="B87" s="708" t="s">
        <v>259</v>
      </c>
      <c r="C87" s="804">
        <v>0.1</v>
      </c>
      <c r="D87" s="804">
        <v>0.1</v>
      </c>
      <c r="E87" s="804">
        <v>9.8000000000000004E-2</v>
      </c>
      <c r="F87" s="809"/>
    </row>
    <row r="88" spans="1:6" ht="14.25" thickBot="1">
      <c r="A88" s="714" t="s">
        <v>479</v>
      </c>
      <c r="B88" s="708" t="s">
        <v>270</v>
      </c>
      <c r="C88" s="804">
        <v>9.1999999999999998E-2</v>
      </c>
      <c r="D88" s="804">
        <v>8.5000000000000006E-2</v>
      </c>
      <c r="E88" s="804">
        <v>9.6000000000000002E-2</v>
      </c>
      <c r="F88" s="809"/>
    </row>
    <row r="89" spans="1:6" ht="14.25" thickBot="1">
      <c r="A89" s="714" t="s">
        <v>479</v>
      </c>
      <c r="B89" s="708" t="s">
        <v>281</v>
      </c>
      <c r="C89" s="804">
        <v>0.1</v>
      </c>
      <c r="D89" s="804">
        <v>0.1</v>
      </c>
      <c r="E89" s="804">
        <v>9.7000000000000003E-2</v>
      </c>
      <c r="F89" s="809"/>
    </row>
    <row r="90" spans="1:6" ht="14.25" thickBot="1">
      <c r="A90" s="714" t="s">
        <v>479</v>
      </c>
      <c r="B90" s="708" t="s">
        <v>292</v>
      </c>
      <c r="C90" s="804">
        <v>9.8000000000000004E-2</v>
      </c>
      <c r="D90" s="804">
        <v>9.8000000000000004E-2</v>
      </c>
      <c r="E90" s="804">
        <v>8.7999999999999995E-2</v>
      </c>
      <c r="F90" s="809"/>
    </row>
    <row r="91" spans="1:6" ht="14.25" thickBot="1">
      <c r="A91" s="714" t="s">
        <v>479</v>
      </c>
      <c r="B91" s="708" t="s">
        <v>302</v>
      </c>
      <c r="C91" s="804">
        <v>9.9000000000000005E-2</v>
      </c>
      <c r="D91" s="804">
        <v>9.9000000000000005E-2</v>
      </c>
      <c r="E91" s="804">
        <v>9.0999999999999998E-2</v>
      </c>
      <c r="F91" s="809"/>
    </row>
    <row r="92" spans="1:6" ht="14.25" thickBot="1">
      <c r="A92" s="714" t="s">
        <v>479</v>
      </c>
      <c r="B92" s="708" t="s">
        <v>312</v>
      </c>
      <c r="C92" s="804">
        <v>9.6000000000000002E-2</v>
      </c>
      <c r="D92" s="804">
        <v>9.6000000000000002E-2</v>
      </c>
      <c r="E92" s="804">
        <v>7.2999999999999995E-2</v>
      </c>
      <c r="F92" s="809"/>
    </row>
    <row r="93" spans="1:6" ht="14.25" thickBot="1">
      <c r="A93" s="714" t="s">
        <v>479</v>
      </c>
      <c r="B93" s="708" t="s">
        <v>322</v>
      </c>
      <c r="C93" s="804">
        <v>9.6000000000000002E-2</v>
      </c>
      <c r="D93" s="804">
        <v>9.6000000000000002E-2</v>
      </c>
      <c r="E93" s="804">
        <v>9.9000000000000005E-2</v>
      </c>
      <c r="F93" s="809"/>
    </row>
    <row r="94" spans="1:6" ht="14.25" thickBot="1">
      <c r="A94" s="714" t="s">
        <v>479</v>
      </c>
      <c r="B94" s="708" t="s">
        <v>332</v>
      </c>
      <c r="C94" s="804">
        <v>7.5999999999999998E-2</v>
      </c>
      <c r="D94" s="804">
        <v>7.3999999999999996E-2</v>
      </c>
      <c r="E94" s="804">
        <v>9.7000000000000003E-2</v>
      </c>
      <c r="F94" s="809"/>
    </row>
    <row r="95" spans="1:6" ht="14.25" thickBot="1">
      <c r="A95" s="714" t="s">
        <v>479</v>
      </c>
      <c r="B95" s="708" t="s">
        <v>341</v>
      </c>
      <c r="C95" s="804">
        <v>9.9000000000000005E-2</v>
      </c>
      <c r="D95" s="804">
        <v>9.4E-2</v>
      </c>
      <c r="E95" s="804">
        <v>9.6000000000000002E-2</v>
      </c>
      <c r="F95" s="809"/>
    </row>
    <row r="96" spans="1:6" ht="14.25" thickBot="1">
      <c r="A96" s="714" t="s">
        <v>479</v>
      </c>
      <c r="B96" s="708" t="s">
        <v>350</v>
      </c>
      <c r="C96" s="804">
        <v>9.9000000000000005E-2</v>
      </c>
      <c r="D96" s="804">
        <v>9.9000000000000005E-2</v>
      </c>
      <c r="E96" s="804">
        <v>9.9000000000000005E-2</v>
      </c>
      <c r="F96" s="809"/>
    </row>
    <row r="97" spans="1:6" ht="14.25" thickBot="1">
      <c r="A97" s="714" t="s">
        <v>479</v>
      </c>
      <c r="B97" s="708" t="s">
        <v>358</v>
      </c>
      <c r="C97" s="804">
        <v>9.8000000000000004E-2</v>
      </c>
      <c r="D97" s="804">
        <v>9.8000000000000004E-2</v>
      </c>
      <c r="E97" s="804">
        <v>9.7000000000000003E-2</v>
      </c>
      <c r="F97" s="809"/>
    </row>
    <row r="98" spans="1:6" ht="14.25" thickBot="1">
      <c r="A98" s="714" t="s">
        <v>479</v>
      </c>
      <c r="B98" s="708" t="s">
        <v>365</v>
      </c>
      <c r="C98" s="804">
        <v>0.1</v>
      </c>
      <c r="D98" s="804">
        <v>0.1</v>
      </c>
      <c r="E98" s="804">
        <v>9.7000000000000003E-2</v>
      </c>
      <c r="F98" s="809"/>
    </row>
    <row r="99" spans="1:6" ht="14.25" thickBot="1">
      <c r="A99" s="714" t="s">
        <v>479</v>
      </c>
      <c r="B99" s="708" t="s">
        <v>372</v>
      </c>
      <c r="C99" s="804">
        <v>0.1</v>
      </c>
      <c r="D99" s="804">
        <v>0.1</v>
      </c>
      <c r="E99" s="810"/>
      <c r="F99" s="809"/>
    </row>
    <row r="100" spans="1:6" ht="14.25" thickBot="1">
      <c r="A100" s="714" t="s">
        <v>479</v>
      </c>
      <c r="B100" s="708" t="s">
        <v>379</v>
      </c>
      <c r="C100" s="804">
        <v>0.09</v>
      </c>
      <c r="D100" s="804">
        <v>8.8999999999999996E-2</v>
      </c>
      <c r="E100" s="810"/>
      <c r="F100" s="809"/>
    </row>
    <row r="101" spans="1:6" ht="14.25" thickBot="1">
      <c r="A101" s="714" t="s">
        <v>479</v>
      </c>
      <c r="B101" s="708" t="s">
        <v>386</v>
      </c>
      <c r="C101" s="804">
        <v>9.8000000000000004E-2</v>
      </c>
      <c r="D101" s="804">
        <v>9.7000000000000003E-2</v>
      </c>
      <c r="E101" s="810"/>
      <c r="F101" s="809"/>
    </row>
    <row r="102" spans="1:6" ht="14.25" thickBot="1">
      <c r="A102" s="714" t="s">
        <v>479</v>
      </c>
      <c r="B102" s="708" t="s">
        <v>616</v>
      </c>
      <c r="C102" s="810"/>
      <c r="D102" s="810"/>
      <c r="E102" s="810"/>
      <c r="F102" s="805">
        <v>0.05</v>
      </c>
    </row>
    <row r="103" spans="1:6" ht="24.75" thickBot="1">
      <c r="A103" s="714" t="s">
        <v>479</v>
      </c>
      <c r="B103" s="708" t="s">
        <v>617</v>
      </c>
      <c r="C103" s="810"/>
      <c r="D103" s="810"/>
      <c r="E103" s="810"/>
      <c r="F103" s="805">
        <v>0.05</v>
      </c>
    </row>
    <row r="104" spans="1:6" ht="14.25" thickBot="1">
      <c r="A104" s="714" t="s">
        <v>479</v>
      </c>
      <c r="B104" s="708" t="s">
        <v>618</v>
      </c>
      <c r="C104" s="810"/>
      <c r="D104" s="810"/>
      <c r="E104" s="810"/>
      <c r="F104" s="805">
        <v>0.05</v>
      </c>
    </row>
    <row r="105" spans="1:6" ht="14.25" thickBot="1">
      <c r="A105" s="714" t="s">
        <v>479</v>
      </c>
      <c r="B105" s="708" t="s">
        <v>619</v>
      </c>
      <c r="C105" s="810"/>
      <c r="D105" s="810"/>
      <c r="E105" s="810"/>
      <c r="F105" s="805">
        <v>0.05</v>
      </c>
    </row>
    <row r="106" spans="1:6" ht="14.25" thickBot="1">
      <c r="A106" s="714" t="s">
        <v>479</v>
      </c>
      <c r="B106" s="708" t="s">
        <v>620</v>
      </c>
      <c r="C106" s="810"/>
      <c r="D106" s="810"/>
      <c r="E106" s="810"/>
      <c r="F106" s="805">
        <v>0.05</v>
      </c>
    </row>
    <row r="107" spans="1:6" ht="24.75" thickBot="1">
      <c r="A107" s="714" t="s">
        <v>479</v>
      </c>
      <c r="B107" s="708" t="s">
        <v>621</v>
      </c>
      <c r="C107" s="810"/>
      <c r="D107" s="810"/>
      <c r="E107" s="810"/>
      <c r="F107" s="805">
        <v>0.05</v>
      </c>
    </row>
    <row r="108" spans="1:6" ht="24.75" thickBot="1">
      <c r="A108" s="714" t="s">
        <v>479</v>
      </c>
      <c r="B108" s="708" t="s">
        <v>622</v>
      </c>
      <c r="C108" s="810"/>
      <c r="D108" s="810"/>
      <c r="E108" s="810"/>
      <c r="F108" s="805">
        <v>0.05</v>
      </c>
    </row>
    <row r="109" spans="1:6" ht="24.75" thickBot="1">
      <c r="A109" s="731" t="s">
        <v>479</v>
      </c>
      <c r="B109" s="724" t="s">
        <v>623</v>
      </c>
      <c r="C109" s="807"/>
      <c r="D109" s="807"/>
      <c r="E109" s="807"/>
      <c r="F109" s="811">
        <v>0.05</v>
      </c>
    </row>
    <row r="110" spans="1:6" ht="14.25" thickBot="1">
      <c r="A110" s="714" t="s">
        <v>70</v>
      </c>
      <c r="B110" s="715" t="s">
        <v>624</v>
      </c>
      <c r="C110" s="802">
        <v>0.129</v>
      </c>
      <c r="D110" s="802">
        <v>0.129</v>
      </c>
      <c r="E110" s="802">
        <v>0.126</v>
      </c>
      <c r="F110" s="803">
        <v>0.13</v>
      </c>
    </row>
    <row r="111" spans="1:6" ht="14.25" thickBot="1">
      <c r="A111" s="714" t="s">
        <v>70</v>
      </c>
      <c r="B111" s="708" t="s">
        <v>140</v>
      </c>
      <c r="C111" s="804">
        <v>0.11</v>
      </c>
      <c r="D111" s="804">
        <v>0.11</v>
      </c>
      <c r="E111" s="804">
        <v>9.9000000000000005E-2</v>
      </c>
      <c r="F111" s="805">
        <v>0.128</v>
      </c>
    </row>
    <row r="112" spans="1:6" ht="14.25" thickBot="1">
      <c r="A112" s="714" t="s">
        <v>70</v>
      </c>
      <c r="B112" s="708" t="s">
        <v>153</v>
      </c>
      <c r="C112" s="804">
        <v>0.125</v>
      </c>
      <c r="D112" s="804">
        <v>0.125</v>
      </c>
      <c r="E112" s="804">
        <v>0.12</v>
      </c>
      <c r="F112" s="805">
        <v>0.125</v>
      </c>
    </row>
    <row r="113" spans="1:6" ht="14.25" thickBot="1">
      <c r="A113" s="714" t="s">
        <v>70</v>
      </c>
      <c r="B113" s="708" t="s">
        <v>166</v>
      </c>
      <c r="C113" s="804">
        <v>0.13</v>
      </c>
      <c r="D113" s="804">
        <v>0.13</v>
      </c>
      <c r="E113" s="804">
        <v>0.13</v>
      </c>
      <c r="F113" s="805">
        <v>0.13</v>
      </c>
    </row>
    <row r="114" spans="1:6" ht="14.25" thickBot="1">
      <c r="A114" s="714" t="s">
        <v>70</v>
      </c>
      <c r="B114" s="708" t="s">
        <v>178</v>
      </c>
      <c r="C114" s="804">
        <v>0.123</v>
      </c>
      <c r="D114" s="804">
        <v>0.123</v>
      </c>
      <c r="E114" s="804">
        <v>0.12</v>
      </c>
      <c r="F114" s="805">
        <v>0.13</v>
      </c>
    </row>
    <row r="115" spans="1:6" ht="14.25" thickBot="1">
      <c r="A115" s="714" t="s">
        <v>70</v>
      </c>
      <c r="B115" s="708" t="s">
        <v>190</v>
      </c>
      <c r="C115" s="804">
        <v>0.125</v>
      </c>
      <c r="D115" s="804">
        <v>0.125</v>
      </c>
      <c r="E115" s="804">
        <v>0.11700000000000001</v>
      </c>
      <c r="F115" s="805">
        <v>0.13</v>
      </c>
    </row>
    <row r="116" spans="1:6" ht="14.25" thickBot="1">
      <c r="A116" s="714" t="s">
        <v>70</v>
      </c>
      <c r="B116" s="708" t="s">
        <v>202</v>
      </c>
      <c r="C116" s="804">
        <v>0.11700000000000001</v>
      </c>
      <c r="D116" s="804">
        <v>0.11700000000000001</v>
      </c>
      <c r="E116" s="804">
        <v>8.7999999999999995E-2</v>
      </c>
      <c r="F116" s="805">
        <v>0.13</v>
      </c>
    </row>
    <row r="117" spans="1:6" ht="14.25" thickBot="1">
      <c r="A117" s="714" t="s">
        <v>70</v>
      </c>
      <c r="B117" s="708" t="s">
        <v>214</v>
      </c>
      <c r="C117" s="804">
        <v>0.13</v>
      </c>
      <c r="D117" s="804">
        <v>0.13</v>
      </c>
      <c r="E117" s="804">
        <v>0.129</v>
      </c>
      <c r="F117" s="805">
        <v>0.13</v>
      </c>
    </row>
    <row r="118" spans="1:6" ht="14.25" thickBot="1">
      <c r="A118" s="714" t="s">
        <v>70</v>
      </c>
      <c r="B118" s="708" t="s">
        <v>227</v>
      </c>
      <c r="C118" s="804">
        <v>0.123</v>
      </c>
      <c r="D118" s="804">
        <v>0.123</v>
      </c>
      <c r="E118" s="804">
        <v>0.11600000000000001</v>
      </c>
      <c r="F118" s="805">
        <v>0.13</v>
      </c>
    </row>
    <row r="119" spans="1:6" ht="14.25" thickBot="1">
      <c r="A119" s="714" t="s">
        <v>70</v>
      </c>
      <c r="B119" s="708" t="s">
        <v>238</v>
      </c>
      <c r="C119" s="804">
        <v>0.127</v>
      </c>
      <c r="D119" s="804">
        <v>0.127</v>
      </c>
      <c r="E119" s="804">
        <v>0.124</v>
      </c>
      <c r="F119" s="805">
        <v>0.13</v>
      </c>
    </row>
    <row r="120" spans="1:6" ht="14.25" thickBot="1">
      <c r="A120" s="714" t="s">
        <v>70</v>
      </c>
      <c r="B120" s="708" t="s">
        <v>249</v>
      </c>
      <c r="C120" s="804">
        <v>0.125</v>
      </c>
      <c r="D120" s="804">
        <v>0.125</v>
      </c>
      <c r="E120" s="804">
        <v>0.122</v>
      </c>
      <c r="F120" s="805">
        <v>0.13</v>
      </c>
    </row>
    <row r="121" spans="1:6" ht="14.25" thickBot="1">
      <c r="A121" s="714" t="s">
        <v>70</v>
      </c>
      <c r="B121" s="708" t="s">
        <v>260</v>
      </c>
      <c r="C121" s="804">
        <v>0.13</v>
      </c>
      <c r="D121" s="804">
        <v>0.13</v>
      </c>
      <c r="E121" s="804">
        <v>0.13</v>
      </c>
      <c r="F121" s="805">
        <v>0.13</v>
      </c>
    </row>
    <row r="122" spans="1:6" ht="14.25" thickBot="1">
      <c r="A122" s="714" t="s">
        <v>70</v>
      </c>
      <c r="B122" s="708" t="s">
        <v>271</v>
      </c>
      <c r="C122" s="804">
        <v>0.13</v>
      </c>
      <c r="D122" s="804">
        <v>0.13</v>
      </c>
      <c r="E122" s="804">
        <v>0.125</v>
      </c>
      <c r="F122" s="805">
        <v>0.13</v>
      </c>
    </row>
    <row r="123" spans="1:6" ht="14.25" thickBot="1">
      <c r="A123" s="714" t="s">
        <v>70</v>
      </c>
      <c r="B123" s="708" t="s">
        <v>282</v>
      </c>
      <c r="C123" s="804">
        <v>0.129</v>
      </c>
      <c r="D123" s="804">
        <v>0.129</v>
      </c>
      <c r="E123" s="804">
        <v>0.123</v>
      </c>
      <c r="F123" s="805">
        <v>0.13</v>
      </c>
    </row>
    <row r="124" spans="1:6" ht="14.25" thickBot="1">
      <c r="A124" s="714" t="s">
        <v>70</v>
      </c>
      <c r="B124" s="708" t="s">
        <v>293</v>
      </c>
      <c r="C124" s="804">
        <v>0.10199999999999999</v>
      </c>
      <c r="D124" s="804">
        <v>0.10100000000000001</v>
      </c>
      <c r="E124" s="804">
        <v>0.08</v>
      </c>
      <c r="F124" s="809"/>
    </row>
    <row r="125" spans="1:6" ht="14.25" thickBot="1">
      <c r="A125" s="714" t="s">
        <v>70</v>
      </c>
      <c r="B125" s="708" t="s">
        <v>303</v>
      </c>
      <c r="C125" s="804">
        <v>0.13</v>
      </c>
      <c r="D125" s="804">
        <v>0.13</v>
      </c>
      <c r="E125" s="804">
        <v>0.129</v>
      </c>
      <c r="F125" s="809"/>
    </row>
    <row r="126" spans="1:6" ht="14.25" thickBot="1">
      <c r="A126" s="714" t="s">
        <v>70</v>
      </c>
      <c r="B126" s="708" t="s">
        <v>313</v>
      </c>
      <c r="C126" s="804">
        <v>0.13</v>
      </c>
      <c r="D126" s="804">
        <v>0.13</v>
      </c>
      <c r="E126" s="804">
        <v>0.126</v>
      </c>
      <c r="F126" s="809"/>
    </row>
    <row r="127" spans="1:6" ht="14.25" thickBot="1">
      <c r="A127" s="714" t="s">
        <v>70</v>
      </c>
      <c r="B127" s="708" t="s">
        <v>323</v>
      </c>
      <c r="C127" s="804">
        <v>0.125</v>
      </c>
      <c r="D127" s="804">
        <v>0.125</v>
      </c>
      <c r="E127" s="804">
        <v>0.121</v>
      </c>
      <c r="F127" s="809"/>
    </row>
    <row r="128" spans="1:6" ht="14.25" thickBot="1">
      <c r="A128" s="714" t="s">
        <v>70</v>
      </c>
      <c r="B128" s="708" t="s">
        <v>333</v>
      </c>
      <c r="C128" s="804">
        <v>0.12</v>
      </c>
      <c r="D128" s="804">
        <v>0.12</v>
      </c>
      <c r="E128" s="804">
        <v>0.105</v>
      </c>
      <c r="F128" s="809"/>
    </row>
    <row r="129" spans="1:6" ht="14.25" thickBot="1">
      <c r="A129" s="714" t="s">
        <v>70</v>
      </c>
      <c r="B129" s="708" t="s">
        <v>342</v>
      </c>
      <c r="C129" s="804">
        <v>0.13</v>
      </c>
      <c r="D129" s="804">
        <v>0.13</v>
      </c>
      <c r="E129" s="804">
        <v>0.126</v>
      </c>
      <c r="F129" s="809"/>
    </row>
    <row r="130" spans="1:6" ht="14.25" thickBot="1">
      <c r="A130" s="714" t="s">
        <v>70</v>
      </c>
      <c r="B130" s="708" t="s">
        <v>351</v>
      </c>
      <c r="C130" s="804">
        <v>0.125</v>
      </c>
      <c r="D130" s="804">
        <v>0.125</v>
      </c>
      <c r="E130" s="804">
        <v>0.122</v>
      </c>
      <c r="F130" s="809"/>
    </row>
    <row r="131" spans="1:6" ht="14.25" thickBot="1">
      <c r="A131" s="714" t="s">
        <v>70</v>
      </c>
      <c r="B131" s="708" t="s">
        <v>359</v>
      </c>
      <c r="C131" s="804">
        <v>0.127</v>
      </c>
      <c r="D131" s="804">
        <v>0.126</v>
      </c>
      <c r="E131" s="804">
        <v>0.123</v>
      </c>
      <c r="F131" s="809"/>
    </row>
    <row r="132" spans="1:6" ht="14.25" thickBot="1">
      <c r="A132" s="714" t="s">
        <v>70</v>
      </c>
      <c r="B132" s="708" t="s">
        <v>366</v>
      </c>
      <c r="C132" s="804">
        <v>9.0999999999999998E-2</v>
      </c>
      <c r="D132" s="804">
        <v>0.121</v>
      </c>
      <c r="E132" s="804">
        <v>9.9000000000000005E-2</v>
      </c>
      <c r="F132" s="809"/>
    </row>
    <row r="133" spans="1:6" ht="14.25" thickBot="1">
      <c r="A133" s="714" t="s">
        <v>70</v>
      </c>
      <c r="B133" s="708" t="s">
        <v>373</v>
      </c>
      <c r="C133" s="804">
        <v>0.13</v>
      </c>
      <c r="D133" s="804">
        <v>0.13</v>
      </c>
      <c r="E133" s="804">
        <v>0.129</v>
      </c>
      <c r="F133" s="809"/>
    </row>
    <row r="134" spans="1:6" ht="14.25" thickBot="1">
      <c r="A134" s="714" t="s">
        <v>70</v>
      </c>
      <c r="B134" s="708" t="s">
        <v>625</v>
      </c>
      <c r="C134" s="804">
        <v>6.8000000000000005E-2</v>
      </c>
      <c r="D134" s="804">
        <v>6.5000000000000002E-2</v>
      </c>
      <c r="E134" s="804">
        <v>6.5000000000000002E-2</v>
      </c>
      <c r="F134" s="805">
        <v>0.13</v>
      </c>
    </row>
    <row r="135" spans="1:6" ht="14.25" thickBot="1">
      <c r="A135" s="714" t="s">
        <v>70</v>
      </c>
      <c r="B135" s="708" t="s">
        <v>387</v>
      </c>
      <c r="C135" s="804">
        <v>0.123</v>
      </c>
      <c r="D135" s="804">
        <v>0.123</v>
      </c>
      <c r="E135" s="804">
        <v>0.11</v>
      </c>
      <c r="F135" s="809"/>
    </row>
    <row r="136" spans="1:6" ht="14.25" thickBot="1">
      <c r="A136" s="714" t="s">
        <v>70</v>
      </c>
      <c r="B136" s="708" t="s">
        <v>394</v>
      </c>
      <c r="C136" s="804">
        <v>0.13</v>
      </c>
      <c r="D136" s="804">
        <v>0.13</v>
      </c>
      <c r="E136" s="804">
        <v>0.125</v>
      </c>
      <c r="F136" s="809"/>
    </row>
    <row r="137" spans="1:6" ht="14.25" thickBot="1">
      <c r="A137" s="714" t="s">
        <v>70</v>
      </c>
      <c r="B137" s="708" t="s">
        <v>401</v>
      </c>
      <c r="C137" s="804">
        <v>0.121</v>
      </c>
      <c r="D137" s="804">
        <v>0.122</v>
      </c>
      <c r="E137" s="804">
        <v>0.115</v>
      </c>
      <c r="F137" s="809"/>
    </row>
    <row r="138" spans="1:6" ht="14.25" thickBot="1">
      <c r="A138" s="714" t="s">
        <v>70</v>
      </c>
      <c r="B138" s="708" t="s">
        <v>626</v>
      </c>
      <c r="C138" s="804">
        <v>0.105</v>
      </c>
      <c r="D138" s="804">
        <v>0.125</v>
      </c>
      <c r="E138" s="804">
        <v>0.112</v>
      </c>
      <c r="F138" s="809"/>
    </row>
    <row r="139" spans="1:6" ht="14.25" thickBot="1">
      <c r="A139" s="714" t="s">
        <v>70</v>
      </c>
      <c r="B139" s="708" t="s">
        <v>627</v>
      </c>
      <c r="C139" s="804">
        <v>0.127</v>
      </c>
      <c r="D139" s="804">
        <v>0.127</v>
      </c>
      <c r="E139" s="804">
        <v>0.122</v>
      </c>
      <c r="F139" s="805">
        <v>0.13</v>
      </c>
    </row>
    <row r="140" spans="1:6" ht="14.25" thickBot="1">
      <c r="A140" s="714" t="s">
        <v>70</v>
      </c>
      <c r="B140" s="708" t="s">
        <v>628</v>
      </c>
      <c r="C140" s="804">
        <v>0.125</v>
      </c>
      <c r="D140" s="804">
        <v>0.125</v>
      </c>
      <c r="E140" s="804">
        <v>0.11899999999999999</v>
      </c>
      <c r="F140" s="805">
        <v>0.13</v>
      </c>
    </row>
    <row r="141" spans="1:6" ht="14.25" thickBot="1">
      <c r="A141" s="714" t="s">
        <v>70</v>
      </c>
      <c r="B141" s="708" t="s">
        <v>420</v>
      </c>
      <c r="C141" s="804">
        <v>0.125</v>
      </c>
      <c r="D141" s="804">
        <v>0.125</v>
      </c>
      <c r="E141" s="804">
        <v>0.11700000000000001</v>
      </c>
      <c r="F141" s="809"/>
    </row>
    <row r="142" spans="1:6" ht="14.25" thickBot="1">
      <c r="A142" s="714" t="s">
        <v>70</v>
      </c>
      <c r="B142" s="708" t="s">
        <v>425</v>
      </c>
      <c r="C142" s="804">
        <v>0.125</v>
      </c>
      <c r="D142" s="804">
        <v>0.125</v>
      </c>
      <c r="E142" s="804">
        <v>0.115</v>
      </c>
      <c r="F142" s="809"/>
    </row>
    <row r="143" spans="1:6" ht="14.25" thickBot="1">
      <c r="A143" s="714" t="s">
        <v>70</v>
      </c>
      <c r="B143" s="708" t="s">
        <v>430</v>
      </c>
      <c r="C143" s="804">
        <v>0.121</v>
      </c>
      <c r="D143" s="804">
        <v>0.121</v>
      </c>
      <c r="E143" s="804">
        <v>0.108</v>
      </c>
      <c r="F143" s="809"/>
    </row>
    <row r="144" spans="1:6" ht="14.25" thickBot="1">
      <c r="A144" s="714" t="s">
        <v>70</v>
      </c>
      <c r="B144" s="812" t="s">
        <v>629</v>
      </c>
      <c r="C144" s="813">
        <v>0.126</v>
      </c>
      <c r="D144" s="813">
        <v>0.126</v>
      </c>
      <c r="E144" s="813">
        <v>0.121</v>
      </c>
      <c r="F144" s="809"/>
    </row>
    <row r="145" spans="1:6" ht="14.25" thickBot="1">
      <c r="A145" s="731" t="s">
        <v>70</v>
      </c>
      <c r="B145" s="814" t="s">
        <v>630</v>
      </c>
      <c r="C145" s="815"/>
      <c r="D145" s="815"/>
      <c r="E145" s="815"/>
      <c r="F145" s="816">
        <v>0.05</v>
      </c>
    </row>
    <row r="146" spans="1:6" ht="24.75" thickBot="1">
      <c r="A146" s="817" t="s">
        <v>70</v>
      </c>
      <c r="B146" s="722" t="s">
        <v>631</v>
      </c>
      <c r="C146" s="810"/>
      <c r="D146" s="810"/>
      <c r="E146" s="810"/>
      <c r="F146" s="818">
        <v>0.05</v>
      </c>
    </row>
    <row r="147" spans="1:6" ht="24.75" thickBot="1">
      <c r="A147" s="714" t="s">
        <v>70</v>
      </c>
      <c r="B147" s="708" t="s">
        <v>632</v>
      </c>
      <c r="C147" s="810"/>
      <c r="D147" s="810"/>
      <c r="E147" s="810"/>
      <c r="F147" s="805">
        <v>0.05</v>
      </c>
    </row>
    <row r="148" spans="1:6" ht="24.75" thickBot="1">
      <c r="A148" s="714" t="s">
        <v>70</v>
      </c>
      <c r="B148" s="708" t="s">
        <v>633</v>
      </c>
      <c r="C148" s="810"/>
      <c r="D148" s="810"/>
      <c r="E148" s="810"/>
      <c r="F148" s="805">
        <v>0.05</v>
      </c>
    </row>
    <row r="149" spans="1:6" ht="24.75" thickBot="1">
      <c r="A149" s="714" t="s">
        <v>70</v>
      </c>
      <c r="B149" s="708" t="s">
        <v>634</v>
      </c>
      <c r="C149" s="810"/>
      <c r="D149" s="810"/>
      <c r="E149" s="810"/>
      <c r="F149" s="805">
        <v>0.05</v>
      </c>
    </row>
    <row r="150" spans="1:6" ht="24.75" thickBot="1">
      <c r="A150" s="714" t="s">
        <v>70</v>
      </c>
      <c r="B150" s="708" t="s">
        <v>635</v>
      </c>
      <c r="C150" s="810"/>
      <c r="D150" s="810"/>
      <c r="E150" s="810"/>
      <c r="F150" s="805">
        <v>0.05</v>
      </c>
    </row>
    <row r="151" spans="1:6" ht="24.75" thickBot="1">
      <c r="A151" s="714" t="s">
        <v>70</v>
      </c>
      <c r="B151" s="708" t="s">
        <v>636</v>
      </c>
      <c r="C151" s="810"/>
      <c r="D151" s="810"/>
      <c r="E151" s="810"/>
      <c r="F151" s="805">
        <v>0.05</v>
      </c>
    </row>
    <row r="152" spans="1:6" ht="24.75" thickBot="1">
      <c r="A152" s="714" t="s">
        <v>70</v>
      </c>
      <c r="B152" s="708" t="s">
        <v>463</v>
      </c>
      <c r="C152" s="810"/>
      <c r="D152" s="810"/>
      <c r="E152" s="810"/>
      <c r="F152" s="805">
        <v>0.05</v>
      </c>
    </row>
    <row r="153" spans="1:6" ht="14.25" thickBot="1">
      <c r="A153" s="714" t="s">
        <v>70</v>
      </c>
      <c r="B153" s="708" t="s">
        <v>637</v>
      </c>
      <c r="C153" s="810"/>
      <c r="D153" s="810"/>
      <c r="E153" s="810"/>
      <c r="F153" s="805">
        <v>0.05</v>
      </c>
    </row>
    <row r="154" spans="1:6" ht="14.25" thickBot="1">
      <c r="A154" s="714" t="s">
        <v>70</v>
      </c>
      <c r="B154" s="708" t="s">
        <v>638</v>
      </c>
      <c r="C154" s="810"/>
      <c r="D154" s="810"/>
      <c r="E154" s="810"/>
      <c r="F154" s="805">
        <v>0.05</v>
      </c>
    </row>
    <row r="155" spans="1:6" ht="24.75" thickBot="1">
      <c r="A155" s="714" t="s">
        <v>70</v>
      </c>
      <c r="B155" s="708" t="s">
        <v>639</v>
      </c>
      <c r="C155" s="810"/>
      <c r="D155" s="810"/>
      <c r="E155" s="810"/>
      <c r="F155" s="805">
        <v>0.05</v>
      </c>
    </row>
    <row r="156" spans="1:6" ht="24.75" thickBot="1">
      <c r="A156" s="714" t="s">
        <v>70</v>
      </c>
      <c r="B156" s="708" t="s">
        <v>640</v>
      </c>
      <c r="C156" s="810"/>
      <c r="D156" s="810"/>
      <c r="E156" s="810"/>
      <c r="F156" s="805">
        <v>0.05</v>
      </c>
    </row>
    <row r="157" spans="1:6" ht="14.25" thickBot="1">
      <c r="A157" s="731" t="s">
        <v>70</v>
      </c>
      <c r="B157" s="724" t="s">
        <v>641</v>
      </c>
      <c r="C157" s="807"/>
      <c r="D157" s="807"/>
      <c r="E157" s="807"/>
      <c r="F157" s="811">
        <v>0.05</v>
      </c>
    </row>
    <row r="158" spans="1:6" ht="14.25" thickBot="1">
      <c r="A158" s="714" t="s">
        <v>482</v>
      </c>
      <c r="B158" s="715" t="s">
        <v>642</v>
      </c>
      <c r="C158" s="802">
        <v>0.13</v>
      </c>
      <c r="D158" s="802">
        <v>0.13</v>
      </c>
      <c r="E158" s="802">
        <v>0.13</v>
      </c>
      <c r="F158" s="803">
        <v>0.13</v>
      </c>
    </row>
    <row r="159" spans="1:6" ht="14.25" thickBot="1">
      <c r="A159" s="714" t="s">
        <v>482</v>
      </c>
      <c r="B159" s="708" t="s">
        <v>141</v>
      </c>
      <c r="C159" s="804">
        <v>0.13</v>
      </c>
      <c r="D159" s="804">
        <v>0.13</v>
      </c>
      <c r="E159" s="804">
        <v>0.13</v>
      </c>
      <c r="F159" s="805">
        <v>0.13</v>
      </c>
    </row>
    <row r="160" spans="1:6" ht="14.25" thickBot="1">
      <c r="A160" s="714" t="s">
        <v>482</v>
      </c>
      <c r="B160" s="708" t="s">
        <v>154</v>
      </c>
      <c r="C160" s="804">
        <v>0.13</v>
      </c>
      <c r="D160" s="804">
        <v>0.13</v>
      </c>
      <c r="E160" s="804">
        <v>0.129</v>
      </c>
      <c r="F160" s="805">
        <v>0.13</v>
      </c>
    </row>
    <row r="161" spans="1:6" ht="14.25" thickBot="1">
      <c r="A161" s="714" t="s">
        <v>482</v>
      </c>
      <c r="B161" s="708" t="s">
        <v>167</v>
      </c>
      <c r="C161" s="804">
        <v>0.128</v>
      </c>
      <c r="D161" s="804">
        <v>0.128</v>
      </c>
      <c r="E161" s="804">
        <v>0.125</v>
      </c>
      <c r="F161" s="805">
        <v>0.13</v>
      </c>
    </row>
    <row r="162" spans="1:6" ht="14.25" thickBot="1">
      <c r="A162" s="714" t="s">
        <v>482</v>
      </c>
      <c r="B162" s="708" t="s">
        <v>179</v>
      </c>
      <c r="C162" s="804">
        <v>0.122</v>
      </c>
      <c r="D162" s="804">
        <v>0.122</v>
      </c>
      <c r="E162" s="804">
        <v>0.126</v>
      </c>
      <c r="F162" s="805">
        <v>0.122</v>
      </c>
    </row>
    <row r="163" spans="1:6" ht="14.25" thickBot="1">
      <c r="A163" s="714" t="s">
        <v>482</v>
      </c>
      <c r="B163" s="708" t="s">
        <v>191</v>
      </c>
      <c r="C163" s="804">
        <v>0.13</v>
      </c>
      <c r="D163" s="804">
        <v>0.13</v>
      </c>
      <c r="E163" s="804">
        <v>0.125</v>
      </c>
      <c r="F163" s="805">
        <v>0.13</v>
      </c>
    </row>
    <row r="164" spans="1:6" ht="14.25" thickBot="1">
      <c r="A164" s="714" t="s">
        <v>482</v>
      </c>
      <c r="B164" s="708" t="s">
        <v>203</v>
      </c>
      <c r="C164" s="804">
        <v>0.13</v>
      </c>
      <c r="D164" s="804">
        <v>0.13</v>
      </c>
      <c r="E164" s="804">
        <v>0.13</v>
      </c>
      <c r="F164" s="805">
        <v>0.13</v>
      </c>
    </row>
    <row r="165" spans="1:6" ht="14.25" thickBot="1">
      <c r="A165" s="714" t="s">
        <v>482</v>
      </c>
      <c r="B165" s="708" t="s">
        <v>215</v>
      </c>
      <c r="C165" s="804">
        <v>0.13</v>
      </c>
      <c r="D165" s="804">
        <v>0.13</v>
      </c>
      <c r="E165" s="804">
        <v>0.124</v>
      </c>
      <c r="F165" s="805">
        <v>0.13</v>
      </c>
    </row>
    <row r="166" spans="1:6" ht="14.25" thickBot="1">
      <c r="A166" s="714" t="s">
        <v>482</v>
      </c>
      <c r="B166" s="708" t="s">
        <v>228</v>
      </c>
      <c r="C166" s="804">
        <v>0.13</v>
      </c>
      <c r="D166" s="804">
        <v>0.13</v>
      </c>
      <c r="E166" s="804">
        <v>0.13</v>
      </c>
      <c r="F166" s="805">
        <v>0.13</v>
      </c>
    </row>
    <row r="167" spans="1:6" ht="14.25" thickBot="1">
      <c r="A167" s="714" t="s">
        <v>482</v>
      </c>
      <c r="B167" s="708" t="s">
        <v>239</v>
      </c>
      <c r="C167" s="804">
        <v>0.125</v>
      </c>
      <c r="D167" s="804">
        <v>0.125</v>
      </c>
      <c r="E167" s="804">
        <v>0.121</v>
      </c>
      <c r="F167" s="809"/>
    </row>
    <row r="168" spans="1:6" ht="14.25" thickBot="1">
      <c r="A168" s="714" t="s">
        <v>482</v>
      </c>
      <c r="B168" s="708" t="s">
        <v>250</v>
      </c>
      <c r="C168" s="804">
        <v>0.13</v>
      </c>
      <c r="D168" s="804">
        <v>0.13</v>
      </c>
      <c r="E168" s="804">
        <v>0.126</v>
      </c>
      <c r="F168" s="809"/>
    </row>
    <row r="169" spans="1:6" ht="14.25" thickBot="1">
      <c r="A169" s="714" t="s">
        <v>482</v>
      </c>
      <c r="B169" s="708" t="s">
        <v>261</v>
      </c>
      <c r="C169" s="804">
        <v>0.128</v>
      </c>
      <c r="D169" s="804">
        <v>0.129</v>
      </c>
      <c r="E169" s="804">
        <v>0.13</v>
      </c>
      <c r="F169" s="809"/>
    </row>
    <row r="170" spans="1:6" ht="14.25" thickBot="1">
      <c r="A170" s="714" t="s">
        <v>482</v>
      </c>
      <c r="B170" s="708" t="s">
        <v>272</v>
      </c>
      <c r="C170" s="804">
        <v>0.14099999999999999</v>
      </c>
      <c r="D170" s="804">
        <v>0.13</v>
      </c>
      <c r="E170" s="804">
        <v>0.125</v>
      </c>
      <c r="F170" s="809"/>
    </row>
    <row r="171" spans="1:6" ht="14.25" thickBot="1">
      <c r="A171" s="714" t="s">
        <v>482</v>
      </c>
      <c r="B171" s="708" t="s">
        <v>643</v>
      </c>
      <c r="C171" s="804">
        <v>0.127</v>
      </c>
      <c r="D171" s="804">
        <v>0.126</v>
      </c>
      <c r="E171" s="804">
        <v>0.126</v>
      </c>
      <c r="F171" s="805">
        <v>0.11799999999999999</v>
      </c>
    </row>
    <row r="172" spans="1:6" ht="14.25" thickBot="1">
      <c r="A172" s="714" t="s">
        <v>482</v>
      </c>
      <c r="B172" s="708" t="s">
        <v>644</v>
      </c>
      <c r="C172" s="804">
        <v>0.13</v>
      </c>
      <c r="D172" s="804">
        <v>0.13</v>
      </c>
      <c r="E172" s="804">
        <v>0.13</v>
      </c>
      <c r="F172" s="809"/>
    </row>
    <row r="173" spans="1:6" ht="14.25" thickBot="1">
      <c r="A173" s="714" t="s">
        <v>482</v>
      </c>
      <c r="B173" s="708" t="s">
        <v>304</v>
      </c>
      <c r="C173" s="804">
        <v>0.13</v>
      </c>
      <c r="D173" s="804">
        <v>0.13</v>
      </c>
      <c r="E173" s="804">
        <v>0.13</v>
      </c>
      <c r="F173" s="809"/>
    </row>
    <row r="174" spans="1:6" ht="14.25" thickBot="1">
      <c r="A174" s="714" t="s">
        <v>482</v>
      </c>
      <c r="B174" s="708" t="s">
        <v>645</v>
      </c>
      <c r="C174" s="804">
        <v>0.13</v>
      </c>
      <c r="D174" s="804">
        <v>0.13</v>
      </c>
      <c r="E174" s="804">
        <v>0.13</v>
      </c>
      <c r="F174" s="805">
        <v>0.13</v>
      </c>
    </row>
    <row r="175" spans="1:6" ht="14.25" thickBot="1">
      <c r="A175" s="714" t="s">
        <v>482</v>
      </c>
      <c r="B175" s="708" t="s">
        <v>646</v>
      </c>
      <c r="C175" s="804">
        <v>0.13</v>
      </c>
      <c r="D175" s="804">
        <v>0.13</v>
      </c>
      <c r="E175" s="804">
        <v>0.13</v>
      </c>
      <c r="F175" s="805">
        <v>0.13</v>
      </c>
    </row>
    <row r="176" spans="1:6" ht="14.25" thickBot="1">
      <c r="A176" s="714" t="s">
        <v>482</v>
      </c>
      <c r="B176" s="708" t="s">
        <v>334</v>
      </c>
      <c r="C176" s="804">
        <v>0.13</v>
      </c>
      <c r="D176" s="804">
        <v>0.13</v>
      </c>
      <c r="E176" s="804">
        <v>0.13</v>
      </c>
      <c r="F176" s="805">
        <v>0.13</v>
      </c>
    </row>
    <row r="177" spans="1:6" ht="14.25" thickBot="1">
      <c r="A177" s="714" t="s">
        <v>482</v>
      </c>
      <c r="B177" s="708" t="s">
        <v>647</v>
      </c>
      <c r="C177" s="804">
        <v>0.13</v>
      </c>
      <c r="D177" s="804">
        <v>0.13</v>
      </c>
      <c r="E177" s="804">
        <v>0.13</v>
      </c>
      <c r="F177" s="805">
        <v>0.13</v>
      </c>
    </row>
    <row r="178" spans="1:6" ht="14.25" thickBot="1">
      <c r="A178" s="714" t="s">
        <v>482</v>
      </c>
      <c r="B178" s="708" t="s">
        <v>352</v>
      </c>
      <c r="C178" s="804">
        <v>0.13</v>
      </c>
      <c r="D178" s="804">
        <v>0.13</v>
      </c>
      <c r="E178" s="804">
        <v>0.13</v>
      </c>
      <c r="F178" s="805">
        <v>0.127</v>
      </c>
    </row>
    <row r="179" spans="1:6" ht="14.25" thickBot="1">
      <c r="A179" s="714" t="s">
        <v>482</v>
      </c>
      <c r="B179" s="708" t="s">
        <v>360</v>
      </c>
      <c r="C179" s="804">
        <v>0.13</v>
      </c>
      <c r="D179" s="804">
        <v>0.13</v>
      </c>
      <c r="E179" s="804">
        <v>0.13</v>
      </c>
      <c r="F179" s="809"/>
    </row>
    <row r="180" spans="1:6" ht="14.25" thickBot="1">
      <c r="A180" s="714" t="s">
        <v>482</v>
      </c>
      <c r="B180" s="708" t="s">
        <v>648</v>
      </c>
      <c r="C180" s="804">
        <v>0.13</v>
      </c>
      <c r="D180" s="804">
        <v>0.13</v>
      </c>
      <c r="E180" s="804">
        <v>0.125</v>
      </c>
      <c r="F180" s="805">
        <v>0.13</v>
      </c>
    </row>
    <row r="181" spans="1:6" ht="14.25" thickBot="1">
      <c r="A181" s="714" t="s">
        <v>482</v>
      </c>
      <c r="B181" s="708" t="s">
        <v>374</v>
      </c>
      <c r="C181" s="804">
        <v>0.122</v>
      </c>
      <c r="D181" s="804">
        <v>0.123</v>
      </c>
      <c r="E181" s="804">
        <v>0.126</v>
      </c>
      <c r="F181" s="805">
        <v>0.121</v>
      </c>
    </row>
    <row r="182" spans="1:6" ht="14.25" thickBot="1">
      <c r="A182" s="714" t="s">
        <v>482</v>
      </c>
      <c r="B182" s="708" t="s">
        <v>381</v>
      </c>
      <c r="C182" s="804">
        <v>0.125</v>
      </c>
      <c r="D182" s="804">
        <v>0.125</v>
      </c>
      <c r="E182" s="804">
        <v>0.11700000000000001</v>
      </c>
      <c r="F182" s="805">
        <v>0.13</v>
      </c>
    </row>
    <row r="183" spans="1:6" ht="14.25" thickBot="1">
      <c r="A183" s="714" t="s">
        <v>482</v>
      </c>
      <c r="B183" s="708" t="s">
        <v>388</v>
      </c>
      <c r="C183" s="804">
        <v>0.127</v>
      </c>
      <c r="D183" s="804">
        <v>0.127</v>
      </c>
      <c r="E183" s="804">
        <v>0.128</v>
      </c>
      <c r="F183" s="809"/>
    </row>
    <row r="184" spans="1:6" ht="14.25" thickBot="1">
      <c r="A184" s="714" t="s">
        <v>482</v>
      </c>
      <c r="B184" s="708" t="s">
        <v>395</v>
      </c>
      <c r="C184" s="804">
        <v>0.125</v>
      </c>
      <c r="D184" s="804">
        <v>0.125</v>
      </c>
      <c r="E184" s="804">
        <v>0.127</v>
      </c>
      <c r="F184" s="809"/>
    </row>
    <row r="185" spans="1:6" ht="14.25" thickBot="1">
      <c r="A185" s="714" t="s">
        <v>482</v>
      </c>
      <c r="B185" s="708" t="s">
        <v>649</v>
      </c>
      <c r="C185" s="804">
        <v>0.127</v>
      </c>
      <c r="D185" s="804">
        <v>0.127</v>
      </c>
      <c r="E185" s="804">
        <v>0.128</v>
      </c>
      <c r="F185" s="805">
        <v>0.13</v>
      </c>
    </row>
    <row r="186" spans="1:6" ht="24.75" thickBot="1">
      <c r="A186" s="714" t="s">
        <v>482</v>
      </c>
      <c r="B186" s="708" t="s">
        <v>650</v>
      </c>
      <c r="C186" s="810"/>
      <c r="D186" s="810"/>
      <c r="E186" s="810"/>
      <c r="F186" s="805">
        <v>0.05</v>
      </c>
    </row>
    <row r="187" spans="1:6" ht="14.25" thickBot="1">
      <c r="A187" s="714" t="s">
        <v>482</v>
      </c>
      <c r="B187" s="708" t="s">
        <v>651</v>
      </c>
      <c r="C187" s="810"/>
      <c r="D187" s="810"/>
      <c r="E187" s="810"/>
      <c r="F187" s="805">
        <v>0.05</v>
      </c>
    </row>
    <row r="188" spans="1:6" ht="14.25" thickBot="1">
      <c r="A188" s="714" t="s">
        <v>482</v>
      </c>
      <c r="B188" s="708" t="s">
        <v>652</v>
      </c>
      <c r="C188" s="810"/>
      <c r="D188" s="810"/>
      <c r="E188" s="810"/>
      <c r="F188" s="805">
        <v>0.05</v>
      </c>
    </row>
    <row r="189" spans="1:6" ht="24.75" thickBot="1">
      <c r="A189" s="714" t="s">
        <v>482</v>
      </c>
      <c r="B189" s="708" t="s">
        <v>653</v>
      </c>
      <c r="C189" s="810"/>
      <c r="D189" s="810"/>
      <c r="E189" s="810"/>
      <c r="F189" s="805">
        <v>0.05</v>
      </c>
    </row>
    <row r="190" spans="1:6" ht="24.75" thickBot="1">
      <c r="A190" s="714" t="s">
        <v>482</v>
      </c>
      <c r="B190" s="708" t="s">
        <v>654</v>
      </c>
      <c r="C190" s="810"/>
      <c r="D190" s="810"/>
      <c r="E190" s="810"/>
      <c r="F190" s="805">
        <v>0.05</v>
      </c>
    </row>
    <row r="191" spans="1:6" ht="24.75" thickBot="1">
      <c r="A191" s="714" t="s">
        <v>482</v>
      </c>
      <c r="B191" s="708" t="s">
        <v>655</v>
      </c>
      <c r="C191" s="810"/>
      <c r="D191" s="810"/>
      <c r="E191" s="810"/>
      <c r="F191" s="805">
        <v>0.05</v>
      </c>
    </row>
    <row r="192" spans="1:6" ht="24.75" thickBot="1">
      <c r="A192" s="714" t="s">
        <v>482</v>
      </c>
      <c r="B192" s="708" t="s">
        <v>656</v>
      </c>
      <c r="C192" s="810"/>
      <c r="D192" s="810"/>
      <c r="E192" s="810"/>
      <c r="F192" s="805">
        <v>0.05</v>
      </c>
    </row>
    <row r="193" spans="1:6" ht="24.75" thickBot="1">
      <c r="A193" s="714" t="s">
        <v>482</v>
      </c>
      <c r="B193" s="708" t="s">
        <v>657</v>
      </c>
      <c r="C193" s="810"/>
      <c r="D193" s="810"/>
      <c r="E193" s="810"/>
      <c r="F193" s="805">
        <v>0.05</v>
      </c>
    </row>
    <row r="194" spans="1:6" ht="24.75" thickBot="1">
      <c r="A194" s="714" t="s">
        <v>482</v>
      </c>
      <c r="B194" s="708" t="s">
        <v>658</v>
      </c>
      <c r="C194" s="810"/>
      <c r="D194" s="810"/>
      <c r="E194" s="810"/>
      <c r="F194" s="805">
        <v>0.05</v>
      </c>
    </row>
    <row r="195" spans="1:6" ht="14.25" thickBot="1">
      <c r="A195" s="714" t="s">
        <v>482</v>
      </c>
      <c r="B195" s="708" t="s">
        <v>659</v>
      </c>
      <c r="C195" s="810"/>
      <c r="D195" s="810"/>
      <c r="E195" s="810"/>
      <c r="F195" s="805">
        <v>0.05</v>
      </c>
    </row>
    <row r="196" spans="1:6" ht="24.75" thickBot="1">
      <c r="A196" s="714" t="s">
        <v>482</v>
      </c>
      <c r="B196" s="708" t="s">
        <v>660</v>
      </c>
      <c r="C196" s="810"/>
      <c r="D196" s="810"/>
      <c r="E196" s="810"/>
      <c r="F196" s="805">
        <v>0.05</v>
      </c>
    </row>
    <row r="197" spans="1:6" ht="24.75" thickBot="1">
      <c r="A197" s="714" t="s">
        <v>482</v>
      </c>
      <c r="B197" s="708" t="s">
        <v>661</v>
      </c>
      <c r="C197" s="810"/>
      <c r="D197" s="810"/>
      <c r="E197" s="810"/>
      <c r="F197" s="805">
        <v>0.05</v>
      </c>
    </row>
    <row r="198" spans="1:6" ht="24.75" thickBot="1">
      <c r="A198" s="714" t="s">
        <v>482</v>
      </c>
      <c r="B198" s="708" t="s">
        <v>662</v>
      </c>
      <c r="C198" s="810"/>
      <c r="D198" s="810"/>
      <c r="E198" s="810"/>
      <c r="F198" s="805">
        <v>0.05</v>
      </c>
    </row>
    <row r="199" spans="1:6" ht="24.75" thickBot="1">
      <c r="A199" s="714" t="s">
        <v>482</v>
      </c>
      <c r="B199" s="708" t="s">
        <v>663</v>
      </c>
      <c r="C199" s="810"/>
      <c r="D199" s="810"/>
      <c r="E199" s="810"/>
      <c r="F199" s="805">
        <v>0.05</v>
      </c>
    </row>
    <row r="200" spans="1:6" ht="24.75" thickBot="1">
      <c r="A200" s="714" t="s">
        <v>482</v>
      </c>
      <c r="B200" s="708" t="s">
        <v>664</v>
      </c>
      <c r="C200" s="810"/>
      <c r="D200" s="810"/>
      <c r="E200" s="810"/>
      <c r="F200" s="805">
        <v>0.05</v>
      </c>
    </row>
    <row r="201" spans="1:6" ht="24.75" thickBot="1">
      <c r="A201" s="714" t="s">
        <v>482</v>
      </c>
      <c r="B201" s="708" t="s">
        <v>665</v>
      </c>
      <c r="C201" s="810"/>
      <c r="D201" s="810"/>
      <c r="E201" s="810"/>
      <c r="F201" s="805">
        <v>0.05</v>
      </c>
    </row>
    <row r="202" spans="1:6" ht="24.75" thickBot="1">
      <c r="A202" s="714" t="s">
        <v>482</v>
      </c>
      <c r="B202" s="708" t="s">
        <v>666</v>
      </c>
      <c r="C202" s="810"/>
      <c r="D202" s="810"/>
      <c r="E202" s="810"/>
      <c r="F202" s="805">
        <v>0.05</v>
      </c>
    </row>
    <row r="203" spans="1:6" ht="24.75" thickBot="1">
      <c r="A203" s="714" t="s">
        <v>482</v>
      </c>
      <c r="B203" s="708" t="s">
        <v>667</v>
      </c>
      <c r="C203" s="810"/>
      <c r="D203" s="810"/>
      <c r="E203" s="810"/>
      <c r="F203" s="805">
        <v>0.05</v>
      </c>
    </row>
    <row r="204" spans="1:6" ht="14.25" thickBot="1">
      <c r="A204" s="714" t="s">
        <v>482</v>
      </c>
      <c r="B204" s="708" t="s">
        <v>668</v>
      </c>
      <c r="C204" s="810"/>
      <c r="D204" s="810"/>
      <c r="E204" s="810"/>
      <c r="F204" s="805">
        <v>0.05</v>
      </c>
    </row>
    <row r="205" spans="1:6" ht="14.25" thickBot="1">
      <c r="A205" s="731" t="s">
        <v>482</v>
      </c>
      <c r="B205" s="724" t="s">
        <v>669</v>
      </c>
      <c r="C205" s="807"/>
      <c r="D205" s="807"/>
      <c r="E205" s="807"/>
      <c r="F205" s="811">
        <v>0.05</v>
      </c>
    </row>
    <row r="206" spans="1:6" ht="14.25" thickBot="1">
      <c r="A206" s="714" t="s">
        <v>484</v>
      </c>
      <c r="B206" s="715" t="s">
        <v>670</v>
      </c>
      <c r="C206" s="802">
        <v>0.15</v>
      </c>
      <c r="D206" s="802">
        <v>0.15</v>
      </c>
      <c r="E206" s="802">
        <v>0.15</v>
      </c>
      <c r="F206" s="803">
        <v>0.15</v>
      </c>
    </row>
    <row r="207" spans="1:6" ht="14.25" thickBot="1">
      <c r="A207" s="714" t="s">
        <v>484</v>
      </c>
      <c r="B207" s="708" t="s">
        <v>142</v>
      </c>
      <c r="C207" s="804">
        <v>0.15</v>
      </c>
      <c r="D207" s="804">
        <v>0.15</v>
      </c>
      <c r="E207" s="804">
        <v>0.15</v>
      </c>
      <c r="F207" s="805">
        <v>0.14399999999999999</v>
      </c>
    </row>
    <row r="208" spans="1:6" ht="14.25" thickBot="1">
      <c r="A208" s="714" t="s">
        <v>484</v>
      </c>
      <c r="B208" s="708" t="s">
        <v>155</v>
      </c>
      <c r="C208" s="804">
        <v>0.15</v>
      </c>
      <c r="D208" s="804">
        <v>0.15</v>
      </c>
      <c r="E208" s="804">
        <v>0.15</v>
      </c>
      <c r="F208" s="805">
        <v>0.15</v>
      </c>
    </row>
    <row r="209" spans="1:6" ht="14.25" thickBot="1">
      <c r="A209" s="714" t="s">
        <v>484</v>
      </c>
      <c r="B209" s="708" t="s">
        <v>168</v>
      </c>
      <c r="C209" s="804">
        <v>0.13700000000000001</v>
      </c>
      <c r="D209" s="804">
        <v>0.13700000000000001</v>
      </c>
      <c r="E209" s="804">
        <v>0.14000000000000001</v>
      </c>
      <c r="F209" s="805">
        <v>0.11700000000000001</v>
      </c>
    </row>
    <row r="210" spans="1:6" ht="14.25" thickBot="1">
      <c r="A210" s="714" t="s">
        <v>484</v>
      </c>
      <c r="B210" s="708" t="s">
        <v>671</v>
      </c>
      <c r="C210" s="804">
        <v>0.15</v>
      </c>
      <c r="D210" s="804">
        <v>0.15</v>
      </c>
      <c r="E210" s="804">
        <v>0.15</v>
      </c>
      <c r="F210" s="805">
        <v>0.13800000000000001</v>
      </c>
    </row>
    <row r="211" spans="1:6" ht="14.25" thickBot="1">
      <c r="A211" s="714" t="s">
        <v>484</v>
      </c>
      <c r="B211" s="708" t="s">
        <v>672</v>
      </c>
      <c r="C211" s="804">
        <v>0.13700000000000001</v>
      </c>
      <c r="D211" s="804">
        <v>0.13500000000000001</v>
      </c>
      <c r="E211" s="804">
        <v>0.13600000000000001</v>
      </c>
      <c r="F211" s="805">
        <v>0.1</v>
      </c>
    </row>
    <row r="212" spans="1:6" ht="14.25" thickBot="1">
      <c r="A212" s="714" t="s">
        <v>484</v>
      </c>
      <c r="B212" s="708" t="s">
        <v>673</v>
      </c>
      <c r="C212" s="804">
        <v>0.15</v>
      </c>
      <c r="D212" s="804">
        <v>0.15</v>
      </c>
      <c r="E212" s="804">
        <v>0.14799999999999999</v>
      </c>
      <c r="F212" s="805">
        <v>0.13600000000000001</v>
      </c>
    </row>
    <row r="213" spans="1:6" ht="14.25" thickBot="1">
      <c r="A213" s="714" t="s">
        <v>484</v>
      </c>
      <c r="B213" s="708" t="s">
        <v>216</v>
      </c>
      <c r="C213" s="804">
        <v>0.15</v>
      </c>
      <c r="D213" s="804">
        <v>0.15</v>
      </c>
      <c r="E213" s="804">
        <v>0.15</v>
      </c>
      <c r="F213" s="805">
        <v>0.13800000000000001</v>
      </c>
    </row>
    <row r="214" spans="1:6" ht="14.25" thickBot="1">
      <c r="A214" s="714" t="s">
        <v>484</v>
      </c>
      <c r="B214" s="708" t="s">
        <v>229</v>
      </c>
      <c r="C214" s="804">
        <v>9.0999999999999998E-2</v>
      </c>
      <c r="D214" s="804">
        <v>0.09</v>
      </c>
      <c r="E214" s="804">
        <v>9.1999999999999998E-2</v>
      </c>
      <c r="F214" s="809"/>
    </row>
    <row r="215" spans="1:6" ht="14.25" thickBot="1">
      <c r="A215" s="714" t="s">
        <v>484</v>
      </c>
      <c r="B215" s="708" t="s">
        <v>674</v>
      </c>
      <c r="C215" s="804">
        <v>0.15</v>
      </c>
      <c r="D215" s="804">
        <v>0.15</v>
      </c>
      <c r="E215" s="804">
        <v>0.15</v>
      </c>
      <c r="F215" s="805">
        <v>0.15</v>
      </c>
    </row>
    <row r="216" spans="1:6" ht="14.25" thickBot="1">
      <c r="A216" s="714" t="s">
        <v>484</v>
      </c>
      <c r="B216" s="708" t="s">
        <v>251</v>
      </c>
      <c r="C216" s="804">
        <v>0.14699999999999999</v>
      </c>
      <c r="D216" s="804">
        <v>0.14699999999999999</v>
      </c>
      <c r="E216" s="804">
        <v>0.15</v>
      </c>
      <c r="F216" s="805">
        <v>0.14000000000000001</v>
      </c>
    </row>
    <row r="217" spans="1:6" ht="14.25" thickBot="1">
      <c r="A217" s="714" t="s">
        <v>484</v>
      </c>
      <c r="B217" s="708" t="s">
        <v>262</v>
      </c>
      <c r="C217" s="804">
        <v>0.15</v>
      </c>
      <c r="D217" s="804">
        <v>0.15</v>
      </c>
      <c r="E217" s="804">
        <v>0.15</v>
      </c>
      <c r="F217" s="805">
        <v>0.15</v>
      </c>
    </row>
    <row r="218" spans="1:6" ht="14.25" thickBot="1">
      <c r="A218" s="714" t="s">
        <v>484</v>
      </c>
      <c r="B218" s="708" t="s">
        <v>675</v>
      </c>
      <c r="C218" s="804">
        <v>0.15</v>
      </c>
      <c r="D218" s="804">
        <v>0.15</v>
      </c>
      <c r="E218" s="804">
        <v>0.15</v>
      </c>
      <c r="F218" s="805">
        <v>0.15</v>
      </c>
    </row>
    <row r="219" spans="1:6" ht="14.25" thickBot="1">
      <c r="A219" s="714" t="s">
        <v>484</v>
      </c>
      <c r="B219" s="708" t="s">
        <v>284</v>
      </c>
      <c r="C219" s="804">
        <v>0.15</v>
      </c>
      <c r="D219" s="804">
        <v>0.15</v>
      </c>
      <c r="E219" s="804">
        <v>0.15</v>
      </c>
      <c r="F219" s="805">
        <v>0.14799999999999999</v>
      </c>
    </row>
    <row r="220" spans="1:6" ht="14.25" thickBot="1">
      <c r="A220" s="714" t="s">
        <v>484</v>
      </c>
      <c r="B220" s="708" t="s">
        <v>676</v>
      </c>
      <c r="C220" s="804">
        <v>0.15</v>
      </c>
      <c r="D220" s="804">
        <v>0.15</v>
      </c>
      <c r="E220" s="804">
        <v>0.15</v>
      </c>
      <c r="F220" s="805">
        <v>0.15</v>
      </c>
    </row>
    <row r="221" spans="1:6" ht="14.25" thickBot="1">
      <c r="A221" s="714" t="s">
        <v>484</v>
      </c>
      <c r="B221" s="708" t="s">
        <v>305</v>
      </c>
      <c r="C221" s="804"/>
      <c r="D221" s="810"/>
      <c r="E221" s="810"/>
      <c r="F221" s="805">
        <v>0.14799999999999999</v>
      </c>
    </row>
    <row r="222" spans="1:6" ht="14.25" thickBot="1">
      <c r="A222" s="714" t="s">
        <v>484</v>
      </c>
      <c r="B222" s="708" t="s">
        <v>315</v>
      </c>
      <c r="C222" s="804"/>
      <c r="D222" s="810"/>
      <c r="E222" s="810"/>
      <c r="F222" s="805">
        <v>0.1</v>
      </c>
    </row>
    <row r="223" spans="1:6" ht="14.25" thickBot="1">
      <c r="A223" s="714" t="s">
        <v>484</v>
      </c>
      <c r="B223" s="708" t="s">
        <v>325</v>
      </c>
      <c r="C223" s="804"/>
      <c r="D223" s="810"/>
      <c r="E223" s="810"/>
      <c r="F223" s="805">
        <v>0.15</v>
      </c>
    </row>
    <row r="224" spans="1:6" ht="14.25" thickBot="1">
      <c r="A224" s="714" t="s">
        <v>484</v>
      </c>
      <c r="B224" s="708" t="s">
        <v>335</v>
      </c>
      <c r="C224" s="804"/>
      <c r="D224" s="810"/>
      <c r="E224" s="810"/>
      <c r="F224" s="805">
        <v>0.15</v>
      </c>
    </row>
    <row r="225" spans="1:6" ht="14.25" thickBot="1">
      <c r="A225" s="714" t="s">
        <v>484</v>
      </c>
      <c r="B225" s="708" t="s">
        <v>677</v>
      </c>
      <c r="C225" s="804">
        <v>0.15</v>
      </c>
      <c r="D225" s="804">
        <v>0.15</v>
      </c>
      <c r="E225" s="804">
        <v>0.15</v>
      </c>
      <c r="F225" s="805">
        <v>0.15</v>
      </c>
    </row>
    <row r="226" spans="1:6" ht="14.25" thickBot="1">
      <c r="A226" s="714" t="s">
        <v>484</v>
      </c>
      <c r="B226" s="708" t="s">
        <v>353</v>
      </c>
      <c r="C226" s="804">
        <v>0.15</v>
      </c>
      <c r="D226" s="804">
        <v>0.15</v>
      </c>
      <c r="E226" s="804">
        <v>0.15</v>
      </c>
      <c r="F226" s="805">
        <v>0.14799999999999999</v>
      </c>
    </row>
    <row r="227" spans="1:6" ht="14.25" thickBot="1">
      <c r="A227" s="714" t="s">
        <v>484</v>
      </c>
      <c r="B227" s="708" t="s">
        <v>678</v>
      </c>
      <c r="C227" s="804">
        <v>0.15</v>
      </c>
      <c r="D227" s="804">
        <v>0.15</v>
      </c>
      <c r="E227" s="804">
        <v>0.15</v>
      </c>
      <c r="F227" s="805">
        <v>0.15</v>
      </c>
    </row>
    <row r="228" spans="1:6" ht="14.25" thickBot="1">
      <c r="A228" s="714" t="s">
        <v>484</v>
      </c>
      <c r="B228" s="708" t="s">
        <v>368</v>
      </c>
      <c r="C228" s="804">
        <v>0.15</v>
      </c>
      <c r="D228" s="804">
        <v>0.15</v>
      </c>
      <c r="E228" s="804">
        <v>0.15</v>
      </c>
      <c r="F228" s="805">
        <v>0.15</v>
      </c>
    </row>
    <row r="229" spans="1:6" ht="14.25" thickBot="1">
      <c r="A229" s="714" t="s">
        <v>484</v>
      </c>
      <c r="B229" s="708" t="s">
        <v>375</v>
      </c>
      <c r="C229" s="804">
        <v>0.15</v>
      </c>
      <c r="D229" s="804">
        <v>0.15</v>
      </c>
      <c r="E229" s="804">
        <v>0.15</v>
      </c>
      <c r="F229" s="809"/>
    </row>
    <row r="230" spans="1:6" ht="14.25" thickBot="1">
      <c r="A230" s="714" t="s">
        <v>484</v>
      </c>
      <c r="B230" s="708" t="s">
        <v>382</v>
      </c>
      <c r="C230" s="804">
        <v>0.14499999999999999</v>
      </c>
      <c r="D230" s="804">
        <v>0.14499999999999999</v>
      </c>
      <c r="E230" s="804">
        <v>0.14399999999999999</v>
      </c>
      <c r="F230" s="809"/>
    </row>
    <row r="231" spans="1:6" ht="14.25" thickBot="1">
      <c r="A231" s="714" t="s">
        <v>484</v>
      </c>
      <c r="B231" s="708" t="s">
        <v>679</v>
      </c>
      <c r="C231" s="804">
        <v>0.128</v>
      </c>
      <c r="D231" s="804">
        <v>0.125</v>
      </c>
      <c r="E231" s="804">
        <v>0.13200000000000001</v>
      </c>
      <c r="F231" s="809"/>
    </row>
    <row r="232" spans="1:6" ht="14.25" thickBot="1">
      <c r="A232" s="714" t="s">
        <v>484</v>
      </c>
      <c r="B232" s="708" t="s">
        <v>680</v>
      </c>
      <c r="C232" s="804">
        <v>0.14499999999999999</v>
      </c>
      <c r="D232" s="804">
        <v>0.14399999999999999</v>
      </c>
      <c r="E232" s="804">
        <v>0.14599999999999999</v>
      </c>
      <c r="F232" s="805">
        <v>0.13800000000000001</v>
      </c>
    </row>
    <row r="233" spans="1:6" ht="14.25" thickBot="1">
      <c r="A233" s="714" t="s">
        <v>484</v>
      </c>
      <c r="B233" s="708" t="s">
        <v>681</v>
      </c>
      <c r="C233" s="804">
        <v>0.14499999999999999</v>
      </c>
      <c r="D233" s="804">
        <v>0.14299999999999999</v>
      </c>
      <c r="E233" s="804">
        <v>0.14199999999999999</v>
      </c>
      <c r="F233" s="809"/>
    </row>
    <row r="234" spans="1:6" ht="14.25" thickBot="1">
      <c r="A234" s="714" t="s">
        <v>484</v>
      </c>
      <c r="B234" s="708" t="s">
        <v>682</v>
      </c>
      <c r="C234" s="804">
        <v>0.14000000000000001</v>
      </c>
      <c r="D234" s="804">
        <v>0.14000000000000001</v>
      </c>
      <c r="E234" s="804">
        <v>0.14399999999999999</v>
      </c>
      <c r="F234" s="809"/>
    </row>
    <row r="235" spans="1:6" ht="14.25" thickBot="1">
      <c r="A235" s="714" t="s">
        <v>484</v>
      </c>
      <c r="B235" s="708" t="s">
        <v>683</v>
      </c>
      <c r="C235" s="804">
        <v>0.14099999999999999</v>
      </c>
      <c r="D235" s="804">
        <v>0.14199999999999999</v>
      </c>
      <c r="E235" s="804">
        <v>0.14499999999999999</v>
      </c>
      <c r="F235" s="805">
        <v>0.15</v>
      </c>
    </row>
    <row r="236" spans="1:6" ht="14.25" thickBot="1">
      <c r="A236" s="714" t="s">
        <v>484</v>
      </c>
      <c r="B236" s="708" t="s">
        <v>417</v>
      </c>
      <c r="C236" s="810"/>
      <c r="D236" s="810"/>
      <c r="E236" s="810"/>
      <c r="F236" s="805">
        <v>0.14299999999999999</v>
      </c>
    </row>
    <row r="237" spans="1:6" ht="24.75" thickBot="1">
      <c r="A237" s="714" t="s">
        <v>484</v>
      </c>
      <c r="B237" s="708" t="s">
        <v>684</v>
      </c>
      <c r="C237" s="810"/>
      <c r="D237" s="810"/>
      <c r="E237" s="810"/>
      <c r="F237" s="805">
        <v>0.05</v>
      </c>
    </row>
    <row r="238" spans="1:6" ht="24.75" thickBot="1">
      <c r="A238" s="714" t="s">
        <v>484</v>
      </c>
      <c r="B238" s="708" t="s">
        <v>685</v>
      </c>
      <c r="C238" s="810"/>
      <c r="D238" s="810"/>
      <c r="E238" s="810"/>
      <c r="F238" s="805">
        <v>0.05</v>
      </c>
    </row>
    <row r="239" spans="1:6" ht="24.75" thickBot="1">
      <c r="A239" s="714" t="s">
        <v>484</v>
      </c>
      <c r="B239" s="708" t="s">
        <v>686</v>
      </c>
      <c r="C239" s="810"/>
      <c r="D239" s="810"/>
      <c r="E239" s="810"/>
      <c r="F239" s="805">
        <v>0.05</v>
      </c>
    </row>
    <row r="240" spans="1:6" ht="24.75" thickBot="1">
      <c r="A240" s="714" t="s">
        <v>484</v>
      </c>
      <c r="B240" s="708" t="s">
        <v>687</v>
      </c>
      <c r="C240" s="810"/>
      <c r="D240" s="810"/>
      <c r="E240" s="810"/>
      <c r="F240" s="805">
        <v>0.05</v>
      </c>
    </row>
    <row r="241" spans="1:6" ht="24.75" thickBot="1">
      <c r="A241" s="714" t="s">
        <v>484</v>
      </c>
      <c r="B241" s="708" t="s">
        <v>688</v>
      </c>
      <c r="C241" s="810"/>
      <c r="D241" s="810"/>
      <c r="E241" s="810"/>
      <c r="F241" s="805">
        <v>0.05</v>
      </c>
    </row>
    <row r="242" spans="1:6" ht="24.75" thickBot="1">
      <c r="A242" s="714" t="s">
        <v>484</v>
      </c>
      <c r="B242" s="708" t="s">
        <v>689</v>
      </c>
      <c r="C242" s="810"/>
      <c r="D242" s="810"/>
      <c r="E242" s="810"/>
      <c r="F242" s="805">
        <v>0.05</v>
      </c>
    </row>
    <row r="243" spans="1:6" ht="24.75" thickBot="1">
      <c r="A243" s="714" t="s">
        <v>484</v>
      </c>
      <c r="B243" s="708" t="s">
        <v>690</v>
      </c>
      <c r="C243" s="810"/>
      <c r="D243" s="810"/>
      <c r="E243" s="810"/>
      <c r="F243" s="805">
        <v>0.05</v>
      </c>
    </row>
    <row r="244" spans="1:6" ht="24.75" thickBot="1">
      <c r="A244" s="731" t="s">
        <v>484</v>
      </c>
      <c r="B244" s="724" t="s">
        <v>691</v>
      </c>
      <c r="C244" s="807"/>
      <c r="D244" s="807"/>
      <c r="E244" s="807"/>
      <c r="F244" s="811">
        <v>0.05</v>
      </c>
    </row>
    <row r="245" spans="1:6" ht="14.25" thickBot="1">
      <c r="A245" s="714" t="s">
        <v>486</v>
      </c>
      <c r="B245" s="715" t="s">
        <v>692</v>
      </c>
      <c r="C245" s="802">
        <v>0.15</v>
      </c>
      <c r="D245" s="802">
        <v>0.15</v>
      </c>
      <c r="E245" s="802">
        <v>0.15</v>
      </c>
      <c r="F245" s="803">
        <v>0.14299999999999999</v>
      </c>
    </row>
    <row r="246" spans="1:6" ht="14.25" thickBot="1">
      <c r="A246" s="714" t="s">
        <v>486</v>
      </c>
      <c r="B246" s="708" t="s">
        <v>143</v>
      </c>
      <c r="C246" s="804">
        <v>0.15</v>
      </c>
      <c r="D246" s="804">
        <v>0.15</v>
      </c>
      <c r="E246" s="804">
        <v>0.15</v>
      </c>
      <c r="F246" s="805">
        <v>0.114</v>
      </c>
    </row>
    <row r="247" spans="1:6" ht="14.25" thickBot="1">
      <c r="A247" s="714" t="s">
        <v>486</v>
      </c>
      <c r="B247" s="708" t="s">
        <v>693</v>
      </c>
      <c r="C247" s="804">
        <v>0.15</v>
      </c>
      <c r="D247" s="804">
        <v>0.15</v>
      </c>
      <c r="E247" s="804">
        <v>0.15</v>
      </c>
      <c r="F247" s="805">
        <v>0.15</v>
      </c>
    </row>
    <row r="248" spans="1:6" ht="14.25" thickBot="1">
      <c r="A248" s="714" t="s">
        <v>486</v>
      </c>
      <c r="B248" s="708" t="s">
        <v>694</v>
      </c>
      <c r="C248" s="804">
        <v>0.15</v>
      </c>
      <c r="D248" s="804">
        <v>0.15</v>
      </c>
      <c r="E248" s="804">
        <v>0.15</v>
      </c>
      <c r="F248" s="805">
        <v>0.14000000000000001</v>
      </c>
    </row>
    <row r="249" spans="1:6" ht="14.25" thickBot="1">
      <c r="A249" s="714" t="s">
        <v>486</v>
      </c>
      <c r="B249" s="708" t="s">
        <v>695</v>
      </c>
      <c r="C249" s="804">
        <v>0.15</v>
      </c>
      <c r="D249" s="804">
        <v>0.14899999999999999</v>
      </c>
      <c r="E249" s="804">
        <v>0.15</v>
      </c>
      <c r="F249" s="805">
        <v>0.1</v>
      </c>
    </row>
    <row r="250" spans="1:6" ht="14.25" thickBot="1">
      <c r="A250" s="714" t="s">
        <v>486</v>
      </c>
      <c r="B250" s="708" t="s">
        <v>696</v>
      </c>
      <c r="C250" s="804">
        <v>0.15</v>
      </c>
      <c r="D250" s="804">
        <v>0.15</v>
      </c>
      <c r="E250" s="804">
        <v>0.15</v>
      </c>
      <c r="F250" s="805">
        <v>0.14399999999999999</v>
      </c>
    </row>
    <row r="251" spans="1:6" ht="14.25" thickBot="1">
      <c r="A251" s="714" t="s">
        <v>486</v>
      </c>
      <c r="B251" s="708" t="s">
        <v>205</v>
      </c>
      <c r="C251" s="804">
        <v>0.15</v>
      </c>
      <c r="D251" s="804">
        <v>0.15</v>
      </c>
      <c r="E251" s="804">
        <v>0.15</v>
      </c>
      <c r="F251" s="805">
        <v>0.14299999999999999</v>
      </c>
    </row>
    <row r="252" spans="1:6" ht="14.25" thickBot="1">
      <c r="A252" s="714" t="s">
        <v>486</v>
      </c>
      <c r="B252" s="708" t="s">
        <v>217</v>
      </c>
      <c r="C252" s="804">
        <v>0.15</v>
      </c>
      <c r="D252" s="804">
        <v>0.15</v>
      </c>
      <c r="E252" s="804">
        <v>0.15</v>
      </c>
      <c r="F252" s="805">
        <v>0.1</v>
      </c>
    </row>
    <row r="253" spans="1:6" ht="14.25" thickBot="1">
      <c r="A253" s="714" t="s">
        <v>486</v>
      </c>
      <c r="B253" s="708" t="s">
        <v>230</v>
      </c>
      <c r="C253" s="804">
        <v>0.15</v>
      </c>
      <c r="D253" s="804">
        <v>0.15</v>
      </c>
      <c r="E253" s="804">
        <v>0.15</v>
      </c>
      <c r="F253" s="805">
        <v>0.1</v>
      </c>
    </row>
    <row r="254" spans="1:6" ht="14.25" thickBot="1">
      <c r="A254" s="714" t="s">
        <v>486</v>
      </c>
      <c r="B254" s="708" t="s">
        <v>241</v>
      </c>
      <c r="C254" s="810"/>
      <c r="D254" s="810"/>
      <c r="E254" s="810"/>
      <c r="F254" s="805">
        <v>0.15</v>
      </c>
    </row>
    <row r="255" spans="1:6" ht="14.25" thickBot="1">
      <c r="A255" s="714" t="s">
        <v>486</v>
      </c>
      <c r="B255" s="708" t="s">
        <v>252</v>
      </c>
      <c r="C255" s="810"/>
      <c r="D255" s="810"/>
      <c r="E255" s="810"/>
      <c r="F255" s="805">
        <v>0.14299999999999999</v>
      </c>
    </row>
    <row r="256" spans="1:6" ht="14.25" thickBot="1">
      <c r="A256" s="714" t="s">
        <v>486</v>
      </c>
      <c r="B256" s="708" t="s">
        <v>697</v>
      </c>
      <c r="C256" s="804">
        <v>0.14599999999999999</v>
      </c>
      <c r="D256" s="804">
        <v>0.14699999999999999</v>
      </c>
      <c r="E256" s="804">
        <v>0.15</v>
      </c>
      <c r="F256" s="805">
        <v>0.13200000000000001</v>
      </c>
    </row>
    <row r="257" spans="1:6" ht="14.25" thickBot="1">
      <c r="A257" s="714" t="s">
        <v>486</v>
      </c>
      <c r="B257" s="708" t="s">
        <v>274</v>
      </c>
      <c r="C257" s="804">
        <v>0.15</v>
      </c>
      <c r="D257" s="804">
        <v>0.15</v>
      </c>
      <c r="E257" s="804">
        <v>0.15</v>
      </c>
      <c r="F257" s="805">
        <v>0.13900000000000001</v>
      </c>
    </row>
    <row r="258" spans="1:6" ht="14.25" thickBot="1">
      <c r="A258" s="714" t="s">
        <v>486</v>
      </c>
      <c r="B258" s="708" t="s">
        <v>285</v>
      </c>
      <c r="C258" s="804">
        <v>0.15</v>
      </c>
      <c r="D258" s="804">
        <v>0.15</v>
      </c>
      <c r="E258" s="804">
        <v>0.15</v>
      </c>
      <c r="F258" s="805">
        <v>0.13</v>
      </c>
    </row>
    <row r="259" spans="1:6" ht="14.25" thickBot="1">
      <c r="A259" s="714" t="s">
        <v>486</v>
      </c>
      <c r="B259" s="708" t="s">
        <v>698</v>
      </c>
      <c r="C259" s="804">
        <v>0.14799999999999999</v>
      </c>
      <c r="D259" s="804">
        <v>0.14899999999999999</v>
      </c>
      <c r="E259" s="804">
        <v>0.15</v>
      </c>
      <c r="F259" s="805">
        <v>0.13700000000000001</v>
      </c>
    </row>
    <row r="260" spans="1:6" ht="14.25" thickBot="1">
      <c r="A260" s="714" t="s">
        <v>486</v>
      </c>
      <c r="B260" s="708" t="s">
        <v>306</v>
      </c>
      <c r="C260" s="804">
        <v>0.15</v>
      </c>
      <c r="D260" s="804">
        <v>0.15</v>
      </c>
      <c r="E260" s="804">
        <v>0.15</v>
      </c>
      <c r="F260" s="805">
        <v>0.14199999999999999</v>
      </c>
    </row>
    <row r="261" spans="1:6" ht="14.25" thickBot="1">
      <c r="A261" s="714" t="s">
        <v>486</v>
      </c>
      <c r="B261" s="708" t="s">
        <v>316</v>
      </c>
      <c r="C261" s="804">
        <v>0.15</v>
      </c>
      <c r="D261" s="804">
        <v>0.15</v>
      </c>
      <c r="E261" s="804">
        <v>0.14899999999999999</v>
      </c>
      <c r="F261" s="805">
        <v>0.14799999999999999</v>
      </c>
    </row>
    <row r="262" spans="1:6" ht="14.25" thickBot="1">
      <c r="A262" s="714" t="s">
        <v>486</v>
      </c>
      <c r="B262" s="708" t="s">
        <v>326</v>
      </c>
      <c r="C262" s="804">
        <v>0.15</v>
      </c>
      <c r="D262" s="804">
        <v>0.15</v>
      </c>
      <c r="E262" s="804">
        <v>0.15</v>
      </c>
      <c r="F262" s="809"/>
    </row>
    <row r="263" spans="1:6" ht="14.25" thickBot="1">
      <c r="A263" s="714" t="s">
        <v>486</v>
      </c>
      <c r="B263" s="708" t="s">
        <v>699</v>
      </c>
      <c r="C263" s="804">
        <v>0.14899999999999999</v>
      </c>
      <c r="D263" s="804">
        <v>0.14899999999999999</v>
      </c>
      <c r="E263" s="804">
        <v>0.15</v>
      </c>
      <c r="F263" s="805">
        <v>0.13</v>
      </c>
    </row>
    <row r="264" spans="1:6" ht="14.25" thickBot="1">
      <c r="A264" s="714" t="s">
        <v>486</v>
      </c>
      <c r="B264" s="708" t="s">
        <v>345</v>
      </c>
      <c r="C264" s="804">
        <v>0.14799999999999999</v>
      </c>
      <c r="D264" s="804">
        <v>0.14699999999999999</v>
      </c>
      <c r="E264" s="804">
        <v>0.15</v>
      </c>
      <c r="F264" s="805">
        <v>7.8E-2</v>
      </c>
    </row>
    <row r="265" spans="1:6" ht="14.25" thickBot="1">
      <c r="A265" s="714" t="s">
        <v>486</v>
      </c>
      <c r="B265" s="708" t="s">
        <v>354</v>
      </c>
      <c r="C265" s="804">
        <v>0.15</v>
      </c>
      <c r="D265" s="804">
        <v>0.15</v>
      </c>
      <c r="E265" s="804">
        <v>0.15</v>
      </c>
      <c r="F265" s="805">
        <v>7.3999999999999996E-2</v>
      </c>
    </row>
    <row r="266" spans="1:6" ht="14.25" thickBot="1">
      <c r="A266" s="714" t="s">
        <v>486</v>
      </c>
      <c r="B266" s="708" t="s">
        <v>362</v>
      </c>
      <c r="C266" s="804">
        <v>0.14699999999999999</v>
      </c>
      <c r="D266" s="804">
        <v>0.14699999999999999</v>
      </c>
      <c r="E266" s="804">
        <v>0.15</v>
      </c>
      <c r="F266" s="805">
        <v>0.14299999999999999</v>
      </c>
    </row>
    <row r="267" spans="1:6" ht="14.25" thickBot="1">
      <c r="A267" s="714" t="s">
        <v>486</v>
      </c>
      <c r="B267" s="708" t="s">
        <v>369</v>
      </c>
      <c r="C267" s="804">
        <v>0.14199999999999999</v>
      </c>
      <c r="D267" s="804">
        <v>0.14299999999999999</v>
      </c>
      <c r="E267" s="804">
        <v>0.15</v>
      </c>
      <c r="F267" s="809"/>
    </row>
    <row r="268" spans="1:6" ht="14.25" thickBot="1">
      <c r="A268" s="714" t="s">
        <v>486</v>
      </c>
      <c r="B268" s="708" t="s">
        <v>700</v>
      </c>
      <c r="C268" s="804">
        <v>0.15</v>
      </c>
      <c r="D268" s="804">
        <v>0.15</v>
      </c>
      <c r="E268" s="804">
        <v>0.15</v>
      </c>
      <c r="F268" s="805">
        <v>0.13</v>
      </c>
    </row>
    <row r="269" spans="1:6" ht="14.25" thickBot="1">
      <c r="A269" s="714" t="s">
        <v>486</v>
      </c>
      <c r="B269" s="708" t="s">
        <v>383</v>
      </c>
      <c r="C269" s="804">
        <v>0.15</v>
      </c>
      <c r="D269" s="804">
        <v>0.15</v>
      </c>
      <c r="E269" s="804">
        <v>0.15</v>
      </c>
      <c r="F269" s="805">
        <v>0.14299999999999999</v>
      </c>
    </row>
    <row r="270" spans="1:6" ht="14.25" thickBot="1">
      <c r="A270" s="714" t="s">
        <v>486</v>
      </c>
      <c r="B270" s="708" t="s">
        <v>390</v>
      </c>
      <c r="C270" s="804">
        <v>0.14499999999999999</v>
      </c>
      <c r="D270" s="804">
        <v>0.14499999999999999</v>
      </c>
      <c r="E270" s="804">
        <v>0.15</v>
      </c>
      <c r="F270" s="805">
        <v>0.14699999999999999</v>
      </c>
    </row>
    <row r="271" spans="1:6" ht="14.25" thickBot="1">
      <c r="A271" s="714" t="s">
        <v>486</v>
      </c>
      <c r="B271" s="708" t="s">
        <v>397</v>
      </c>
      <c r="C271" s="804">
        <v>0.15</v>
      </c>
      <c r="D271" s="804">
        <v>0.15</v>
      </c>
      <c r="E271" s="804">
        <v>0.15</v>
      </c>
      <c r="F271" s="805">
        <v>0.13800000000000001</v>
      </c>
    </row>
    <row r="272" spans="1:6" ht="14.25" thickBot="1">
      <c r="A272" s="714" t="s">
        <v>486</v>
      </c>
      <c r="B272" s="708" t="s">
        <v>404</v>
      </c>
      <c r="C272" s="810"/>
      <c r="D272" s="810"/>
      <c r="E272" s="810"/>
      <c r="F272" s="805">
        <v>0.14000000000000001</v>
      </c>
    </row>
    <row r="273" spans="1:6" ht="14.25" thickBot="1">
      <c r="A273" s="714" t="s">
        <v>486</v>
      </c>
      <c r="B273" s="708" t="s">
        <v>701</v>
      </c>
      <c r="C273" s="804">
        <v>0.14199999999999999</v>
      </c>
      <c r="D273" s="804">
        <v>0.14299999999999999</v>
      </c>
      <c r="E273" s="804">
        <v>0.15</v>
      </c>
      <c r="F273" s="805">
        <v>0.1</v>
      </c>
    </row>
    <row r="274" spans="1:6" ht="14.25" thickBot="1">
      <c r="A274" s="714" t="s">
        <v>486</v>
      </c>
      <c r="B274" s="708" t="s">
        <v>702</v>
      </c>
      <c r="C274" s="804">
        <v>0.14799999999999999</v>
      </c>
      <c r="D274" s="804">
        <v>0.14799999999999999</v>
      </c>
      <c r="E274" s="804">
        <v>0.15</v>
      </c>
      <c r="F274" s="805">
        <v>6.7000000000000004E-2</v>
      </c>
    </row>
    <row r="275" spans="1:6" ht="14.25" thickBot="1">
      <c r="A275" s="714" t="s">
        <v>486</v>
      </c>
      <c r="B275" s="708" t="s">
        <v>703</v>
      </c>
      <c r="C275" s="804">
        <v>0.15</v>
      </c>
      <c r="D275" s="804">
        <v>0.15</v>
      </c>
      <c r="E275" s="804">
        <v>0.15</v>
      </c>
      <c r="F275" s="805">
        <v>0.15</v>
      </c>
    </row>
    <row r="276" spans="1:6" ht="14.25" thickBot="1">
      <c r="A276" s="714" t="s">
        <v>486</v>
      </c>
      <c r="B276" s="708" t="s">
        <v>704</v>
      </c>
      <c r="C276" s="804">
        <v>0.14499999999999999</v>
      </c>
      <c r="D276" s="804">
        <v>0.14299999999999999</v>
      </c>
      <c r="E276" s="804">
        <v>0.15</v>
      </c>
      <c r="F276" s="805">
        <v>5.8999999999999997E-2</v>
      </c>
    </row>
    <row r="277" spans="1:6" ht="14.25" thickBot="1">
      <c r="A277" s="714" t="s">
        <v>486</v>
      </c>
      <c r="B277" s="708" t="s">
        <v>705</v>
      </c>
      <c r="C277" s="804">
        <v>0.15</v>
      </c>
      <c r="D277" s="804">
        <v>0.15</v>
      </c>
      <c r="E277" s="804">
        <v>0.15</v>
      </c>
      <c r="F277" s="805">
        <v>0.121</v>
      </c>
    </row>
    <row r="278" spans="1:6" ht="14.25" thickBot="1">
      <c r="A278" s="714" t="s">
        <v>486</v>
      </c>
      <c r="B278" s="708" t="s">
        <v>706</v>
      </c>
      <c r="C278" s="804">
        <v>0.15</v>
      </c>
      <c r="D278" s="804">
        <v>0.15</v>
      </c>
      <c r="E278" s="804">
        <v>0.15</v>
      </c>
      <c r="F278" s="805">
        <v>0.13800000000000001</v>
      </c>
    </row>
    <row r="279" spans="1:6" ht="24.75" thickBot="1">
      <c r="A279" s="714" t="s">
        <v>486</v>
      </c>
      <c r="B279" s="708" t="s">
        <v>707</v>
      </c>
      <c r="C279" s="810"/>
      <c r="D279" s="810"/>
      <c r="E279" s="810"/>
      <c r="F279" s="805">
        <v>0.05</v>
      </c>
    </row>
    <row r="280" spans="1:6" ht="24.75" thickBot="1">
      <c r="A280" s="714" t="s">
        <v>486</v>
      </c>
      <c r="B280" s="708" t="s">
        <v>708</v>
      </c>
      <c r="C280" s="810"/>
      <c r="D280" s="810"/>
      <c r="E280" s="810"/>
      <c r="F280" s="805">
        <v>0.05</v>
      </c>
    </row>
    <row r="281" spans="1:6" ht="24.75" thickBot="1">
      <c r="A281" s="714" t="s">
        <v>486</v>
      </c>
      <c r="B281" s="708" t="s">
        <v>709</v>
      </c>
      <c r="C281" s="810"/>
      <c r="D281" s="810"/>
      <c r="E281" s="810"/>
      <c r="F281" s="805">
        <v>0.05</v>
      </c>
    </row>
    <row r="282" spans="1:6" ht="24.75" thickBot="1">
      <c r="A282" s="714" t="s">
        <v>486</v>
      </c>
      <c r="B282" s="708" t="s">
        <v>710</v>
      </c>
      <c r="C282" s="810"/>
      <c r="D282" s="810"/>
      <c r="E282" s="810"/>
      <c r="F282" s="805">
        <v>0.05</v>
      </c>
    </row>
    <row r="283" spans="1:6" ht="24.75" thickBot="1">
      <c r="A283" s="714" t="s">
        <v>486</v>
      </c>
      <c r="B283" s="708" t="s">
        <v>711</v>
      </c>
      <c r="C283" s="810"/>
      <c r="D283" s="810"/>
      <c r="E283" s="810"/>
      <c r="F283" s="805">
        <v>0.05</v>
      </c>
    </row>
    <row r="284" spans="1:6" ht="24.75" thickBot="1">
      <c r="A284" s="714" t="s">
        <v>486</v>
      </c>
      <c r="B284" s="708" t="s">
        <v>712</v>
      </c>
      <c r="C284" s="810"/>
      <c r="D284" s="810"/>
      <c r="E284" s="810"/>
      <c r="F284" s="805">
        <v>0.05</v>
      </c>
    </row>
    <row r="285" spans="1:6" ht="24.75" thickBot="1">
      <c r="A285" s="714" t="s">
        <v>486</v>
      </c>
      <c r="B285" s="708" t="s">
        <v>713</v>
      </c>
      <c r="C285" s="810"/>
      <c r="D285" s="810"/>
      <c r="E285" s="810"/>
      <c r="F285" s="805">
        <v>0.05</v>
      </c>
    </row>
    <row r="286" spans="1:6" ht="24.75" thickBot="1">
      <c r="A286" s="714" t="s">
        <v>486</v>
      </c>
      <c r="B286" s="708" t="s">
        <v>714</v>
      </c>
      <c r="C286" s="810"/>
      <c r="D286" s="810"/>
      <c r="E286" s="810"/>
      <c r="F286" s="805">
        <v>0.05</v>
      </c>
    </row>
    <row r="287" spans="1:6" ht="24.75" thickBot="1">
      <c r="A287" s="714" t="s">
        <v>486</v>
      </c>
      <c r="B287" s="708" t="s">
        <v>715</v>
      </c>
      <c r="C287" s="810"/>
      <c r="D287" s="810"/>
      <c r="E287" s="810"/>
      <c r="F287" s="805">
        <v>0.05</v>
      </c>
    </row>
    <row r="288" spans="1:6" ht="24.75" thickBot="1">
      <c r="A288" s="714" t="s">
        <v>486</v>
      </c>
      <c r="B288" s="708" t="s">
        <v>716</v>
      </c>
      <c r="C288" s="810"/>
      <c r="D288" s="810"/>
      <c r="E288" s="810"/>
      <c r="F288" s="805">
        <v>0.05</v>
      </c>
    </row>
    <row r="289" spans="1:6" ht="24.75" thickBot="1">
      <c r="A289" s="731" t="s">
        <v>486</v>
      </c>
      <c r="B289" s="724" t="s">
        <v>717</v>
      </c>
      <c r="C289" s="807"/>
      <c r="D289" s="807"/>
      <c r="E289" s="807"/>
      <c r="F289" s="811">
        <v>0.05</v>
      </c>
    </row>
    <row r="290" spans="1:6" ht="14.25" thickBot="1">
      <c r="A290" s="714" t="s">
        <v>490</v>
      </c>
      <c r="B290" s="715" t="s">
        <v>718</v>
      </c>
      <c r="C290" s="802">
        <v>0.15</v>
      </c>
      <c r="D290" s="802">
        <v>0.15</v>
      </c>
      <c r="E290" s="802">
        <v>0.15</v>
      </c>
      <c r="F290" s="819"/>
    </row>
    <row r="291" spans="1:6" ht="14.25" thickBot="1">
      <c r="A291" s="714" t="s">
        <v>490</v>
      </c>
      <c r="B291" s="708" t="s">
        <v>144</v>
      </c>
      <c r="C291" s="804">
        <v>0.15</v>
      </c>
      <c r="D291" s="804">
        <v>0.15</v>
      </c>
      <c r="E291" s="804">
        <v>0.15</v>
      </c>
      <c r="F291" s="809"/>
    </row>
    <row r="292" spans="1:6" ht="14.25" thickBot="1">
      <c r="A292" s="714" t="s">
        <v>490</v>
      </c>
      <c r="B292" s="708" t="s">
        <v>719</v>
      </c>
      <c r="C292" s="804">
        <v>0.15</v>
      </c>
      <c r="D292" s="804">
        <v>0.15</v>
      </c>
      <c r="E292" s="804">
        <v>0.15</v>
      </c>
      <c r="F292" s="805">
        <v>0.14699999999999999</v>
      </c>
    </row>
    <row r="293" spans="1:6" ht="14.25" thickBot="1">
      <c r="A293" s="714" t="s">
        <v>490</v>
      </c>
      <c r="B293" s="708" t="s">
        <v>720</v>
      </c>
      <c r="C293" s="810"/>
      <c r="D293" s="810"/>
      <c r="E293" s="810"/>
      <c r="F293" s="805">
        <v>0.1</v>
      </c>
    </row>
    <row r="294" spans="1:6" ht="14.25" thickBot="1">
      <c r="A294" s="714" t="s">
        <v>490</v>
      </c>
      <c r="B294" s="708" t="s">
        <v>721</v>
      </c>
      <c r="C294" s="804">
        <v>0.15</v>
      </c>
      <c r="D294" s="804">
        <v>0.15</v>
      </c>
      <c r="E294" s="804">
        <v>0.15</v>
      </c>
      <c r="F294" s="805">
        <v>0.15</v>
      </c>
    </row>
    <row r="295" spans="1:6" ht="14.25" thickBot="1">
      <c r="A295" s="714" t="s">
        <v>490</v>
      </c>
      <c r="B295" s="708" t="s">
        <v>182</v>
      </c>
      <c r="C295" s="804">
        <v>0.15</v>
      </c>
      <c r="D295" s="804">
        <v>0.15</v>
      </c>
      <c r="E295" s="804">
        <v>0.15</v>
      </c>
      <c r="F295" s="805">
        <v>0.15</v>
      </c>
    </row>
    <row r="296" spans="1:6" ht="14.25" thickBot="1">
      <c r="A296" s="714" t="s">
        <v>490</v>
      </c>
      <c r="B296" s="708" t="s">
        <v>722</v>
      </c>
      <c r="C296" s="804">
        <v>0.15</v>
      </c>
      <c r="D296" s="804">
        <v>0.15</v>
      </c>
      <c r="E296" s="804">
        <v>0.15</v>
      </c>
      <c r="F296" s="805">
        <v>0.15</v>
      </c>
    </row>
    <row r="297" spans="1:6" ht="14.25" thickBot="1">
      <c r="A297" s="714" t="s">
        <v>490</v>
      </c>
      <c r="B297" s="708" t="s">
        <v>723</v>
      </c>
      <c r="C297" s="804">
        <v>0.14799999999999999</v>
      </c>
      <c r="D297" s="804">
        <v>0.14899999999999999</v>
      </c>
      <c r="E297" s="804">
        <v>0.15</v>
      </c>
      <c r="F297" s="805">
        <v>0.13700000000000001</v>
      </c>
    </row>
    <row r="298" spans="1:6" ht="14.25" thickBot="1">
      <c r="A298" s="714" t="s">
        <v>490</v>
      </c>
      <c r="B298" s="708" t="s">
        <v>218</v>
      </c>
      <c r="C298" s="804">
        <v>0.13400000000000001</v>
      </c>
      <c r="D298" s="804">
        <v>0.13400000000000001</v>
      </c>
      <c r="E298" s="804">
        <v>0.14499999999999999</v>
      </c>
      <c r="F298" s="805">
        <v>0.14799999999999999</v>
      </c>
    </row>
    <row r="299" spans="1:6" ht="14.25" thickBot="1">
      <c r="A299" s="714" t="s">
        <v>490</v>
      </c>
      <c r="B299" s="708" t="s">
        <v>231</v>
      </c>
      <c r="C299" s="804">
        <v>0.15</v>
      </c>
      <c r="D299" s="804">
        <v>0.15</v>
      </c>
      <c r="E299" s="804">
        <v>0.15</v>
      </c>
      <c r="F299" s="809"/>
    </row>
    <row r="300" spans="1:6" ht="14.25" thickBot="1">
      <c r="A300" s="714" t="s">
        <v>490</v>
      </c>
      <c r="B300" s="708" t="s">
        <v>724</v>
      </c>
      <c r="C300" s="804">
        <v>0.15</v>
      </c>
      <c r="D300" s="804">
        <v>0.15</v>
      </c>
      <c r="E300" s="804">
        <v>0.15</v>
      </c>
      <c r="F300" s="805">
        <v>0.15</v>
      </c>
    </row>
    <row r="301" spans="1:6" ht="14.25" thickBot="1">
      <c r="A301" s="714" t="s">
        <v>490</v>
      </c>
      <c r="B301" s="708" t="s">
        <v>253</v>
      </c>
      <c r="C301" s="804">
        <v>0.15</v>
      </c>
      <c r="D301" s="804">
        <v>0.15</v>
      </c>
      <c r="E301" s="804">
        <v>0.15</v>
      </c>
      <c r="F301" s="809"/>
    </row>
    <row r="302" spans="1:6" ht="14.25" thickBot="1">
      <c r="A302" s="714" t="s">
        <v>490</v>
      </c>
      <c r="B302" s="708" t="s">
        <v>725</v>
      </c>
      <c r="C302" s="804">
        <v>0.15</v>
      </c>
      <c r="D302" s="804">
        <v>0.15</v>
      </c>
      <c r="E302" s="804">
        <v>0.15</v>
      </c>
      <c r="F302" s="805">
        <v>0.15</v>
      </c>
    </row>
    <row r="303" spans="1:6" ht="14.25" thickBot="1">
      <c r="A303" s="714" t="s">
        <v>490</v>
      </c>
      <c r="B303" s="708" t="s">
        <v>275</v>
      </c>
      <c r="C303" s="804">
        <v>0.15</v>
      </c>
      <c r="D303" s="804">
        <v>0.15</v>
      </c>
      <c r="E303" s="804">
        <v>0.15</v>
      </c>
      <c r="F303" s="805">
        <v>0.15</v>
      </c>
    </row>
    <row r="304" spans="1:6" ht="14.25" thickBot="1">
      <c r="A304" s="714" t="s">
        <v>490</v>
      </c>
      <c r="B304" s="708" t="s">
        <v>286</v>
      </c>
      <c r="C304" s="804">
        <v>0.15</v>
      </c>
      <c r="D304" s="804">
        <v>0.15</v>
      </c>
      <c r="E304" s="804">
        <v>0.15</v>
      </c>
      <c r="F304" s="809"/>
    </row>
    <row r="305" spans="1:6" ht="14.25" thickBot="1">
      <c r="A305" s="714" t="s">
        <v>490</v>
      </c>
      <c r="B305" s="708" t="s">
        <v>726</v>
      </c>
      <c r="C305" s="804">
        <v>0.15</v>
      </c>
      <c r="D305" s="804">
        <v>0.15</v>
      </c>
      <c r="E305" s="804">
        <v>0.15</v>
      </c>
      <c r="F305" s="805">
        <v>0.14000000000000001</v>
      </c>
    </row>
    <row r="306" spans="1:6" ht="14.25" thickBot="1">
      <c r="A306" s="714" t="s">
        <v>490</v>
      </c>
      <c r="B306" s="708" t="s">
        <v>307</v>
      </c>
      <c r="C306" s="804">
        <v>0.15</v>
      </c>
      <c r="D306" s="804">
        <v>0.15</v>
      </c>
      <c r="E306" s="804">
        <v>0.15</v>
      </c>
      <c r="F306" s="809"/>
    </row>
    <row r="307" spans="1:6" ht="14.25" thickBot="1">
      <c r="A307" s="714" t="s">
        <v>490</v>
      </c>
      <c r="B307" s="708" t="s">
        <v>727</v>
      </c>
      <c r="C307" s="804">
        <v>0.15</v>
      </c>
      <c r="D307" s="804">
        <v>0.15</v>
      </c>
      <c r="E307" s="804">
        <v>0.15</v>
      </c>
      <c r="F307" s="805">
        <v>0.14299999999999999</v>
      </c>
    </row>
    <row r="308" spans="1:6" ht="14.25" thickBot="1">
      <c r="A308" s="714" t="s">
        <v>490</v>
      </c>
      <c r="B308" s="708" t="s">
        <v>327</v>
      </c>
      <c r="C308" s="804">
        <v>0.15</v>
      </c>
      <c r="D308" s="804">
        <v>0.15</v>
      </c>
      <c r="E308" s="804">
        <v>0.15</v>
      </c>
      <c r="F308" s="805">
        <v>0.15</v>
      </c>
    </row>
    <row r="309" spans="1:6" ht="14.25" thickBot="1">
      <c r="A309" s="714" t="s">
        <v>490</v>
      </c>
      <c r="B309" s="708" t="s">
        <v>337</v>
      </c>
      <c r="C309" s="804">
        <v>0.15</v>
      </c>
      <c r="D309" s="804">
        <v>0.15</v>
      </c>
      <c r="E309" s="804">
        <v>0.15</v>
      </c>
      <c r="F309" s="809"/>
    </row>
    <row r="310" spans="1:6" ht="14.25" thickBot="1">
      <c r="A310" s="714" t="s">
        <v>490</v>
      </c>
      <c r="B310" s="708" t="s">
        <v>728</v>
      </c>
      <c r="C310" s="804">
        <v>0.15</v>
      </c>
      <c r="D310" s="804">
        <v>0.15</v>
      </c>
      <c r="E310" s="804">
        <v>0.15</v>
      </c>
      <c r="F310" s="805">
        <v>0.13700000000000001</v>
      </c>
    </row>
    <row r="311" spans="1:6" ht="14.25" thickBot="1">
      <c r="A311" s="714" t="s">
        <v>490</v>
      </c>
      <c r="B311" s="708" t="s">
        <v>729</v>
      </c>
      <c r="C311" s="804">
        <v>0.15</v>
      </c>
      <c r="D311" s="804">
        <v>0.15</v>
      </c>
      <c r="E311" s="804">
        <v>0.15</v>
      </c>
      <c r="F311" s="805">
        <v>0.15</v>
      </c>
    </row>
    <row r="312" spans="1:6" ht="14.25" thickBot="1">
      <c r="A312" s="714" t="s">
        <v>490</v>
      </c>
      <c r="B312" s="708" t="s">
        <v>363</v>
      </c>
      <c r="C312" s="804">
        <v>0.15</v>
      </c>
      <c r="D312" s="804">
        <v>0.15</v>
      </c>
      <c r="E312" s="804">
        <v>0.15</v>
      </c>
      <c r="F312" s="805">
        <v>0.1</v>
      </c>
    </row>
    <row r="313" spans="1:6" ht="14.25" thickBot="1">
      <c r="A313" s="714" t="s">
        <v>490</v>
      </c>
      <c r="B313" s="708" t="s">
        <v>730</v>
      </c>
      <c r="C313" s="804">
        <v>0.15</v>
      </c>
      <c r="D313" s="804">
        <v>0.15</v>
      </c>
      <c r="E313" s="804">
        <v>0.15</v>
      </c>
      <c r="F313" s="805">
        <v>0.15</v>
      </c>
    </row>
    <row r="314" spans="1:6" ht="24.75" thickBot="1">
      <c r="A314" s="714" t="s">
        <v>490</v>
      </c>
      <c r="B314" s="708" t="s">
        <v>731</v>
      </c>
      <c r="C314" s="810"/>
      <c r="D314" s="810"/>
      <c r="E314" s="810"/>
      <c r="F314" s="805">
        <v>0.05</v>
      </c>
    </row>
    <row r="315" spans="1:6" ht="24.75" thickBot="1">
      <c r="A315" s="714" t="s">
        <v>490</v>
      </c>
      <c r="B315" s="708" t="s">
        <v>732</v>
      </c>
      <c r="C315" s="810"/>
      <c r="D315" s="810"/>
      <c r="E315" s="810"/>
      <c r="F315" s="805">
        <v>0.05</v>
      </c>
    </row>
    <row r="316" spans="1:6" ht="24.75" thickBot="1">
      <c r="A316" s="731" t="s">
        <v>490</v>
      </c>
      <c r="B316" s="724" t="s">
        <v>733</v>
      </c>
      <c r="C316" s="807"/>
      <c r="D316" s="807"/>
      <c r="E316" s="807"/>
      <c r="F316" s="811">
        <v>0.05</v>
      </c>
    </row>
    <row r="317" spans="1:6" ht="14.25" thickBot="1">
      <c r="A317" s="714" t="s">
        <v>734</v>
      </c>
      <c r="B317" s="715" t="s">
        <v>735</v>
      </c>
      <c r="C317" s="802">
        <v>0.15</v>
      </c>
      <c r="D317" s="802">
        <v>0.15</v>
      </c>
      <c r="E317" s="802">
        <v>0.15</v>
      </c>
      <c r="F317" s="803">
        <v>0.15</v>
      </c>
    </row>
    <row r="318" spans="1:6" ht="14.25" thickBot="1">
      <c r="A318" s="714" t="s">
        <v>734</v>
      </c>
      <c r="B318" s="708" t="s">
        <v>736</v>
      </c>
      <c r="C318" s="804">
        <v>0.107</v>
      </c>
      <c r="D318" s="804">
        <v>0.11</v>
      </c>
      <c r="E318" s="804">
        <v>0.112</v>
      </c>
      <c r="F318" s="809"/>
    </row>
    <row r="319" spans="1:6" ht="14.25" thickBot="1">
      <c r="A319" s="714" t="s">
        <v>734</v>
      </c>
      <c r="B319" s="708" t="s">
        <v>737</v>
      </c>
      <c r="C319" s="804">
        <v>0.15</v>
      </c>
      <c r="D319" s="804">
        <v>0.15</v>
      </c>
      <c r="E319" s="804">
        <v>0.15</v>
      </c>
      <c r="F319" s="805">
        <v>0.15</v>
      </c>
    </row>
    <row r="320" spans="1:6" ht="14.25" thickBot="1">
      <c r="A320" s="714" t="s">
        <v>734</v>
      </c>
      <c r="B320" s="708" t="s">
        <v>171</v>
      </c>
      <c r="C320" s="804">
        <v>0.15</v>
      </c>
      <c r="D320" s="804">
        <v>0.15</v>
      </c>
      <c r="E320" s="804">
        <v>0.15</v>
      </c>
      <c r="F320" s="809"/>
    </row>
    <row r="321" spans="1:6" ht="14.25" thickBot="1">
      <c r="A321" s="714" t="s">
        <v>734</v>
      </c>
      <c r="B321" s="708" t="s">
        <v>738</v>
      </c>
      <c r="C321" s="804">
        <v>0.15</v>
      </c>
      <c r="D321" s="804">
        <v>0.15</v>
      </c>
      <c r="E321" s="804">
        <v>0.15</v>
      </c>
      <c r="F321" s="809"/>
    </row>
    <row r="322" spans="1:6" ht="14.25" thickBot="1">
      <c r="A322" s="714" t="s">
        <v>734</v>
      </c>
      <c r="B322" s="708" t="s">
        <v>739</v>
      </c>
      <c r="C322" s="804">
        <v>0.15</v>
      </c>
      <c r="D322" s="804">
        <v>0.15</v>
      </c>
      <c r="E322" s="804">
        <v>0.15</v>
      </c>
      <c r="F322" s="805">
        <v>0.15</v>
      </c>
    </row>
    <row r="323" spans="1:6" ht="14.25" thickBot="1">
      <c r="A323" s="714" t="s">
        <v>734</v>
      </c>
      <c r="B323" s="708" t="s">
        <v>740</v>
      </c>
      <c r="C323" s="804">
        <v>0.15</v>
      </c>
      <c r="D323" s="804">
        <v>0.15</v>
      </c>
      <c r="E323" s="804">
        <v>0.15</v>
      </c>
      <c r="F323" s="809"/>
    </row>
    <row r="324" spans="1:6" ht="14.25" thickBot="1">
      <c r="A324" s="714" t="s">
        <v>734</v>
      </c>
      <c r="B324" s="708" t="s">
        <v>741</v>
      </c>
      <c r="C324" s="804">
        <v>0.15</v>
      </c>
      <c r="D324" s="804">
        <v>0.15</v>
      </c>
      <c r="E324" s="804">
        <v>0.15</v>
      </c>
      <c r="F324" s="809"/>
    </row>
    <row r="325" spans="1:6" ht="14.25" thickBot="1">
      <c r="A325" s="714" t="s">
        <v>734</v>
      </c>
      <c r="B325" s="708" t="s">
        <v>742</v>
      </c>
      <c r="C325" s="804">
        <v>0.15</v>
      </c>
      <c r="D325" s="804">
        <v>0.15</v>
      </c>
      <c r="E325" s="804">
        <v>0.15</v>
      </c>
      <c r="F325" s="805">
        <v>0.14699999999999999</v>
      </c>
    </row>
    <row r="326" spans="1:6" ht="14.25" thickBot="1">
      <c r="A326" s="714" t="s">
        <v>734</v>
      </c>
      <c r="B326" s="708" t="s">
        <v>243</v>
      </c>
      <c r="C326" s="804">
        <v>0.15</v>
      </c>
      <c r="D326" s="804">
        <v>0.15</v>
      </c>
      <c r="E326" s="804">
        <v>0.15</v>
      </c>
      <c r="F326" s="809"/>
    </row>
    <row r="327" spans="1:6" ht="14.25" thickBot="1">
      <c r="A327" s="714" t="s">
        <v>734</v>
      </c>
      <c r="B327" s="708" t="s">
        <v>743</v>
      </c>
      <c r="C327" s="804">
        <v>0.15</v>
      </c>
      <c r="D327" s="804">
        <v>0.15</v>
      </c>
      <c r="E327" s="804">
        <v>0.15</v>
      </c>
      <c r="F327" s="805">
        <v>0.15</v>
      </c>
    </row>
    <row r="328" spans="1:6" ht="14.25" thickBot="1">
      <c r="A328" s="714" t="s">
        <v>734</v>
      </c>
      <c r="B328" s="708" t="s">
        <v>265</v>
      </c>
      <c r="C328" s="804">
        <v>0.15</v>
      </c>
      <c r="D328" s="804">
        <v>0.15</v>
      </c>
      <c r="E328" s="804">
        <v>0.15</v>
      </c>
      <c r="F328" s="805">
        <v>0.14099999999999999</v>
      </c>
    </row>
    <row r="329" spans="1:6" ht="14.25" thickBot="1">
      <c r="A329" s="714" t="s">
        <v>734</v>
      </c>
      <c r="B329" s="708" t="s">
        <v>276</v>
      </c>
      <c r="C329" s="804">
        <v>0.15</v>
      </c>
      <c r="D329" s="804">
        <v>0.15</v>
      </c>
      <c r="E329" s="804">
        <v>0.15</v>
      </c>
      <c r="F329" s="805">
        <v>0.15</v>
      </c>
    </row>
    <row r="330" spans="1:6" ht="14.25" thickBot="1">
      <c r="A330" s="714" t="s">
        <v>734</v>
      </c>
      <c r="B330" s="708" t="s">
        <v>287</v>
      </c>
      <c r="C330" s="804">
        <v>0.15</v>
      </c>
      <c r="D330" s="804">
        <v>0.15</v>
      </c>
      <c r="E330" s="804">
        <v>0.15</v>
      </c>
      <c r="F330" s="809"/>
    </row>
    <row r="331" spans="1:6" ht="14.25" thickBot="1">
      <c r="A331" s="714" t="s">
        <v>734</v>
      </c>
      <c r="B331" s="708" t="s">
        <v>744</v>
      </c>
      <c r="C331" s="804">
        <v>0.15</v>
      </c>
      <c r="D331" s="804">
        <v>0.15</v>
      </c>
      <c r="E331" s="804">
        <v>0.15</v>
      </c>
      <c r="F331" s="805">
        <v>0.15</v>
      </c>
    </row>
    <row r="332" spans="1:6" ht="14.25" thickBot="1">
      <c r="A332" s="714" t="s">
        <v>734</v>
      </c>
      <c r="B332" s="708" t="s">
        <v>308</v>
      </c>
      <c r="C332" s="804">
        <v>0.15</v>
      </c>
      <c r="D332" s="804">
        <v>0.15</v>
      </c>
      <c r="E332" s="804">
        <v>0.15</v>
      </c>
      <c r="F332" s="805">
        <v>0.15</v>
      </c>
    </row>
    <row r="333" spans="1:6" ht="14.25" thickBot="1">
      <c r="A333" s="714" t="s">
        <v>734</v>
      </c>
      <c r="B333" s="708" t="s">
        <v>745</v>
      </c>
      <c r="C333" s="804">
        <v>0.15</v>
      </c>
      <c r="D333" s="804">
        <v>0.15</v>
      </c>
      <c r="E333" s="804">
        <v>0.15</v>
      </c>
      <c r="F333" s="805">
        <v>0.14099999999999999</v>
      </c>
    </row>
    <row r="334" spans="1:6" ht="14.25" thickBot="1">
      <c r="A334" s="714" t="s">
        <v>734</v>
      </c>
      <c r="B334" s="708" t="s">
        <v>328</v>
      </c>
      <c r="C334" s="804">
        <v>0.15</v>
      </c>
      <c r="D334" s="804">
        <v>0.15</v>
      </c>
      <c r="E334" s="804">
        <v>0.15</v>
      </c>
      <c r="F334" s="805">
        <v>0.15</v>
      </c>
    </row>
    <row r="335" spans="1:6" ht="14.25" thickBot="1">
      <c r="A335" s="714" t="s">
        <v>734</v>
      </c>
      <c r="B335" s="708" t="s">
        <v>338</v>
      </c>
      <c r="C335" s="804">
        <v>0.15</v>
      </c>
      <c r="D335" s="804">
        <v>0.15</v>
      </c>
      <c r="E335" s="804">
        <v>0.15</v>
      </c>
      <c r="F335" s="809"/>
    </row>
    <row r="336" spans="1:6" ht="14.25" thickBot="1">
      <c r="A336" s="714" t="s">
        <v>734</v>
      </c>
      <c r="B336" s="708" t="s">
        <v>746</v>
      </c>
      <c r="C336" s="804">
        <v>0.15</v>
      </c>
      <c r="D336" s="804">
        <v>0.15</v>
      </c>
      <c r="E336" s="804">
        <v>0.15</v>
      </c>
      <c r="F336" s="805">
        <v>0.11799999999999999</v>
      </c>
    </row>
    <row r="337" spans="1:6" ht="14.25" thickBot="1">
      <c r="A337" s="731" t="s">
        <v>734</v>
      </c>
      <c r="B337" s="724" t="s">
        <v>356</v>
      </c>
      <c r="C337" s="807"/>
      <c r="D337" s="807"/>
      <c r="E337" s="807"/>
      <c r="F337" s="811">
        <v>0.14299999999999999</v>
      </c>
    </row>
    <row r="338" spans="1:6" ht="14.25" thickBot="1">
      <c r="A338" s="714" t="s">
        <v>747</v>
      </c>
      <c r="B338" s="715" t="s">
        <v>748</v>
      </c>
      <c r="C338" s="802">
        <v>0.15</v>
      </c>
      <c r="D338" s="802">
        <v>0.15</v>
      </c>
      <c r="E338" s="802">
        <v>0.15</v>
      </c>
      <c r="F338" s="819"/>
    </row>
    <row r="339" spans="1:6" ht="14.25" thickBot="1">
      <c r="A339" s="714" t="s">
        <v>747</v>
      </c>
      <c r="B339" s="708" t="s">
        <v>749</v>
      </c>
      <c r="C339" s="804">
        <v>0.15</v>
      </c>
      <c r="D339" s="804">
        <v>0.15</v>
      </c>
      <c r="E339" s="804">
        <v>0.15</v>
      </c>
      <c r="F339" s="809"/>
    </row>
    <row r="340" spans="1:6" ht="14.25" thickBot="1">
      <c r="A340" s="714" t="s">
        <v>747</v>
      </c>
      <c r="B340" s="708" t="s">
        <v>750</v>
      </c>
      <c r="C340" s="804">
        <v>0.15</v>
      </c>
      <c r="D340" s="804">
        <v>0.15</v>
      </c>
      <c r="E340" s="804">
        <v>0.15</v>
      </c>
      <c r="F340" s="809"/>
    </row>
    <row r="341" spans="1:6" ht="14.25" thickBot="1">
      <c r="A341" s="714" t="s">
        <v>747</v>
      </c>
      <c r="B341" s="708" t="s">
        <v>751</v>
      </c>
      <c r="C341" s="804">
        <v>0.15</v>
      </c>
      <c r="D341" s="804">
        <v>0.15</v>
      </c>
      <c r="E341" s="804">
        <v>0.15</v>
      </c>
      <c r="F341" s="805">
        <v>0.15</v>
      </c>
    </row>
    <row r="342" spans="1:6" ht="14.25" thickBot="1">
      <c r="A342" s="714" t="s">
        <v>747</v>
      </c>
      <c r="B342" s="708" t="s">
        <v>752</v>
      </c>
      <c r="C342" s="804">
        <v>0.15</v>
      </c>
      <c r="D342" s="804">
        <v>0.15</v>
      </c>
      <c r="E342" s="804">
        <v>0.15</v>
      </c>
      <c r="F342" s="805">
        <v>0.15</v>
      </c>
    </row>
    <row r="343" spans="1:6" ht="14.25" thickBot="1">
      <c r="A343" s="714" t="s">
        <v>747</v>
      </c>
      <c r="B343" s="708" t="s">
        <v>753</v>
      </c>
      <c r="C343" s="804">
        <v>0.15</v>
      </c>
      <c r="D343" s="804">
        <v>0.15</v>
      </c>
      <c r="E343" s="804">
        <v>0.15</v>
      </c>
      <c r="F343" s="805">
        <v>0.15</v>
      </c>
    </row>
    <row r="344" spans="1:6" ht="14.25" thickBot="1">
      <c r="A344" s="731" t="s">
        <v>747</v>
      </c>
      <c r="B344" s="724" t="s">
        <v>754</v>
      </c>
      <c r="C344" s="806">
        <v>0.15</v>
      </c>
      <c r="D344" s="806">
        <v>0.15</v>
      </c>
      <c r="E344" s="806">
        <v>0.15</v>
      </c>
      <c r="F344" s="811">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2" customWidth="1"/>
    <col min="2" max="2" width="40.625" style="935" customWidth="1"/>
    <col min="3" max="3" width="9" style="936"/>
    <col min="4" max="5" width="9" style="937"/>
    <col min="6" max="6" width="9" style="938"/>
    <col min="7" max="7" width="11.875" style="792" customWidth="1"/>
    <col min="8" max="8" width="9" style="938"/>
    <col min="9" max="13" width="9" style="792"/>
    <col min="14" max="20" width="9" style="926"/>
    <col min="21" max="16384" width="9" style="792"/>
  </cols>
  <sheetData>
    <row r="1" spans="1:20" s="927" customFormat="1" ht="18" customHeight="1" thickBot="1">
      <c r="A1" s="671" t="s">
        <v>529</v>
      </c>
      <c r="B1" s="672"/>
      <c r="C1" s="922"/>
      <c r="D1" s="923"/>
      <c r="E1" s="923"/>
      <c r="F1" s="924"/>
      <c r="G1" s="925"/>
      <c r="H1" s="924"/>
      <c r="I1" s="925"/>
      <c r="J1" s="925"/>
      <c r="K1" s="925"/>
      <c r="L1" s="925"/>
      <c r="M1" s="925"/>
      <c r="N1" s="926"/>
      <c r="O1" s="926"/>
      <c r="P1" s="926"/>
      <c r="Q1" s="926"/>
      <c r="R1" s="926"/>
      <c r="S1" s="926"/>
      <c r="T1" s="926"/>
    </row>
    <row r="2" spans="1:20" ht="18" customHeight="1">
      <c r="A2" s="674" t="s">
        <v>132</v>
      </c>
      <c r="B2" s="675">
        <f>1+F4</f>
        <v>1.0128999999999999</v>
      </c>
      <c r="C2" s="676"/>
      <c r="D2" s="677"/>
      <c r="E2" s="677"/>
      <c r="F2" s="678"/>
      <c r="G2" s="928"/>
      <c r="H2" s="924"/>
      <c r="I2" s="925"/>
      <c r="J2" s="925"/>
      <c r="K2" s="925"/>
      <c r="L2" s="925"/>
      <c r="M2" s="925"/>
    </row>
    <row r="3" spans="1:20" ht="13.5">
      <c r="A3" s="679" t="s">
        <v>530</v>
      </c>
      <c r="B3" s="680" t="s">
        <v>531</v>
      </c>
      <c r="C3" s="681" t="s">
        <v>532</v>
      </c>
      <c r="D3" s="682" t="s">
        <v>554</v>
      </c>
      <c r="E3" s="682" t="s">
        <v>555</v>
      </c>
      <c r="F3" s="683" t="s">
        <v>556</v>
      </c>
      <c r="G3" s="684" t="s">
        <v>755</v>
      </c>
      <c r="H3" s="682" t="s">
        <v>550</v>
      </c>
      <c r="I3" s="491" t="s">
        <v>82</v>
      </c>
      <c r="J3" s="491" t="s">
        <v>83</v>
      </c>
      <c r="K3" s="491" t="s">
        <v>84</v>
      </c>
      <c r="L3" s="491" t="s">
        <v>85</v>
      </c>
      <c r="M3" s="491" t="s">
        <v>86</v>
      </c>
    </row>
    <row r="4" spans="1:20" ht="24">
      <c r="A4" s="679" t="s">
        <v>533</v>
      </c>
      <c r="B4" s="685" t="str">
        <f>估价对象房地状况!C4</f>
        <v>估价对象位于XX商圈，周边商业氛围成熟，人流量大，商业繁华度好</v>
      </c>
      <c r="C4" s="667" t="s">
        <v>534</v>
      </c>
      <c r="D4" s="686">
        <f>SUMIF($I$3:$M$3,C4,I4:M4)</f>
        <v>0.02</v>
      </c>
      <c r="E4" s="687">
        <v>0.33</v>
      </c>
      <c r="F4" s="688">
        <f>D4*E4+D5*E5+D6*E6+D7*E7+D8*E8+D9*E9+D10*E10+D11*E11+D12*E12</f>
        <v>1.29E-2</v>
      </c>
      <c r="G4" s="689" t="str">
        <f>IF(基准地价修正!E2="商业",SUMIF(基准地价修正!L1:L12,基准地价修正!G2,基准地价修正!N1:N12),"——")</f>
        <v>——</v>
      </c>
      <c r="H4" s="752">
        <v>0.02</v>
      </c>
      <c r="I4" s="666">
        <f>J4+$H4</f>
        <v>0.04</v>
      </c>
      <c r="J4" s="666">
        <f>$K4+$H4</f>
        <v>0.02</v>
      </c>
      <c r="K4" s="665">
        <v>0</v>
      </c>
      <c r="L4" s="666">
        <f t="shared" ref="L4:M12" si="0">K4-$H4</f>
        <v>-0.02</v>
      </c>
      <c r="M4" s="666">
        <f t="shared" si="0"/>
        <v>-0.04</v>
      </c>
    </row>
    <row r="5" spans="1:20" ht="24">
      <c r="A5" s="679" t="s">
        <v>535</v>
      </c>
      <c r="B5" s="690" t="str">
        <f>估价对象房地状况!C6</f>
        <v>估价对象周边道路状况、公共交通通达情况、停车便捷程度，综合评价交通便捷度较好</v>
      </c>
      <c r="C5" s="667" t="s">
        <v>31</v>
      </c>
      <c r="D5" s="686">
        <f t="shared" ref="D5:D12" si="1">SUMIF($I$3:$M$3,C5,I5:M5)</f>
        <v>0</v>
      </c>
      <c r="E5" s="687">
        <v>0.25</v>
      </c>
      <c r="F5" s="691"/>
      <c r="G5" s="929"/>
      <c r="H5" s="752">
        <v>0.01</v>
      </c>
      <c r="I5" s="666">
        <f t="shared" ref="I5:I12" si="2">J5+$H5</f>
        <v>0.02</v>
      </c>
      <c r="J5" s="666">
        <f t="shared" ref="J5:J12" si="3">$K5+$H5</f>
        <v>0.01</v>
      </c>
      <c r="K5" s="665">
        <v>0</v>
      </c>
      <c r="L5" s="666">
        <f t="shared" si="0"/>
        <v>-0.01</v>
      </c>
      <c r="M5" s="666">
        <f t="shared" si="0"/>
        <v>-0.02</v>
      </c>
    </row>
    <row r="6" spans="1:20" ht="14.25">
      <c r="A6" s="679" t="s">
        <v>536</v>
      </c>
      <c r="B6" s="680">
        <f>估价对象房地状况!C19</f>
        <v>0</v>
      </c>
      <c r="C6" s="667" t="s">
        <v>534</v>
      </c>
      <c r="D6" s="686">
        <f t="shared" si="1"/>
        <v>0.02</v>
      </c>
      <c r="E6" s="687">
        <v>0.05</v>
      </c>
      <c r="F6" s="691"/>
      <c r="G6" s="929"/>
      <c r="H6" s="752">
        <v>0.02</v>
      </c>
      <c r="I6" s="666">
        <f t="shared" si="2"/>
        <v>0.04</v>
      </c>
      <c r="J6" s="666">
        <f t="shared" si="3"/>
        <v>0.02</v>
      </c>
      <c r="K6" s="665">
        <v>0</v>
      </c>
      <c r="L6" s="666">
        <f t="shared" si="0"/>
        <v>-0.02</v>
      </c>
      <c r="M6" s="666">
        <f t="shared" si="0"/>
        <v>-0.04</v>
      </c>
    </row>
    <row r="7" spans="1:20" ht="24">
      <c r="A7" s="679" t="s">
        <v>537</v>
      </c>
      <c r="B7" s="668" t="s">
        <v>557</v>
      </c>
      <c r="C7" s="667" t="s">
        <v>35</v>
      </c>
      <c r="D7" s="686">
        <f t="shared" si="1"/>
        <v>-0.02</v>
      </c>
      <c r="E7" s="687">
        <v>0.05</v>
      </c>
      <c r="F7" s="691"/>
      <c r="G7" s="929"/>
      <c r="H7" s="752">
        <v>0.01</v>
      </c>
      <c r="I7" s="666">
        <f t="shared" si="2"/>
        <v>0.02</v>
      </c>
      <c r="J7" s="666">
        <f t="shared" si="3"/>
        <v>0.01</v>
      </c>
      <c r="K7" s="665">
        <v>0</v>
      </c>
      <c r="L7" s="666">
        <f t="shared" si="0"/>
        <v>-0.01</v>
      </c>
      <c r="M7" s="666">
        <f t="shared" si="0"/>
        <v>-0.02</v>
      </c>
    </row>
    <row r="8" spans="1:20" ht="14.25">
      <c r="A8" s="679" t="s">
        <v>538</v>
      </c>
      <c r="B8" s="680">
        <f>估价对象房地状况!C10</f>
        <v>0</v>
      </c>
      <c r="C8" s="667" t="s">
        <v>534</v>
      </c>
      <c r="D8" s="686">
        <f t="shared" si="1"/>
        <v>0.02</v>
      </c>
      <c r="E8" s="687">
        <v>0.08</v>
      </c>
      <c r="F8" s="691"/>
      <c r="G8" s="929"/>
      <c r="H8" s="752">
        <v>0.02</v>
      </c>
      <c r="I8" s="666">
        <f t="shared" si="2"/>
        <v>0.04</v>
      </c>
      <c r="J8" s="666">
        <f t="shared" si="3"/>
        <v>0.02</v>
      </c>
      <c r="K8" s="665">
        <v>0</v>
      </c>
      <c r="L8" s="666">
        <f t="shared" si="0"/>
        <v>-0.02</v>
      </c>
      <c r="M8" s="666">
        <f t="shared" si="0"/>
        <v>-0.04</v>
      </c>
    </row>
    <row r="9" spans="1:20" ht="14.25">
      <c r="A9" s="679" t="s">
        <v>539</v>
      </c>
      <c r="B9" s="669" t="s">
        <v>558</v>
      </c>
      <c r="C9" s="667" t="s">
        <v>534</v>
      </c>
      <c r="D9" s="686">
        <f t="shared" si="1"/>
        <v>0.01</v>
      </c>
      <c r="E9" s="687">
        <v>0.03</v>
      </c>
      <c r="F9" s="691"/>
      <c r="G9" s="929"/>
      <c r="H9" s="752">
        <v>0.01</v>
      </c>
      <c r="I9" s="666">
        <f t="shared" si="2"/>
        <v>0.02</v>
      </c>
      <c r="J9" s="666">
        <f t="shared" si="3"/>
        <v>0.01</v>
      </c>
      <c r="K9" s="665">
        <v>0</v>
      </c>
      <c r="L9" s="666">
        <f t="shared" si="0"/>
        <v>-0.01</v>
      </c>
      <c r="M9" s="666">
        <f t="shared" si="0"/>
        <v>-0.02</v>
      </c>
    </row>
    <row r="10" spans="1:20" ht="14.25">
      <c r="A10" s="692" t="s">
        <v>540</v>
      </c>
      <c r="B10" s="878" t="str">
        <f>估价对象房地状况!C7</f>
        <v>估价对象所在区域公共配套设施齐备情况</v>
      </c>
      <c r="C10" s="667" t="s">
        <v>29</v>
      </c>
      <c r="D10" s="686">
        <f t="shared" si="1"/>
        <v>0.04</v>
      </c>
      <c r="E10" s="687">
        <v>0.05</v>
      </c>
      <c r="F10" s="691"/>
      <c r="G10" s="929"/>
      <c r="H10" s="752">
        <v>0.02</v>
      </c>
      <c r="I10" s="666">
        <f t="shared" si="2"/>
        <v>0.04</v>
      </c>
      <c r="J10" s="666">
        <f t="shared" si="3"/>
        <v>0.02</v>
      </c>
      <c r="K10" s="665">
        <v>0</v>
      </c>
      <c r="L10" s="666">
        <f t="shared" si="0"/>
        <v>-0.02</v>
      </c>
      <c r="M10" s="666">
        <f t="shared" si="0"/>
        <v>-0.04</v>
      </c>
    </row>
    <row r="11" spans="1:20" ht="14.25">
      <c r="A11" s="692" t="s">
        <v>541</v>
      </c>
      <c r="B11" s="879"/>
      <c r="C11" s="667" t="s">
        <v>31</v>
      </c>
      <c r="D11" s="686">
        <f t="shared" si="1"/>
        <v>0</v>
      </c>
      <c r="E11" s="687">
        <v>0.1</v>
      </c>
      <c r="F11" s="691"/>
      <c r="G11" s="929"/>
      <c r="H11" s="752">
        <v>0.01</v>
      </c>
      <c r="I11" s="666">
        <f t="shared" si="2"/>
        <v>0.02</v>
      </c>
      <c r="J11" s="666">
        <f t="shared" si="3"/>
        <v>0.01</v>
      </c>
      <c r="K11" s="665">
        <v>0</v>
      </c>
      <c r="L11" s="666">
        <f t="shared" si="0"/>
        <v>-0.01</v>
      </c>
      <c r="M11" s="666">
        <f t="shared" si="0"/>
        <v>-0.02</v>
      </c>
    </row>
    <row r="12" spans="1:20" ht="15" thickBot="1">
      <c r="A12" s="693" t="s">
        <v>542</v>
      </c>
      <c r="B12" s="694" t="str">
        <f>估价对象房地状况!C9</f>
        <v>区域自然环境：；人文环境；综合评价环境状况一般</v>
      </c>
      <c r="C12" s="667" t="s">
        <v>29</v>
      </c>
      <c r="D12" s="686">
        <f t="shared" si="1"/>
        <v>0.04</v>
      </c>
      <c r="E12" s="695">
        <v>0.06</v>
      </c>
      <c r="F12" s="696"/>
      <c r="G12" s="929"/>
      <c r="H12" s="752">
        <v>0.02</v>
      </c>
      <c r="I12" s="666">
        <f t="shared" si="2"/>
        <v>0.04</v>
      </c>
      <c r="J12" s="666">
        <f t="shared" si="3"/>
        <v>0.02</v>
      </c>
      <c r="K12" s="665">
        <v>0</v>
      </c>
      <c r="L12" s="666">
        <f t="shared" si="0"/>
        <v>-0.02</v>
      </c>
      <c r="M12" s="666">
        <f t="shared" si="0"/>
        <v>-0.04</v>
      </c>
    </row>
    <row r="13" spans="1:20" ht="18" customHeight="1">
      <c r="A13" s="674" t="s">
        <v>133</v>
      </c>
      <c r="B13" s="675">
        <f>1+F15</f>
        <v>1.0148999999999999</v>
      </c>
      <c r="C13" s="930"/>
      <c r="D13" s="677"/>
      <c r="E13" s="677"/>
      <c r="F13" s="678"/>
      <c r="G13" s="928"/>
      <c r="H13" s="924"/>
      <c r="I13" s="673"/>
      <c r="J13" s="673"/>
      <c r="K13" s="673"/>
      <c r="L13" s="673"/>
      <c r="M13" s="673"/>
    </row>
    <row r="14" spans="1:20" ht="18" customHeight="1">
      <c r="A14" s="679" t="s">
        <v>530</v>
      </c>
      <c r="B14" s="680"/>
      <c r="C14" s="681" t="s">
        <v>532</v>
      </c>
      <c r="D14" s="682" t="s">
        <v>551</v>
      </c>
      <c r="E14" s="682" t="s">
        <v>552</v>
      </c>
      <c r="F14" s="683" t="s">
        <v>553</v>
      </c>
      <c r="G14" s="684" t="s">
        <v>755</v>
      </c>
      <c r="H14" s="682" t="s">
        <v>550</v>
      </c>
      <c r="I14" s="491" t="s">
        <v>82</v>
      </c>
      <c r="J14" s="491" t="s">
        <v>83</v>
      </c>
      <c r="K14" s="491" t="s">
        <v>84</v>
      </c>
      <c r="L14" s="491" t="s">
        <v>85</v>
      </c>
      <c r="M14" s="491" t="s">
        <v>86</v>
      </c>
    </row>
    <row r="15" spans="1:20" ht="24">
      <c r="A15" s="679" t="s">
        <v>543</v>
      </c>
      <c r="B15" s="685" t="str">
        <f>估价对象房地状况!C5</f>
        <v>估价对象位于XX商圈，周边办公楼项目较多，入驻率高，办公集聚程度较好</v>
      </c>
      <c r="C15" s="667" t="s">
        <v>534</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52">
        <v>0.02</v>
      </c>
      <c r="I15" s="666">
        <f>J15+$H15</f>
        <v>0.04</v>
      </c>
      <c r="J15" s="666">
        <f>$K15+$H15</f>
        <v>0.02</v>
      </c>
      <c r="K15" s="665">
        <v>0</v>
      </c>
      <c r="L15" s="666">
        <f t="shared" ref="L15:M23" si="5">K15-$H15</f>
        <v>-0.02</v>
      </c>
      <c r="M15" s="666">
        <f t="shared" si="5"/>
        <v>-0.04</v>
      </c>
    </row>
    <row r="16" spans="1:20" ht="24">
      <c r="A16" s="679" t="s">
        <v>535</v>
      </c>
      <c r="B16" s="680" t="str">
        <f>估价对象房地状况!C6</f>
        <v>估价对象周边道路状况、公共交通通达情况、停车便捷程度，综合评价交通便捷度较好</v>
      </c>
      <c r="C16" s="667" t="s">
        <v>534</v>
      </c>
      <c r="D16" s="686">
        <f t="shared" si="4"/>
        <v>0.01</v>
      </c>
      <c r="E16" s="687">
        <v>0.3</v>
      </c>
      <c r="F16" s="691"/>
      <c r="G16" s="929"/>
      <c r="H16" s="752">
        <v>0.01</v>
      </c>
      <c r="I16" s="666">
        <f t="shared" ref="I16:I23" si="6">J16+$H16</f>
        <v>0.02</v>
      </c>
      <c r="J16" s="666">
        <f t="shared" ref="J16:J23" si="7">$K16+$H16</f>
        <v>0.01</v>
      </c>
      <c r="K16" s="665">
        <v>0</v>
      </c>
      <c r="L16" s="666">
        <f t="shared" si="5"/>
        <v>-0.01</v>
      </c>
      <c r="M16" s="666">
        <f t="shared" si="5"/>
        <v>-0.02</v>
      </c>
    </row>
    <row r="17" spans="1:20" ht="14.25">
      <c r="A17" s="679" t="s">
        <v>536</v>
      </c>
      <c r="B17" s="680">
        <f>估价对象房地状况!C19</f>
        <v>0</v>
      </c>
      <c r="C17" s="667" t="s">
        <v>534</v>
      </c>
      <c r="D17" s="686">
        <f t="shared" si="4"/>
        <v>0.02</v>
      </c>
      <c r="E17" s="687">
        <v>0.08</v>
      </c>
      <c r="F17" s="691"/>
      <c r="G17" s="929"/>
      <c r="H17" s="752">
        <v>0.02</v>
      </c>
      <c r="I17" s="666">
        <f t="shared" si="6"/>
        <v>0.04</v>
      </c>
      <c r="J17" s="666">
        <f t="shared" si="7"/>
        <v>0.02</v>
      </c>
      <c r="K17" s="665">
        <v>0</v>
      </c>
      <c r="L17" s="666">
        <f t="shared" si="5"/>
        <v>-0.02</v>
      </c>
      <c r="M17" s="666">
        <f t="shared" si="5"/>
        <v>-0.04</v>
      </c>
    </row>
    <row r="18" spans="1:20" ht="24">
      <c r="A18" s="679" t="s">
        <v>537</v>
      </c>
      <c r="B18" s="668" t="s">
        <v>557</v>
      </c>
      <c r="C18" s="667" t="s">
        <v>30</v>
      </c>
      <c r="D18" s="686">
        <f t="shared" si="4"/>
        <v>0.01</v>
      </c>
      <c r="E18" s="687">
        <v>0.04</v>
      </c>
      <c r="F18" s="691"/>
      <c r="G18" s="929"/>
      <c r="H18" s="752">
        <v>0.01</v>
      </c>
      <c r="I18" s="666">
        <f t="shared" si="6"/>
        <v>0.02</v>
      </c>
      <c r="J18" s="666">
        <f t="shared" si="7"/>
        <v>0.01</v>
      </c>
      <c r="K18" s="665">
        <v>0</v>
      </c>
      <c r="L18" s="666">
        <f t="shared" si="5"/>
        <v>-0.01</v>
      </c>
      <c r="M18" s="666">
        <f t="shared" si="5"/>
        <v>-0.02</v>
      </c>
    </row>
    <row r="19" spans="1:20" ht="14.25">
      <c r="A19" s="679" t="s">
        <v>538</v>
      </c>
      <c r="B19" s="680">
        <f>估价对象房地状况!C10</f>
        <v>0</v>
      </c>
      <c r="C19" s="667" t="s">
        <v>534</v>
      </c>
      <c r="D19" s="686">
        <f t="shared" si="4"/>
        <v>0.02</v>
      </c>
      <c r="E19" s="687">
        <v>0.05</v>
      </c>
      <c r="F19" s="691"/>
      <c r="G19" s="929"/>
      <c r="H19" s="752">
        <v>0.02</v>
      </c>
      <c r="I19" s="666">
        <f t="shared" si="6"/>
        <v>0.04</v>
      </c>
      <c r="J19" s="666">
        <f t="shared" si="7"/>
        <v>0.02</v>
      </c>
      <c r="K19" s="665">
        <v>0</v>
      </c>
      <c r="L19" s="666">
        <f t="shared" si="5"/>
        <v>-0.02</v>
      </c>
      <c r="M19" s="666">
        <f t="shared" si="5"/>
        <v>-0.04</v>
      </c>
    </row>
    <row r="20" spans="1:20" ht="14.25">
      <c r="A20" s="679" t="s">
        <v>539</v>
      </c>
      <c r="B20" s="669" t="s">
        <v>558</v>
      </c>
      <c r="C20" s="667" t="s">
        <v>534</v>
      </c>
      <c r="D20" s="686">
        <f t="shared" si="4"/>
        <v>0.01</v>
      </c>
      <c r="E20" s="687">
        <v>0.05</v>
      </c>
      <c r="F20" s="691"/>
      <c r="G20" s="929"/>
      <c r="H20" s="752">
        <v>0.01</v>
      </c>
      <c r="I20" s="666">
        <f t="shared" si="6"/>
        <v>0.02</v>
      </c>
      <c r="J20" s="666">
        <f t="shared" si="7"/>
        <v>0.01</v>
      </c>
      <c r="K20" s="665">
        <v>0</v>
      </c>
      <c r="L20" s="666">
        <f t="shared" si="5"/>
        <v>-0.01</v>
      </c>
      <c r="M20" s="666">
        <f t="shared" si="5"/>
        <v>-0.02</v>
      </c>
    </row>
    <row r="21" spans="1:20" ht="14.25">
      <c r="A21" s="679" t="s">
        <v>540</v>
      </c>
      <c r="B21" s="878" t="str">
        <f>估价对象房地状况!C7</f>
        <v>估价对象所在区域公共配套设施齐备情况</v>
      </c>
      <c r="C21" s="667" t="s">
        <v>534</v>
      </c>
      <c r="D21" s="686">
        <f t="shared" si="4"/>
        <v>0.02</v>
      </c>
      <c r="E21" s="687">
        <v>0.06</v>
      </c>
      <c r="F21" s="691"/>
      <c r="G21" s="929"/>
      <c r="H21" s="752">
        <v>0.02</v>
      </c>
      <c r="I21" s="666">
        <f t="shared" si="6"/>
        <v>0.04</v>
      </c>
      <c r="J21" s="666">
        <f t="shared" si="7"/>
        <v>0.02</v>
      </c>
      <c r="K21" s="665">
        <v>0</v>
      </c>
      <c r="L21" s="666">
        <f t="shared" si="5"/>
        <v>-0.02</v>
      </c>
      <c r="M21" s="666">
        <f t="shared" si="5"/>
        <v>-0.04</v>
      </c>
    </row>
    <row r="22" spans="1:20" ht="14.25">
      <c r="A22" s="679" t="s">
        <v>541</v>
      </c>
      <c r="B22" s="879"/>
      <c r="C22" s="667" t="s">
        <v>534</v>
      </c>
      <c r="D22" s="686">
        <f t="shared" si="4"/>
        <v>0.01</v>
      </c>
      <c r="E22" s="687">
        <v>0.12</v>
      </c>
      <c r="F22" s="691"/>
      <c r="G22" s="929"/>
      <c r="H22" s="752">
        <v>0.01</v>
      </c>
      <c r="I22" s="666">
        <f t="shared" si="6"/>
        <v>0.02</v>
      </c>
      <c r="J22" s="666">
        <f t="shared" si="7"/>
        <v>0.01</v>
      </c>
      <c r="K22" s="665">
        <v>0</v>
      </c>
      <c r="L22" s="666">
        <f t="shared" si="5"/>
        <v>-0.01</v>
      </c>
      <c r="M22" s="666">
        <f t="shared" si="5"/>
        <v>-0.02</v>
      </c>
    </row>
    <row r="23" spans="1:20" ht="15" thickBot="1">
      <c r="A23" s="693" t="s">
        <v>542</v>
      </c>
      <c r="B23" s="697" t="str">
        <f>估价对象房地状况!C9</f>
        <v>区域自然环境：；人文环境；综合评价环境状况一般</v>
      </c>
      <c r="C23" s="667" t="s">
        <v>534</v>
      </c>
      <c r="D23" s="686">
        <f t="shared" si="4"/>
        <v>0.02</v>
      </c>
      <c r="E23" s="695">
        <v>0.06</v>
      </c>
      <c r="F23" s="696"/>
      <c r="G23" s="929"/>
      <c r="H23" s="752">
        <v>0.02</v>
      </c>
      <c r="I23" s="666">
        <f t="shared" si="6"/>
        <v>0.04</v>
      </c>
      <c r="J23" s="666">
        <f t="shared" si="7"/>
        <v>0.02</v>
      </c>
      <c r="K23" s="665">
        <v>0</v>
      </c>
      <c r="L23" s="666">
        <f t="shared" si="5"/>
        <v>-0.02</v>
      </c>
      <c r="M23" s="666">
        <f t="shared" si="5"/>
        <v>-0.04</v>
      </c>
    </row>
    <row r="24" spans="1:20" ht="18" customHeight="1">
      <c r="A24" s="674" t="s">
        <v>549</v>
      </c>
      <c r="B24" s="675">
        <f>1+F26</f>
        <v>1.0597000000000001</v>
      </c>
      <c r="C24" s="930"/>
      <c r="D24" s="677"/>
      <c r="E24" s="677"/>
      <c r="F24" s="678"/>
      <c r="G24" s="928"/>
      <c r="H24" s="924"/>
      <c r="I24" s="673"/>
      <c r="J24" s="673"/>
      <c r="K24" s="673"/>
      <c r="L24" s="673"/>
      <c r="M24" s="673"/>
    </row>
    <row r="25" spans="1:20" ht="13.5">
      <c r="A25" s="679" t="s">
        <v>530</v>
      </c>
      <c r="B25" s="680"/>
      <c r="C25" s="681" t="s">
        <v>532</v>
      </c>
      <c r="D25" s="682" t="s">
        <v>551</v>
      </c>
      <c r="E25" s="682" t="s">
        <v>552</v>
      </c>
      <c r="F25" s="683" t="s">
        <v>553</v>
      </c>
      <c r="G25" s="684" t="s">
        <v>755</v>
      </c>
      <c r="H25" s="682" t="s">
        <v>550</v>
      </c>
      <c r="I25" s="491" t="s">
        <v>82</v>
      </c>
      <c r="J25" s="491" t="s">
        <v>83</v>
      </c>
      <c r="K25" s="491" t="s">
        <v>84</v>
      </c>
      <c r="L25" s="491" t="s">
        <v>85</v>
      </c>
      <c r="M25" s="491" t="s">
        <v>86</v>
      </c>
    </row>
    <row r="26" spans="1:20" ht="24">
      <c r="A26" s="679" t="s">
        <v>544</v>
      </c>
      <c r="B26" s="685" t="str">
        <f>估价对象房地状况!C3</f>
        <v>估价对象周边居住用地比例、居住小区规模和社区发展完善程度，综合评价居住社区成熟度一般</v>
      </c>
      <c r="C26" s="667" t="s">
        <v>534</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0</v>
      </c>
      <c r="H26" s="752">
        <v>0.08</v>
      </c>
      <c r="I26" s="666">
        <f>J26+$H26</f>
        <v>0.16</v>
      </c>
      <c r="J26" s="666">
        <f>$K26+$H26</f>
        <v>0.08</v>
      </c>
      <c r="K26" s="665">
        <v>0</v>
      </c>
      <c r="L26" s="666">
        <f t="shared" ref="L26:M34" si="9">K26-$H26</f>
        <v>-0.08</v>
      </c>
      <c r="M26" s="666">
        <f t="shared" si="9"/>
        <v>-0.16</v>
      </c>
    </row>
    <row r="27" spans="1:20" ht="24">
      <c r="A27" s="679" t="s">
        <v>535</v>
      </c>
      <c r="B27" s="680" t="str">
        <f>估价对象房地状况!C6</f>
        <v>估价对象周边道路状况、公共交通通达情况、停车便捷程度，综合评价交通便捷度较好</v>
      </c>
      <c r="C27" s="667" t="s">
        <v>534</v>
      </c>
      <c r="D27" s="686">
        <f t="shared" si="8"/>
        <v>0.08</v>
      </c>
      <c r="E27" s="687">
        <v>0.3</v>
      </c>
      <c r="F27" s="698"/>
      <c r="G27" s="931"/>
      <c r="H27" s="752">
        <v>0.08</v>
      </c>
      <c r="I27" s="666">
        <f t="shared" ref="I27:I34" si="10">J27+$H27</f>
        <v>0.16</v>
      </c>
      <c r="J27" s="666">
        <f t="shared" ref="J27:J34" si="11">$K27+$H27</f>
        <v>0.08</v>
      </c>
      <c r="K27" s="665">
        <v>0</v>
      </c>
      <c r="L27" s="666">
        <f t="shared" si="9"/>
        <v>-0.08</v>
      </c>
      <c r="M27" s="666">
        <f t="shared" si="9"/>
        <v>-0.16</v>
      </c>
    </row>
    <row r="28" spans="1:20" ht="14.25">
      <c r="A28" s="679" t="s">
        <v>536</v>
      </c>
      <c r="B28" s="680">
        <f>估价对象房地状况!C19</f>
        <v>0</v>
      </c>
      <c r="C28" s="667" t="s">
        <v>534</v>
      </c>
      <c r="D28" s="686">
        <f t="shared" si="8"/>
        <v>0.03</v>
      </c>
      <c r="E28" s="687">
        <v>0.08</v>
      </c>
      <c r="F28" s="698"/>
      <c r="G28" s="931"/>
      <c r="H28" s="752">
        <v>0.03</v>
      </c>
      <c r="I28" s="666">
        <f t="shared" si="10"/>
        <v>0.06</v>
      </c>
      <c r="J28" s="666">
        <f t="shared" si="11"/>
        <v>0.03</v>
      </c>
      <c r="K28" s="665">
        <v>0</v>
      </c>
      <c r="L28" s="666">
        <f t="shared" si="9"/>
        <v>-0.03</v>
      </c>
      <c r="M28" s="666">
        <f t="shared" si="9"/>
        <v>-0.06</v>
      </c>
    </row>
    <row r="29" spans="1:20" ht="14.25">
      <c r="A29" s="679" t="s">
        <v>545</v>
      </c>
      <c r="B29" s="680">
        <f>估价对象房地状况!C10</f>
        <v>0</v>
      </c>
      <c r="C29" s="667" t="s">
        <v>29</v>
      </c>
      <c r="D29" s="686">
        <f t="shared" si="8"/>
        <v>0.05</v>
      </c>
      <c r="E29" s="687">
        <v>0.04</v>
      </c>
      <c r="F29" s="698"/>
      <c r="G29" s="931"/>
      <c r="H29" s="752">
        <v>2.5000000000000001E-2</v>
      </c>
      <c r="I29" s="666">
        <f t="shared" si="10"/>
        <v>0.05</v>
      </c>
      <c r="J29" s="666">
        <f t="shared" si="11"/>
        <v>2.5000000000000001E-2</v>
      </c>
      <c r="K29" s="665">
        <v>0</v>
      </c>
      <c r="L29" s="666">
        <f t="shared" si="9"/>
        <v>-2.5000000000000001E-2</v>
      </c>
      <c r="M29" s="666">
        <f t="shared" si="9"/>
        <v>-0.05</v>
      </c>
    </row>
    <row r="30" spans="1:20" s="927" customFormat="1" ht="14.25">
      <c r="A30" s="679" t="s">
        <v>540</v>
      </c>
      <c r="B30" s="878" t="str">
        <f>估价对象房地状况!C7</f>
        <v>估价对象所在区域公共配套设施齐备情况</v>
      </c>
      <c r="C30" s="667" t="s">
        <v>534</v>
      </c>
      <c r="D30" s="686">
        <f t="shared" si="8"/>
        <v>0.03</v>
      </c>
      <c r="E30" s="687">
        <v>0.08</v>
      </c>
      <c r="F30" s="698"/>
      <c r="G30" s="931"/>
      <c r="H30" s="752">
        <v>0.03</v>
      </c>
      <c r="I30" s="666">
        <f t="shared" si="10"/>
        <v>0.06</v>
      </c>
      <c r="J30" s="666">
        <f t="shared" si="11"/>
        <v>0.03</v>
      </c>
      <c r="K30" s="665">
        <v>0</v>
      </c>
      <c r="L30" s="666">
        <f t="shared" si="9"/>
        <v>-0.03</v>
      </c>
      <c r="M30" s="666">
        <f t="shared" si="9"/>
        <v>-0.06</v>
      </c>
      <c r="N30" s="926"/>
      <c r="O30" s="926"/>
      <c r="P30" s="926"/>
      <c r="Q30" s="926"/>
      <c r="R30" s="926"/>
      <c r="S30" s="926"/>
      <c r="T30" s="926"/>
    </row>
    <row r="31" spans="1:20" ht="14.25">
      <c r="A31" s="679" t="s">
        <v>541</v>
      </c>
      <c r="B31" s="879"/>
      <c r="C31" s="667" t="s">
        <v>29</v>
      </c>
      <c r="D31" s="686">
        <f t="shared" si="8"/>
        <v>0.06</v>
      </c>
      <c r="E31" s="687">
        <v>0.12</v>
      </c>
      <c r="F31" s="698"/>
      <c r="G31" s="931"/>
      <c r="H31" s="752">
        <v>0.03</v>
      </c>
      <c r="I31" s="666">
        <f t="shared" si="10"/>
        <v>0.06</v>
      </c>
      <c r="J31" s="666">
        <f t="shared" si="11"/>
        <v>0.03</v>
      </c>
      <c r="K31" s="665">
        <v>0</v>
      </c>
      <c r="L31" s="666">
        <f t="shared" si="9"/>
        <v>-0.03</v>
      </c>
      <c r="M31" s="666">
        <f t="shared" si="9"/>
        <v>-0.06</v>
      </c>
    </row>
    <row r="32" spans="1:20" ht="14.25">
      <c r="A32" s="679" t="s">
        <v>539</v>
      </c>
      <c r="B32" s="669" t="s">
        <v>558</v>
      </c>
      <c r="C32" s="667" t="s">
        <v>30</v>
      </c>
      <c r="D32" s="686">
        <f t="shared" si="8"/>
        <v>0.03</v>
      </c>
      <c r="E32" s="687">
        <v>0.05</v>
      </c>
      <c r="F32" s="698"/>
      <c r="G32" s="931"/>
      <c r="H32" s="752">
        <v>0.03</v>
      </c>
      <c r="I32" s="666">
        <f t="shared" si="10"/>
        <v>0.06</v>
      </c>
      <c r="J32" s="666">
        <f t="shared" si="11"/>
        <v>0.03</v>
      </c>
      <c r="K32" s="665">
        <v>0</v>
      </c>
      <c r="L32" s="666">
        <f t="shared" si="9"/>
        <v>-0.03</v>
      </c>
      <c r="M32" s="666">
        <f t="shared" si="9"/>
        <v>-0.06</v>
      </c>
    </row>
    <row r="33" spans="1:13" ht="14.25">
      <c r="A33" s="679" t="s">
        <v>542</v>
      </c>
      <c r="B33" s="685" t="str">
        <f>估价对象房地状况!C9</f>
        <v>区域自然环境：；人文环境；综合评价环境状况一般</v>
      </c>
      <c r="C33" s="667" t="s">
        <v>534</v>
      </c>
      <c r="D33" s="686">
        <f t="shared" si="8"/>
        <v>0.06</v>
      </c>
      <c r="E33" s="687">
        <v>0.15</v>
      </c>
      <c r="F33" s="698"/>
      <c r="G33" s="931"/>
      <c r="H33" s="752">
        <v>0.06</v>
      </c>
      <c r="I33" s="666">
        <f t="shared" si="10"/>
        <v>0.12</v>
      </c>
      <c r="J33" s="666">
        <f t="shared" si="11"/>
        <v>0.06</v>
      </c>
      <c r="K33" s="665">
        <v>0</v>
      </c>
      <c r="L33" s="666">
        <f t="shared" si="9"/>
        <v>-0.06</v>
      </c>
      <c r="M33" s="666">
        <f t="shared" si="9"/>
        <v>-0.12</v>
      </c>
    </row>
    <row r="34" spans="1:13" ht="15" thickBot="1">
      <c r="A34" s="693" t="s">
        <v>546</v>
      </c>
      <c r="B34" s="670" t="s">
        <v>559</v>
      </c>
      <c r="C34" s="667" t="s">
        <v>31</v>
      </c>
      <c r="D34" s="686">
        <f t="shared" si="8"/>
        <v>0</v>
      </c>
      <c r="E34" s="695">
        <v>0.04</v>
      </c>
      <c r="F34" s="699"/>
      <c r="G34" s="931"/>
      <c r="H34" s="752">
        <v>0.03</v>
      </c>
      <c r="I34" s="666">
        <f t="shared" si="10"/>
        <v>0.06</v>
      </c>
      <c r="J34" s="666">
        <f t="shared" si="11"/>
        <v>0.03</v>
      </c>
      <c r="K34" s="665">
        <v>0</v>
      </c>
      <c r="L34" s="666">
        <f t="shared" si="9"/>
        <v>-0.03</v>
      </c>
      <c r="M34" s="666">
        <f t="shared" si="9"/>
        <v>-0.06</v>
      </c>
    </row>
    <row r="35" spans="1:13" ht="15">
      <c r="A35" s="674" t="s">
        <v>134</v>
      </c>
      <c r="B35" s="675">
        <f>1+F37</f>
        <v>1.0127999999999999</v>
      </c>
      <c r="C35" s="930"/>
      <c r="D35" s="677"/>
      <c r="E35" s="677"/>
      <c r="F35" s="678"/>
      <c r="G35" s="928"/>
      <c r="H35" s="924"/>
      <c r="I35" s="673"/>
      <c r="J35" s="673"/>
      <c r="K35" s="673"/>
      <c r="L35" s="673"/>
      <c r="M35" s="673"/>
    </row>
    <row r="36" spans="1:13" ht="13.5">
      <c r="A36" s="679" t="s">
        <v>530</v>
      </c>
      <c r="B36" s="680"/>
      <c r="C36" s="681" t="s">
        <v>532</v>
      </c>
      <c r="D36" s="682" t="s">
        <v>551</v>
      </c>
      <c r="E36" s="682" t="s">
        <v>552</v>
      </c>
      <c r="F36" s="683" t="s">
        <v>553</v>
      </c>
      <c r="G36" s="684" t="s">
        <v>756</v>
      </c>
      <c r="H36" s="682" t="s">
        <v>550</v>
      </c>
      <c r="I36" s="491" t="s">
        <v>82</v>
      </c>
      <c r="J36" s="491" t="s">
        <v>83</v>
      </c>
      <c r="K36" s="491" t="s">
        <v>84</v>
      </c>
      <c r="L36" s="491" t="s">
        <v>85</v>
      </c>
      <c r="M36" s="491" t="s">
        <v>86</v>
      </c>
    </row>
    <row r="37" spans="1:13" ht="24">
      <c r="A37" s="679" t="s">
        <v>547</v>
      </c>
      <c r="B37" s="680" t="str">
        <f>估价对象房地状况!G3</f>
        <v>估价对象位于XX开发区，园区建设成熟度XX，产业集聚程度XX</v>
      </c>
      <c r="C37" s="667" t="s">
        <v>534</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52">
        <v>0.02</v>
      </c>
      <c r="I37" s="666">
        <f>J37+$H37</f>
        <v>0.04</v>
      </c>
      <c r="J37" s="666">
        <f>$K37+$H37</f>
        <v>0.02</v>
      </c>
      <c r="K37" s="665">
        <v>0</v>
      </c>
      <c r="L37" s="666">
        <f t="shared" ref="L37:M44" si="13">K37-$H37</f>
        <v>-0.02</v>
      </c>
      <c r="M37" s="666">
        <f t="shared" si="13"/>
        <v>-0.04</v>
      </c>
    </row>
    <row r="38" spans="1:13" ht="24">
      <c r="A38" s="679" t="s">
        <v>535</v>
      </c>
      <c r="B38" s="680" t="str">
        <f>估价对象房地状况!G4</f>
        <v>估价对象周边道路状况、公共交通通达情况、停车便捷程度，综合评价交通便捷度较好</v>
      </c>
      <c r="C38" s="667" t="s">
        <v>534</v>
      </c>
      <c r="D38" s="686">
        <f t="shared" si="12"/>
        <v>0.01</v>
      </c>
      <c r="E38" s="687">
        <v>0.33</v>
      </c>
      <c r="F38" s="698"/>
      <c r="G38" s="931"/>
      <c r="H38" s="752">
        <v>0.01</v>
      </c>
      <c r="I38" s="666">
        <f t="shared" ref="I38:I44" si="14">J38+$H38</f>
        <v>0.02</v>
      </c>
      <c r="J38" s="666">
        <f t="shared" ref="J38:J44" si="15">$K38+$H38</f>
        <v>0.01</v>
      </c>
      <c r="K38" s="665">
        <v>0</v>
      </c>
      <c r="L38" s="666">
        <f t="shared" si="13"/>
        <v>-0.01</v>
      </c>
      <c r="M38" s="666">
        <f t="shared" si="13"/>
        <v>-0.02</v>
      </c>
    </row>
    <row r="39" spans="1:13" ht="14.25">
      <c r="A39" s="679" t="s">
        <v>536</v>
      </c>
      <c r="B39" s="680">
        <f>估价对象房地状况!G17</f>
        <v>0</v>
      </c>
      <c r="C39" s="667" t="s">
        <v>534</v>
      </c>
      <c r="D39" s="686">
        <f t="shared" si="12"/>
        <v>0.02</v>
      </c>
      <c r="E39" s="687">
        <v>0.05</v>
      </c>
      <c r="F39" s="698"/>
      <c r="G39" s="931"/>
      <c r="H39" s="752">
        <v>0.02</v>
      </c>
      <c r="I39" s="666">
        <f t="shared" si="14"/>
        <v>0.04</v>
      </c>
      <c r="J39" s="666">
        <f t="shared" si="15"/>
        <v>0.02</v>
      </c>
      <c r="K39" s="665">
        <v>0</v>
      </c>
      <c r="L39" s="666">
        <f t="shared" si="13"/>
        <v>-0.02</v>
      </c>
      <c r="M39" s="666">
        <f t="shared" si="13"/>
        <v>-0.04</v>
      </c>
    </row>
    <row r="40" spans="1:13" ht="14.25">
      <c r="A40" s="679" t="s">
        <v>545</v>
      </c>
      <c r="B40" s="680">
        <f>估价对象房地状况!G22</f>
        <v>0</v>
      </c>
      <c r="C40" s="667" t="s">
        <v>534</v>
      </c>
      <c r="D40" s="686">
        <f t="shared" si="12"/>
        <v>0.01</v>
      </c>
      <c r="E40" s="687">
        <v>0.04</v>
      </c>
      <c r="F40" s="698"/>
      <c r="G40" s="931"/>
      <c r="H40" s="752">
        <v>0.01</v>
      </c>
      <c r="I40" s="666">
        <f t="shared" si="14"/>
        <v>0.02</v>
      </c>
      <c r="J40" s="666">
        <f t="shared" si="15"/>
        <v>0.01</v>
      </c>
      <c r="K40" s="665">
        <v>0</v>
      </c>
      <c r="L40" s="666">
        <f t="shared" si="13"/>
        <v>-0.01</v>
      </c>
      <c r="M40" s="666">
        <f t="shared" si="13"/>
        <v>-0.02</v>
      </c>
    </row>
    <row r="41" spans="1:13" ht="14.25">
      <c r="A41" s="679" t="s">
        <v>540</v>
      </c>
      <c r="B41" s="878" t="str">
        <f>估价对象房地状况!G19</f>
        <v>估价对象所在区域公共配套设施齐备情况</v>
      </c>
      <c r="C41" s="667" t="s">
        <v>534</v>
      </c>
      <c r="D41" s="686">
        <f t="shared" si="12"/>
        <v>0.02</v>
      </c>
      <c r="E41" s="687">
        <v>0.06</v>
      </c>
      <c r="F41" s="698"/>
      <c r="G41" s="931"/>
      <c r="H41" s="752">
        <v>0.02</v>
      </c>
      <c r="I41" s="666">
        <f t="shared" si="14"/>
        <v>0.04</v>
      </c>
      <c r="J41" s="666">
        <f t="shared" si="15"/>
        <v>0.02</v>
      </c>
      <c r="K41" s="665">
        <v>0</v>
      </c>
      <c r="L41" s="666">
        <f t="shared" si="13"/>
        <v>-0.02</v>
      </c>
      <c r="M41" s="666">
        <f t="shared" si="13"/>
        <v>-0.04</v>
      </c>
    </row>
    <row r="42" spans="1:13" ht="14.25">
      <c r="A42" s="679" t="s">
        <v>541</v>
      </c>
      <c r="B42" s="879"/>
      <c r="C42" s="667" t="s">
        <v>534</v>
      </c>
      <c r="D42" s="686">
        <f t="shared" si="12"/>
        <v>0.01</v>
      </c>
      <c r="E42" s="687">
        <v>0.15</v>
      </c>
      <c r="F42" s="698"/>
      <c r="G42" s="931"/>
      <c r="H42" s="752">
        <v>0.01</v>
      </c>
      <c r="I42" s="666">
        <f t="shared" si="14"/>
        <v>0.02</v>
      </c>
      <c r="J42" s="666">
        <f t="shared" si="15"/>
        <v>0.01</v>
      </c>
      <c r="K42" s="665">
        <v>0</v>
      </c>
      <c r="L42" s="666">
        <f t="shared" si="13"/>
        <v>-0.01</v>
      </c>
      <c r="M42" s="666">
        <f t="shared" si="13"/>
        <v>-0.02</v>
      </c>
    </row>
    <row r="43" spans="1:13" ht="14.25">
      <c r="A43" s="679" t="s">
        <v>539</v>
      </c>
      <c r="B43" s="669" t="s">
        <v>558</v>
      </c>
      <c r="C43" s="667" t="s">
        <v>32</v>
      </c>
      <c r="D43" s="686">
        <f t="shared" si="12"/>
        <v>-0.02</v>
      </c>
      <c r="E43" s="687">
        <v>0.05</v>
      </c>
      <c r="F43" s="698"/>
      <c r="G43" s="931"/>
      <c r="H43" s="752">
        <v>0.02</v>
      </c>
      <c r="I43" s="666">
        <f t="shared" si="14"/>
        <v>0.04</v>
      </c>
      <c r="J43" s="666">
        <f t="shared" si="15"/>
        <v>0.02</v>
      </c>
      <c r="K43" s="665">
        <v>0</v>
      </c>
      <c r="L43" s="666">
        <f t="shared" si="13"/>
        <v>-0.02</v>
      </c>
      <c r="M43" s="666">
        <f t="shared" si="13"/>
        <v>-0.04</v>
      </c>
    </row>
    <row r="44" spans="1:13" ht="24.75" thickBot="1">
      <c r="A44" s="693" t="s">
        <v>548</v>
      </c>
      <c r="B44" s="700" t="str">
        <f>估价对象房地状况!G18</f>
        <v>该园区内是否有污染型企业，绿化情况，卫生条件，整体环境状况判断</v>
      </c>
      <c r="C44" s="667" t="s">
        <v>29</v>
      </c>
      <c r="D44" s="686">
        <f t="shared" si="12"/>
        <v>0.02</v>
      </c>
      <c r="E44" s="695">
        <v>0.06</v>
      </c>
      <c r="F44" s="699"/>
      <c r="G44" s="931"/>
      <c r="H44" s="752">
        <v>0.01</v>
      </c>
      <c r="I44" s="666">
        <f t="shared" si="14"/>
        <v>0.02</v>
      </c>
      <c r="J44" s="666">
        <f t="shared" si="15"/>
        <v>0.01</v>
      </c>
      <c r="K44" s="665">
        <v>0</v>
      </c>
      <c r="L44" s="666">
        <f t="shared" si="13"/>
        <v>-0.01</v>
      </c>
      <c r="M44" s="666">
        <f t="shared" si="13"/>
        <v>-0.02</v>
      </c>
    </row>
    <row r="45" spans="1:13" s="926" customFormat="1" ht="18" customHeight="1">
      <c r="B45" s="932"/>
      <c r="C45" s="880"/>
      <c r="D45" s="933"/>
      <c r="E45" s="933"/>
      <c r="F45" s="934"/>
      <c r="H45" s="934"/>
    </row>
    <row r="46" spans="1:13" s="926" customFormat="1" ht="18" customHeight="1">
      <c r="B46" s="932"/>
      <c r="C46" s="880"/>
      <c r="D46" s="933"/>
      <c r="E46" s="933"/>
      <c r="F46" s="934"/>
      <c r="H46" s="934"/>
    </row>
    <row r="47" spans="1:13" s="926" customFormat="1" ht="18" customHeight="1">
      <c r="B47" s="932"/>
      <c r="C47" s="880"/>
      <c r="D47" s="933"/>
      <c r="E47" s="933"/>
      <c r="F47" s="934"/>
      <c r="H47" s="934"/>
    </row>
    <row r="48" spans="1:13" s="926" customFormat="1" ht="18" customHeight="1">
      <c r="B48" s="932"/>
      <c r="C48" s="880"/>
      <c r="D48" s="933"/>
      <c r="E48" s="933"/>
      <c r="F48" s="934"/>
      <c r="H48" s="934"/>
    </row>
    <row r="49" spans="2:8" s="926" customFormat="1" ht="18" customHeight="1">
      <c r="B49" s="932"/>
      <c r="C49" s="880"/>
      <c r="D49" s="933"/>
      <c r="E49" s="933"/>
      <c r="F49" s="934"/>
      <c r="H49" s="934"/>
    </row>
    <row r="50" spans="2:8" s="926" customFormat="1" ht="18" customHeight="1">
      <c r="B50" s="932"/>
      <c r="C50" s="880"/>
      <c r="D50" s="933"/>
      <c r="E50" s="933"/>
      <c r="F50" s="934"/>
      <c r="H50" s="934"/>
    </row>
    <row r="51" spans="2:8" s="926" customFormat="1" ht="18" customHeight="1">
      <c r="B51" s="932"/>
      <c r="C51" s="880"/>
      <c r="D51" s="933"/>
      <c r="E51" s="933"/>
      <c r="F51" s="934"/>
      <c r="H51" s="934"/>
    </row>
    <row r="52" spans="2:8" s="926" customFormat="1" ht="18" customHeight="1">
      <c r="B52" s="932"/>
      <c r="C52" s="880"/>
      <c r="D52" s="933"/>
      <c r="E52" s="933"/>
      <c r="F52" s="934"/>
      <c r="H52" s="934"/>
    </row>
    <row r="53" spans="2:8" s="926" customFormat="1" ht="18" customHeight="1">
      <c r="B53" s="932"/>
      <c r="C53" s="880"/>
      <c r="D53" s="933"/>
      <c r="E53" s="933"/>
      <c r="F53" s="934"/>
      <c r="H53" s="934"/>
    </row>
    <row r="54" spans="2:8" s="926" customFormat="1" ht="18" customHeight="1">
      <c r="B54" s="932"/>
      <c r="C54" s="880"/>
      <c r="D54" s="933"/>
      <c r="E54" s="933"/>
      <c r="F54" s="934"/>
      <c r="H54" s="934"/>
    </row>
    <row r="55" spans="2:8" s="926" customFormat="1" ht="18" customHeight="1">
      <c r="B55" s="932"/>
      <c r="C55" s="880"/>
      <c r="D55" s="933"/>
      <c r="E55" s="933"/>
      <c r="F55" s="934"/>
      <c r="H55" s="934"/>
    </row>
    <row r="56" spans="2:8" s="926" customFormat="1" ht="18" customHeight="1">
      <c r="B56" s="932"/>
      <c r="C56" s="880"/>
      <c r="D56" s="933"/>
      <c r="E56" s="933"/>
      <c r="F56" s="934"/>
      <c r="H56" s="934"/>
    </row>
    <row r="57" spans="2:8" s="926" customFormat="1" ht="18" customHeight="1">
      <c r="B57" s="932"/>
      <c r="C57" s="880"/>
      <c r="D57" s="933"/>
      <c r="E57" s="933"/>
      <c r="F57" s="934"/>
      <c r="H57" s="934"/>
    </row>
    <row r="58" spans="2:8" s="926" customFormat="1" ht="18" customHeight="1">
      <c r="B58" s="932"/>
      <c r="C58" s="880"/>
      <c r="D58" s="933"/>
      <c r="E58" s="933"/>
      <c r="F58" s="934"/>
      <c r="H58" s="934"/>
    </row>
    <row r="59" spans="2:8" s="926" customFormat="1" ht="18" customHeight="1">
      <c r="B59" s="932"/>
      <c r="C59" s="880"/>
      <c r="D59" s="933"/>
      <c r="E59" s="933"/>
      <c r="F59" s="934"/>
      <c r="H59" s="934"/>
    </row>
    <row r="60" spans="2:8" s="926" customFormat="1" ht="18" customHeight="1">
      <c r="B60" s="932"/>
      <c r="C60" s="880"/>
      <c r="D60" s="933"/>
      <c r="E60" s="933"/>
      <c r="F60" s="934"/>
      <c r="H60" s="934"/>
    </row>
    <row r="61" spans="2:8" s="926" customFormat="1" ht="18" customHeight="1">
      <c r="B61" s="932"/>
      <c r="C61" s="880"/>
      <c r="D61" s="933"/>
      <c r="E61" s="933"/>
      <c r="F61" s="934"/>
      <c r="H61" s="934"/>
    </row>
    <row r="62" spans="2:8" s="926" customFormat="1" ht="18" customHeight="1">
      <c r="B62" s="932"/>
      <c r="C62" s="880"/>
      <c r="D62" s="933"/>
      <c r="E62" s="933"/>
      <c r="F62" s="934"/>
      <c r="H62" s="934"/>
    </row>
    <row r="63" spans="2:8" s="926" customFormat="1" ht="18" customHeight="1">
      <c r="B63" s="932"/>
      <c r="C63" s="880"/>
      <c r="D63" s="933"/>
      <c r="E63" s="933"/>
      <c r="F63" s="934"/>
      <c r="H63" s="934"/>
    </row>
    <row r="64" spans="2:8" s="926" customFormat="1" ht="18" customHeight="1">
      <c r="B64" s="932"/>
      <c r="C64" s="880"/>
      <c r="D64" s="933"/>
      <c r="E64" s="933"/>
      <c r="F64" s="934"/>
      <c r="H64" s="934"/>
    </row>
    <row r="65" spans="2:8" s="926" customFormat="1" ht="18" customHeight="1">
      <c r="B65" s="932"/>
      <c r="C65" s="880"/>
      <c r="D65" s="933"/>
      <c r="E65" s="933"/>
      <c r="F65" s="934"/>
      <c r="H65" s="934"/>
    </row>
    <row r="66" spans="2:8" s="926" customFormat="1" ht="18" customHeight="1">
      <c r="B66" s="932"/>
      <c r="C66" s="880"/>
      <c r="D66" s="933"/>
      <c r="E66" s="933"/>
      <c r="F66" s="934"/>
      <c r="H66" s="934"/>
    </row>
    <row r="67" spans="2:8" s="926" customFormat="1" ht="18" customHeight="1">
      <c r="B67" s="932"/>
      <c r="C67" s="880"/>
      <c r="D67" s="933"/>
      <c r="E67" s="933"/>
      <c r="F67" s="934"/>
      <c r="H67" s="934"/>
    </row>
    <row r="68" spans="2:8" s="926" customFormat="1" ht="18" customHeight="1">
      <c r="B68" s="932"/>
      <c r="C68" s="880"/>
      <c r="D68" s="933"/>
      <c r="E68" s="933"/>
      <c r="F68" s="934"/>
      <c r="H68" s="934"/>
    </row>
    <row r="69" spans="2:8" s="926" customFormat="1" ht="18" customHeight="1">
      <c r="B69" s="932"/>
      <c r="C69" s="880"/>
      <c r="D69" s="933"/>
      <c r="E69" s="933"/>
      <c r="F69" s="934"/>
      <c r="H69" s="934"/>
    </row>
    <row r="70" spans="2:8" s="926" customFormat="1" ht="18" customHeight="1">
      <c r="B70" s="932"/>
      <c r="C70" s="880"/>
      <c r="D70" s="933"/>
      <c r="E70" s="933"/>
      <c r="F70" s="934"/>
      <c r="H70" s="934"/>
    </row>
    <row r="71" spans="2:8" s="926" customFormat="1" ht="18" customHeight="1">
      <c r="B71" s="932"/>
      <c r="C71" s="880"/>
      <c r="D71" s="933"/>
      <c r="E71" s="933"/>
      <c r="F71" s="934"/>
      <c r="H71" s="934"/>
    </row>
    <row r="72" spans="2:8" s="926" customFormat="1" ht="18" customHeight="1">
      <c r="B72" s="932"/>
      <c r="C72" s="880"/>
      <c r="D72" s="933"/>
      <c r="E72" s="933"/>
      <c r="F72" s="934"/>
      <c r="H72" s="934"/>
    </row>
    <row r="73" spans="2:8" s="926" customFormat="1" ht="18" customHeight="1">
      <c r="B73" s="932"/>
      <c r="C73" s="880"/>
      <c r="D73" s="933"/>
      <c r="E73" s="933"/>
      <c r="F73" s="934"/>
      <c r="H73" s="934"/>
    </row>
    <row r="74" spans="2:8" s="926" customFormat="1" ht="18" customHeight="1">
      <c r="B74" s="932"/>
      <c r="C74" s="880"/>
      <c r="D74" s="933"/>
      <c r="E74" s="933"/>
      <c r="F74" s="934"/>
      <c r="H74" s="934"/>
    </row>
    <row r="75" spans="2:8" s="926" customFormat="1" ht="18" customHeight="1">
      <c r="B75" s="932"/>
      <c r="C75" s="880"/>
      <c r="D75" s="933"/>
      <c r="E75" s="933"/>
      <c r="F75" s="934"/>
      <c r="H75" s="934"/>
    </row>
    <row r="76" spans="2:8" s="926" customFormat="1" ht="18" customHeight="1">
      <c r="B76" s="932"/>
      <c r="C76" s="880"/>
      <c r="D76" s="933"/>
      <c r="E76" s="933"/>
      <c r="F76" s="934"/>
      <c r="H76" s="934"/>
    </row>
    <row r="77" spans="2:8" s="926" customFormat="1" ht="18" customHeight="1">
      <c r="B77" s="932"/>
      <c r="C77" s="880"/>
      <c r="D77" s="933"/>
      <c r="E77" s="933"/>
      <c r="F77" s="934"/>
      <c r="H77" s="934"/>
    </row>
    <row r="78" spans="2:8" s="926" customFormat="1" ht="18" customHeight="1">
      <c r="B78" s="932"/>
      <c r="C78" s="880"/>
      <c r="D78" s="933"/>
      <c r="E78" s="933"/>
      <c r="F78" s="934"/>
      <c r="H78" s="934"/>
    </row>
    <row r="79" spans="2:8" s="926" customFormat="1" ht="18" customHeight="1">
      <c r="B79" s="932"/>
      <c r="C79" s="880"/>
      <c r="D79" s="933"/>
      <c r="E79" s="933"/>
      <c r="F79" s="934"/>
      <c r="H79" s="934"/>
    </row>
    <row r="80" spans="2:8" s="926" customFormat="1" ht="18" customHeight="1">
      <c r="B80" s="932"/>
      <c r="C80" s="880"/>
      <c r="D80" s="933"/>
      <c r="E80" s="933"/>
      <c r="F80" s="934"/>
      <c r="H80" s="934"/>
    </row>
    <row r="81" spans="2:8" s="926" customFormat="1" ht="18" customHeight="1">
      <c r="B81" s="932"/>
      <c r="C81" s="880"/>
      <c r="D81" s="933"/>
      <c r="E81" s="933"/>
      <c r="F81" s="934"/>
      <c r="H81" s="934"/>
    </row>
    <row r="82" spans="2:8" s="926" customFormat="1" ht="18" customHeight="1">
      <c r="B82" s="932"/>
      <c r="C82" s="880"/>
      <c r="D82" s="933"/>
      <c r="E82" s="933"/>
      <c r="F82" s="934"/>
      <c r="H82" s="934"/>
    </row>
    <row r="83" spans="2:8" s="926" customFormat="1" ht="18" customHeight="1">
      <c r="B83" s="932"/>
      <c r="C83" s="880"/>
      <c r="D83" s="933"/>
      <c r="E83" s="933"/>
      <c r="F83" s="934"/>
      <c r="H83" s="934"/>
    </row>
    <row r="84" spans="2:8" s="926" customFormat="1" ht="18" customHeight="1">
      <c r="B84" s="932"/>
      <c r="C84" s="880"/>
      <c r="D84" s="933"/>
      <c r="E84" s="933"/>
      <c r="F84" s="934"/>
      <c r="H84" s="934"/>
    </row>
    <row r="85" spans="2:8" s="926" customFormat="1" ht="18" customHeight="1">
      <c r="B85" s="932"/>
      <c r="C85" s="880"/>
      <c r="D85" s="933"/>
      <c r="E85" s="933"/>
      <c r="F85" s="934"/>
      <c r="H85" s="934"/>
    </row>
    <row r="86" spans="2:8" s="926" customFormat="1" ht="18" customHeight="1">
      <c r="B86" s="932"/>
      <c r="C86" s="880"/>
      <c r="D86" s="933"/>
      <c r="E86" s="933"/>
      <c r="F86" s="934"/>
      <c r="H86" s="934"/>
    </row>
    <row r="87" spans="2:8" s="926" customFormat="1" ht="18" customHeight="1">
      <c r="B87" s="932"/>
      <c r="C87" s="880"/>
      <c r="D87" s="933"/>
      <c r="E87" s="933"/>
      <c r="F87" s="934"/>
      <c r="H87" s="934"/>
    </row>
    <row r="88" spans="2:8" s="926" customFormat="1" ht="18" customHeight="1">
      <c r="B88" s="932"/>
      <c r="C88" s="880"/>
      <c r="D88" s="933"/>
      <c r="E88" s="933"/>
      <c r="F88" s="934"/>
      <c r="H88" s="934"/>
    </row>
    <row r="89" spans="2:8" s="926" customFormat="1" ht="18" customHeight="1">
      <c r="B89" s="932"/>
      <c r="C89" s="880"/>
      <c r="D89" s="933"/>
      <c r="E89" s="933"/>
      <c r="F89" s="934"/>
      <c r="H89" s="934"/>
    </row>
    <row r="90" spans="2:8" s="926" customFormat="1" ht="18" customHeight="1">
      <c r="B90" s="932"/>
      <c r="C90" s="880"/>
      <c r="D90" s="933"/>
      <c r="E90" s="933"/>
      <c r="F90" s="934"/>
      <c r="H90" s="934"/>
    </row>
    <row r="91" spans="2:8" s="926" customFormat="1" ht="18" customHeight="1">
      <c r="B91" s="932"/>
      <c r="C91" s="880"/>
      <c r="D91" s="933"/>
      <c r="E91" s="933"/>
      <c r="F91" s="934"/>
      <c r="H91" s="934"/>
    </row>
    <row r="92" spans="2:8" s="926" customFormat="1" ht="18" customHeight="1">
      <c r="B92" s="932"/>
      <c r="C92" s="880"/>
      <c r="D92" s="933"/>
      <c r="E92" s="933"/>
      <c r="F92" s="934"/>
      <c r="H92" s="934"/>
    </row>
    <row r="93" spans="2:8" s="926" customFormat="1" ht="18" customHeight="1">
      <c r="B93" s="932"/>
      <c r="C93" s="880"/>
      <c r="D93" s="933"/>
      <c r="E93" s="933"/>
      <c r="F93" s="934"/>
      <c r="H93" s="934"/>
    </row>
    <row r="94" spans="2:8" s="926" customFormat="1" ht="18" customHeight="1">
      <c r="B94" s="932"/>
      <c r="C94" s="880"/>
      <c r="D94" s="933"/>
      <c r="E94" s="933"/>
      <c r="F94" s="934"/>
      <c r="H94" s="934"/>
    </row>
    <row r="95" spans="2:8" s="926" customFormat="1" ht="18" customHeight="1">
      <c r="B95" s="932"/>
      <c r="C95" s="880"/>
      <c r="D95" s="933"/>
      <c r="E95" s="933"/>
      <c r="F95" s="934"/>
      <c r="H95" s="934"/>
    </row>
    <row r="96" spans="2:8" s="926" customFormat="1" ht="18" customHeight="1">
      <c r="B96" s="932"/>
      <c r="C96" s="880"/>
      <c r="D96" s="933"/>
      <c r="E96" s="933"/>
      <c r="F96" s="934"/>
      <c r="H96" s="934"/>
    </row>
    <row r="97" spans="2:8" s="926" customFormat="1" ht="18" customHeight="1">
      <c r="B97" s="932"/>
      <c r="C97" s="880"/>
      <c r="D97" s="933"/>
      <c r="E97" s="933"/>
      <c r="F97" s="934"/>
      <c r="H97" s="934"/>
    </row>
    <row r="98" spans="2:8" s="926" customFormat="1" ht="18" customHeight="1">
      <c r="B98" s="932"/>
      <c r="C98" s="880"/>
      <c r="D98" s="933"/>
      <c r="E98" s="933"/>
      <c r="F98" s="934"/>
      <c r="H98" s="93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8" customWidth="1"/>
    <col min="2" max="5" width="10.25" style="673" customWidth="1"/>
    <col min="6" max="6" width="9" style="673"/>
    <col min="7" max="7" width="9" style="702"/>
    <col min="8" max="8" width="9" style="673"/>
    <col min="9" max="9" width="9" style="702"/>
    <col min="10" max="16384" width="9" style="673"/>
  </cols>
  <sheetData>
    <row r="1" spans="1:20">
      <c r="A1" s="3707" t="s">
        <v>105</v>
      </c>
      <c r="B1" s="3707"/>
      <c r="C1" s="3707"/>
      <c r="D1" s="3707"/>
      <c r="E1" s="3707"/>
      <c r="F1" s="3707"/>
      <c r="H1" s="703"/>
      <c r="I1" s="704" t="s">
        <v>106</v>
      </c>
      <c r="J1" s="705" t="s">
        <v>107</v>
      </c>
      <c r="K1" s="705" t="s">
        <v>108</v>
      </c>
      <c r="L1" s="705" t="s">
        <v>109</v>
      </c>
      <c r="M1" s="705" t="s">
        <v>110</v>
      </c>
      <c r="N1" s="705" t="s">
        <v>111</v>
      </c>
      <c r="O1" s="705" t="s">
        <v>112</v>
      </c>
      <c r="P1" s="705" t="s">
        <v>113</v>
      </c>
      <c r="Q1" s="705" t="s">
        <v>114</v>
      </c>
      <c r="R1" s="705" t="s">
        <v>115</v>
      </c>
      <c r="S1" s="705" t="s">
        <v>116</v>
      </c>
      <c r="T1" s="706" t="s">
        <v>117</v>
      </c>
    </row>
    <row r="2" spans="1:20" ht="14.25" thickBot="1">
      <c r="A2" s="3708" t="s">
        <v>118</v>
      </c>
      <c r="B2" s="3708"/>
      <c r="C2" s="3708"/>
      <c r="D2" s="3708"/>
      <c r="E2" s="3708"/>
      <c r="F2" s="3708"/>
      <c r="I2" s="707" t="s">
        <v>119</v>
      </c>
      <c r="J2" s="708" t="s">
        <v>120</v>
      </c>
      <c r="K2" s="708" t="s">
        <v>121</v>
      </c>
      <c r="L2" s="708" t="s">
        <v>122</v>
      </c>
      <c r="M2" s="708" t="s">
        <v>123</v>
      </c>
      <c r="N2" s="708" t="s">
        <v>124</v>
      </c>
      <c r="O2" s="708" t="s">
        <v>125</v>
      </c>
      <c r="P2" s="708" t="s">
        <v>126</v>
      </c>
      <c r="Q2" s="708" t="s">
        <v>127</v>
      </c>
      <c r="R2" s="708" t="s">
        <v>128</v>
      </c>
      <c r="S2" s="708" t="s">
        <v>129</v>
      </c>
      <c r="T2" s="708" t="s">
        <v>130</v>
      </c>
    </row>
    <row r="3" spans="1:20" s="703" customFormat="1" ht="19.5" customHeight="1">
      <c r="A3" s="3709" t="s">
        <v>131</v>
      </c>
      <c r="B3" s="709"/>
      <c r="C3" s="710" t="s">
        <v>132</v>
      </c>
      <c r="D3" s="710" t="s">
        <v>133</v>
      </c>
      <c r="E3" s="710" t="s">
        <v>549</v>
      </c>
      <c r="F3" s="710" t="s">
        <v>134</v>
      </c>
      <c r="G3" s="711"/>
      <c r="I3" s="707" t="s">
        <v>135</v>
      </c>
      <c r="J3" s="708" t="s">
        <v>136</v>
      </c>
      <c r="K3" s="708" t="s">
        <v>137</v>
      </c>
      <c r="L3" s="708" t="s">
        <v>138</v>
      </c>
      <c r="M3" s="708" t="s">
        <v>139</v>
      </c>
      <c r="N3" s="708" t="s">
        <v>140</v>
      </c>
      <c r="O3" s="708" t="s">
        <v>141</v>
      </c>
      <c r="P3" s="708" t="s">
        <v>142</v>
      </c>
      <c r="Q3" s="708" t="s">
        <v>143</v>
      </c>
      <c r="R3" s="708" t="s">
        <v>144</v>
      </c>
      <c r="S3" s="708" t="s">
        <v>145</v>
      </c>
      <c r="T3" s="708" t="s">
        <v>146</v>
      </c>
    </row>
    <row r="4" spans="1:20" s="703" customFormat="1" ht="19.5" customHeight="1" thickBot="1">
      <c r="A4" s="3710"/>
      <c r="B4" s="712" t="s">
        <v>147</v>
      </c>
      <c r="C4" s="712" t="s">
        <v>148</v>
      </c>
      <c r="D4" s="712" t="s">
        <v>148</v>
      </c>
      <c r="E4" s="712" t="s">
        <v>148</v>
      </c>
      <c r="F4" s="713" t="s">
        <v>148</v>
      </c>
      <c r="G4" s="711"/>
      <c r="I4" s="707" t="s">
        <v>149</v>
      </c>
      <c r="J4" s="708" t="s">
        <v>88</v>
      </c>
      <c r="K4" s="708" t="s">
        <v>150</v>
      </c>
      <c r="L4" s="708" t="s">
        <v>151</v>
      </c>
      <c r="M4" s="708" t="s">
        <v>152</v>
      </c>
      <c r="N4" s="708" t="s">
        <v>153</v>
      </c>
      <c r="O4" s="708" t="s">
        <v>154</v>
      </c>
      <c r="P4" s="708" t="s">
        <v>155</v>
      </c>
      <c r="Q4" s="708" t="s">
        <v>156</v>
      </c>
      <c r="R4" s="708" t="s">
        <v>157</v>
      </c>
      <c r="S4" s="708" t="s">
        <v>158</v>
      </c>
      <c r="T4" s="708" t="s">
        <v>159</v>
      </c>
    </row>
    <row r="5" spans="1:20" ht="14.25" customHeight="1" thickBot="1">
      <c r="A5" s="714" t="s">
        <v>160</v>
      </c>
      <c r="B5" s="715" t="s">
        <v>119</v>
      </c>
      <c r="C5" s="715">
        <v>29530</v>
      </c>
      <c r="D5" s="715">
        <v>28130</v>
      </c>
      <c r="E5" s="715">
        <v>27930</v>
      </c>
      <c r="F5" s="716">
        <v>11300</v>
      </c>
      <c r="G5" s="717" t="s">
        <v>106</v>
      </c>
      <c r="H5" s="718">
        <f>SUMPRODUCT((B5:B9=基准地价修正!I2)*(C3:F3=基准地价修正!E2)*(C5:F9))</f>
        <v>0</v>
      </c>
      <c r="I5" s="707" t="s">
        <v>161</v>
      </c>
      <c r="J5" s="708" t="s">
        <v>162</v>
      </c>
      <c r="K5" s="708" t="s">
        <v>163</v>
      </c>
      <c r="L5" s="708" t="s">
        <v>164</v>
      </c>
      <c r="M5" s="708" t="s">
        <v>165</v>
      </c>
      <c r="N5" s="708" t="s">
        <v>166</v>
      </c>
      <c r="O5" s="708" t="s">
        <v>167</v>
      </c>
      <c r="P5" s="708" t="s">
        <v>168</v>
      </c>
      <c r="Q5" s="708" t="s">
        <v>169</v>
      </c>
      <c r="R5" s="708" t="s">
        <v>170</v>
      </c>
      <c r="S5" s="708" t="s">
        <v>171</v>
      </c>
      <c r="T5" s="708" t="s">
        <v>172</v>
      </c>
    </row>
    <row r="6" spans="1:20" ht="14.25" customHeight="1" thickBot="1">
      <c r="A6" s="714" t="s">
        <v>160</v>
      </c>
      <c r="B6" s="708" t="s">
        <v>135</v>
      </c>
      <c r="C6" s="708">
        <v>30290</v>
      </c>
      <c r="D6" s="708">
        <v>29210</v>
      </c>
      <c r="E6" s="708">
        <v>28860</v>
      </c>
      <c r="F6" s="719">
        <v>12600</v>
      </c>
      <c r="G6" s="720" t="s">
        <v>107</v>
      </c>
      <c r="H6" s="721">
        <f>SUMPRODUCT((B10:B28=基准地价修正!I2)*(C3:F3=基准地价修正!E2)*(C10:F28))</f>
        <v>0</v>
      </c>
      <c r="I6" s="707" t="s">
        <v>173</v>
      </c>
      <c r="J6" s="708" t="s">
        <v>174</v>
      </c>
      <c r="K6" s="708" t="s">
        <v>175</v>
      </c>
      <c r="L6" s="708" t="s">
        <v>176</v>
      </c>
      <c r="M6" s="708" t="s">
        <v>177</v>
      </c>
      <c r="N6" s="708" t="s">
        <v>178</v>
      </c>
      <c r="O6" s="708" t="s">
        <v>179</v>
      </c>
      <c r="P6" s="708" t="s">
        <v>180</v>
      </c>
      <c r="Q6" s="708" t="s">
        <v>181</v>
      </c>
      <c r="R6" s="708" t="s">
        <v>182</v>
      </c>
      <c r="S6" s="708" t="s">
        <v>183</v>
      </c>
      <c r="T6" s="708" t="s">
        <v>184</v>
      </c>
    </row>
    <row r="7" spans="1:20" ht="14.25" customHeight="1" thickBot="1">
      <c r="A7" s="714" t="s">
        <v>160</v>
      </c>
      <c r="B7" s="722" t="s">
        <v>149</v>
      </c>
      <c r="C7" s="708">
        <v>29350</v>
      </c>
      <c r="D7" s="708">
        <v>28410</v>
      </c>
      <c r="E7" s="708">
        <v>27990</v>
      </c>
      <c r="F7" s="719">
        <v>12300</v>
      </c>
      <c r="G7" s="720" t="s">
        <v>185</v>
      </c>
      <c r="H7" s="721">
        <f>SUMPRODUCT((B29:B48=基准地价修正!I2)*(C3:F3=基准地价修正!E2)*(C29:F48))</f>
        <v>0</v>
      </c>
      <c r="J7" s="708" t="s">
        <v>186</v>
      </c>
      <c r="K7" s="708" t="s">
        <v>187</v>
      </c>
      <c r="L7" s="708" t="s">
        <v>188</v>
      </c>
      <c r="M7" s="708" t="s">
        <v>189</v>
      </c>
      <c r="N7" s="708" t="s">
        <v>190</v>
      </c>
      <c r="O7" s="708" t="s">
        <v>191</v>
      </c>
      <c r="P7" s="708" t="s">
        <v>192</v>
      </c>
      <c r="Q7" s="708" t="s">
        <v>193</v>
      </c>
      <c r="R7" s="708" t="s">
        <v>194</v>
      </c>
      <c r="S7" s="708" t="s">
        <v>195</v>
      </c>
      <c r="T7" s="722" t="s">
        <v>196</v>
      </c>
    </row>
    <row r="8" spans="1:20" ht="14.25" customHeight="1" thickBot="1">
      <c r="A8" s="714" t="s">
        <v>160</v>
      </c>
      <c r="B8" s="708" t="s">
        <v>161</v>
      </c>
      <c r="C8" s="708">
        <v>30890</v>
      </c>
      <c r="D8" s="708">
        <v>29780</v>
      </c>
      <c r="E8" s="708">
        <v>29270</v>
      </c>
      <c r="F8" s="719">
        <v>11600</v>
      </c>
      <c r="G8" s="720" t="s">
        <v>197</v>
      </c>
      <c r="H8" s="721">
        <f>SUMPRODUCT((B49:B75=基准地价修正!I2)*(C3:F3=基准地价修正!E2)*(C49:F75))</f>
        <v>0</v>
      </c>
      <c r="J8" s="708" t="s">
        <v>198</v>
      </c>
      <c r="K8" s="708" t="s">
        <v>199</v>
      </c>
      <c r="L8" s="708" t="s">
        <v>200</v>
      </c>
      <c r="M8" s="708" t="s">
        <v>201</v>
      </c>
      <c r="N8" s="708" t="s">
        <v>202</v>
      </c>
      <c r="O8" s="708" t="s">
        <v>203</v>
      </c>
      <c r="P8" s="708" t="s">
        <v>204</v>
      </c>
      <c r="Q8" s="708" t="s">
        <v>205</v>
      </c>
      <c r="R8" s="708" t="s">
        <v>206</v>
      </c>
      <c r="S8" s="708" t="s">
        <v>207</v>
      </c>
      <c r="T8" s="708" t="s">
        <v>208</v>
      </c>
    </row>
    <row r="9" spans="1:20" ht="14.25" customHeight="1" thickBot="1">
      <c r="A9" s="714" t="s">
        <v>160</v>
      </c>
      <c r="B9" s="723" t="s">
        <v>173</v>
      </c>
      <c r="C9" s="724">
        <v>28140</v>
      </c>
      <c r="D9" s="724"/>
      <c r="E9" s="724"/>
      <c r="F9" s="725"/>
      <c r="G9" s="720" t="s">
        <v>209</v>
      </c>
      <c r="H9" s="721">
        <f>SUMPRODUCT((B76:B109=基准地价修正!I2)*(C3:F3=基准地价修正!E2)*(C76:F109))</f>
        <v>0</v>
      </c>
      <c r="J9" s="708" t="s">
        <v>210</v>
      </c>
      <c r="K9" s="708" t="s">
        <v>211</v>
      </c>
      <c r="L9" s="708" t="s">
        <v>212</v>
      </c>
      <c r="M9" s="708" t="s">
        <v>213</v>
      </c>
      <c r="N9" s="708" t="s">
        <v>214</v>
      </c>
      <c r="O9" s="708" t="s">
        <v>215</v>
      </c>
      <c r="P9" s="708" t="s">
        <v>216</v>
      </c>
      <c r="Q9" s="708" t="s">
        <v>217</v>
      </c>
      <c r="R9" s="708" t="s">
        <v>218</v>
      </c>
      <c r="S9" s="708" t="s">
        <v>219</v>
      </c>
    </row>
    <row r="10" spans="1:20" ht="14.25" customHeight="1" thickBot="1">
      <c r="A10" s="714" t="s">
        <v>220</v>
      </c>
      <c r="B10" s="715" t="s">
        <v>221</v>
      </c>
      <c r="C10" s="715">
        <v>27450</v>
      </c>
      <c r="D10" s="715">
        <v>26180</v>
      </c>
      <c r="E10" s="715">
        <v>25980</v>
      </c>
      <c r="F10" s="716">
        <v>8910</v>
      </c>
      <c r="G10" s="720" t="s">
        <v>222</v>
      </c>
      <c r="H10" s="721">
        <f>SUMPRODUCT((B110:B157=基准地价修正!I2)*(C3:F3=基准地价修正!E2)*(C110:F157))</f>
        <v>0</v>
      </c>
      <c r="J10" s="708" t="s">
        <v>223</v>
      </c>
      <c r="K10" s="708" t="s">
        <v>224</v>
      </c>
      <c r="L10" s="708" t="s">
        <v>225</v>
      </c>
      <c r="M10" s="708" t="s">
        <v>226</v>
      </c>
      <c r="N10" s="708" t="s">
        <v>227</v>
      </c>
      <c r="O10" s="708" t="s">
        <v>228</v>
      </c>
      <c r="P10" s="708" t="s">
        <v>229</v>
      </c>
      <c r="Q10" s="708" t="s">
        <v>230</v>
      </c>
      <c r="R10" s="708" t="s">
        <v>231</v>
      </c>
      <c r="S10" s="708" t="s">
        <v>232</v>
      </c>
    </row>
    <row r="11" spans="1:20" ht="14.25" customHeight="1" thickBot="1">
      <c r="A11" s="714" t="s">
        <v>220</v>
      </c>
      <c r="B11" s="722" t="s">
        <v>136</v>
      </c>
      <c r="C11" s="708">
        <v>22950</v>
      </c>
      <c r="D11" s="708">
        <v>22630</v>
      </c>
      <c r="E11" s="708">
        <v>22030</v>
      </c>
      <c r="F11" s="726">
        <v>8330</v>
      </c>
      <c r="G11" s="720" t="s">
        <v>233</v>
      </c>
      <c r="H11" s="721">
        <f>SUMPRODUCT((B158:B205=基准地价修正!I2)*(C3:F3=基准地价修正!E2)*(C158:F205))</f>
        <v>0</v>
      </c>
      <c r="J11" s="708" t="s">
        <v>234</v>
      </c>
      <c r="K11" s="708" t="s">
        <v>235</v>
      </c>
      <c r="L11" s="708" t="s">
        <v>236</v>
      </c>
      <c r="M11" s="708" t="s">
        <v>237</v>
      </c>
      <c r="N11" s="708" t="s">
        <v>238</v>
      </c>
      <c r="O11" s="708" t="s">
        <v>239</v>
      </c>
      <c r="P11" s="708" t="s">
        <v>240</v>
      </c>
      <c r="Q11" s="708" t="s">
        <v>241</v>
      </c>
      <c r="R11" s="708" t="s">
        <v>242</v>
      </c>
      <c r="S11" s="708" t="s">
        <v>243</v>
      </c>
    </row>
    <row r="12" spans="1:20" ht="14.25" customHeight="1" thickBot="1">
      <c r="A12" s="714" t="s">
        <v>220</v>
      </c>
      <c r="B12" s="722" t="s">
        <v>88</v>
      </c>
      <c r="C12" s="708">
        <v>24940</v>
      </c>
      <c r="D12" s="708">
        <v>23180</v>
      </c>
      <c r="E12" s="708">
        <v>22910</v>
      </c>
      <c r="F12" s="726">
        <v>7180</v>
      </c>
      <c r="G12" s="720" t="s">
        <v>244</v>
      </c>
      <c r="H12" s="721">
        <f>SUMPRODUCT((B206:B244=基准地价修正!I2)*(C3:F3=基准地价修正!E2)*(C206:F244))</f>
        <v>0</v>
      </c>
      <c r="J12" s="708" t="s">
        <v>245</v>
      </c>
      <c r="K12" s="708" t="s">
        <v>246</v>
      </c>
      <c r="L12" s="708" t="s">
        <v>247</v>
      </c>
      <c r="M12" s="708" t="s">
        <v>248</v>
      </c>
      <c r="N12" s="708" t="s">
        <v>249</v>
      </c>
      <c r="O12" s="708" t="s">
        <v>250</v>
      </c>
      <c r="P12" s="708" t="s">
        <v>251</v>
      </c>
      <c r="Q12" s="708" t="s">
        <v>252</v>
      </c>
      <c r="R12" s="708" t="s">
        <v>253</v>
      </c>
      <c r="S12" s="708" t="s">
        <v>254</v>
      </c>
    </row>
    <row r="13" spans="1:20" ht="14.25" customHeight="1" thickBot="1">
      <c r="A13" s="714" t="s">
        <v>220</v>
      </c>
      <c r="B13" s="722" t="s">
        <v>162</v>
      </c>
      <c r="C13" s="708">
        <v>24140</v>
      </c>
      <c r="D13" s="708">
        <v>22270</v>
      </c>
      <c r="E13" s="708">
        <v>21950</v>
      </c>
      <c r="F13" s="726">
        <v>7600</v>
      </c>
      <c r="G13" s="720" t="s">
        <v>255</v>
      </c>
      <c r="H13" s="721">
        <f>SUMPRODUCT((B245:B289=基准地价修正!I2)*(C3:F3=基准地价修正!E2)*(C245:F289))</f>
        <v>0</v>
      </c>
      <c r="J13" s="708" t="s">
        <v>256</v>
      </c>
      <c r="K13" s="708" t="s">
        <v>257</v>
      </c>
      <c r="L13" s="708" t="s">
        <v>258</v>
      </c>
      <c r="M13" s="708" t="s">
        <v>259</v>
      </c>
      <c r="N13" s="708" t="s">
        <v>260</v>
      </c>
      <c r="O13" s="708" t="s">
        <v>261</v>
      </c>
      <c r="P13" s="708" t="s">
        <v>262</v>
      </c>
      <c r="Q13" s="708" t="s">
        <v>263</v>
      </c>
      <c r="R13" s="708" t="s">
        <v>264</v>
      </c>
      <c r="S13" s="708" t="s">
        <v>265</v>
      </c>
    </row>
    <row r="14" spans="1:20" ht="14.25" customHeight="1" thickBot="1">
      <c r="A14" s="714" t="s">
        <v>220</v>
      </c>
      <c r="B14" s="722" t="s">
        <v>174</v>
      </c>
      <c r="C14" s="708">
        <v>25600</v>
      </c>
      <c r="D14" s="708">
        <v>22260</v>
      </c>
      <c r="E14" s="708">
        <v>22110</v>
      </c>
      <c r="F14" s="726">
        <v>7630</v>
      </c>
      <c r="G14" s="720" t="s">
        <v>266</v>
      </c>
      <c r="H14" s="721">
        <f>SUMPRODUCT((B290:B316=基准地价修正!I2)*(C3:F3=基准地价修正!E2)*(C290:F316))</f>
        <v>0</v>
      </c>
      <c r="J14" s="708" t="s">
        <v>267</v>
      </c>
      <c r="K14" s="708" t="s">
        <v>268</v>
      </c>
      <c r="L14" s="708" t="s">
        <v>269</v>
      </c>
      <c r="M14" s="708" t="s">
        <v>270</v>
      </c>
      <c r="N14" s="708" t="s">
        <v>271</v>
      </c>
      <c r="O14" s="708" t="s">
        <v>272</v>
      </c>
      <c r="P14" s="708" t="s">
        <v>273</v>
      </c>
      <c r="Q14" s="708" t="s">
        <v>274</v>
      </c>
      <c r="R14" s="708" t="s">
        <v>275</v>
      </c>
      <c r="S14" s="708" t="s">
        <v>276</v>
      </c>
    </row>
    <row r="15" spans="1:20" ht="14.25" customHeight="1" thickBot="1">
      <c r="A15" s="714" t="s">
        <v>220</v>
      </c>
      <c r="B15" s="722" t="s">
        <v>186</v>
      </c>
      <c r="C15" s="708">
        <v>24760</v>
      </c>
      <c r="D15" s="708">
        <v>24440</v>
      </c>
      <c r="E15" s="708">
        <v>24130</v>
      </c>
      <c r="F15" s="726">
        <v>9480</v>
      </c>
      <c r="G15" s="720" t="s">
        <v>277</v>
      </c>
      <c r="H15" s="721">
        <f>SUMPRODUCT((B317:B337=基准地价修正!I2)*(C3:F3=基准地价修正!E2)*(C317:F337))</f>
        <v>0</v>
      </c>
      <c r="J15" s="708" t="s">
        <v>278</v>
      </c>
      <c r="K15" s="708" t="s">
        <v>279</v>
      </c>
      <c r="L15" s="708" t="s">
        <v>280</v>
      </c>
      <c r="M15" s="708" t="s">
        <v>281</v>
      </c>
      <c r="N15" s="708" t="s">
        <v>282</v>
      </c>
      <c r="O15" s="708" t="s">
        <v>283</v>
      </c>
      <c r="P15" s="708" t="s">
        <v>284</v>
      </c>
      <c r="Q15" s="708" t="s">
        <v>285</v>
      </c>
      <c r="R15" s="708" t="s">
        <v>286</v>
      </c>
      <c r="S15" s="708" t="s">
        <v>287</v>
      </c>
    </row>
    <row r="16" spans="1:20" ht="14.25" customHeight="1" thickBot="1">
      <c r="A16" s="714" t="s">
        <v>220</v>
      </c>
      <c r="B16" s="722" t="s">
        <v>198</v>
      </c>
      <c r="C16" s="708">
        <v>22220</v>
      </c>
      <c r="D16" s="708">
        <v>22310</v>
      </c>
      <c r="E16" s="708">
        <v>22000</v>
      </c>
      <c r="F16" s="726">
        <v>8900</v>
      </c>
      <c r="G16" s="727" t="s">
        <v>288</v>
      </c>
      <c r="H16" s="728">
        <f>SUMPRODUCT((B338:B344=基准地价修正!I2)*(C3:F3=基准地价修正!E2)*(C338:F344))</f>
        <v>0</v>
      </c>
      <c r="J16" s="708" t="s">
        <v>289</v>
      </c>
      <c r="K16" s="708" t="s">
        <v>290</v>
      </c>
      <c r="L16" s="708" t="s">
        <v>291</v>
      </c>
      <c r="M16" s="708" t="s">
        <v>292</v>
      </c>
      <c r="N16" s="708" t="s">
        <v>293</v>
      </c>
      <c r="O16" s="708" t="s">
        <v>294</v>
      </c>
      <c r="P16" s="708" t="s">
        <v>295</v>
      </c>
      <c r="Q16" s="708" t="s">
        <v>296</v>
      </c>
      <c r="R16" s="708" t="s">
        <v>297</v>
      </c>
      <c r="S16" s="708" t="s">
        <v>298</v>
      </c>
    </row>
    <row r="17" spans="1:19" ht="14.25" customHeight="1" thickBot="1">
      <c r="A17" s="714" t="s">
        <v>220</v>
      </c>
      <c r="B17" s="722" t="s">
        <v>210</v>
      </c>
      <c r="C17" s="708">
        <v>24700</v>
      </c>
      <c r="D17" s="708">
        <v>25150</v>
      </c>
      <c r="E17" s="708">
        <v>24700</v>
      </c>
      <c r="F17" s="729"/>
      <c r="H17" s="730"/>
      <c r="J17" s="708" t="s">
        <v>299</v>
      </c>
      <c r="K17" s="708" t="s">
        <v>300</v>
      </c>
      <c r="L17" s="708" t="s">
        <v>301</v>
      </c>
      <c r="M17" s="708" t="s">
        <v>302</v>
      </c>
      <c r="N17" s="708" t="s">
        <v>303</v>
      </c>
      <c r="O17" s="708" t="s">
        <v>304</v>
      </c>
      <c r="P17" s="708" t="s">
        <v>305</v>
      </c>
      <c r="Q17" s="708" t="s">
        <v>306</v>
      </c>
      <c r="R17" s="708" t="s">
        <v>307</v>
      </c>
      <c r="S17" s="708" t="s">
        <v>308</v>
      </c>
    </row>
    <row r="18" spans="1:19" ht="14.25" customHeight="1" thickBot="1">
      <c r="A18" s="714" t="s">
        <v>220</v>
      </c>
      <c r="B18" s="722" t="s">
        <v>223</v>
      </c>
      <c r="C18" s="708">
        <v>22350</v>
      </c>
      <c r="D18" s="708">
        <v>24340</v>
      </c>
      <c r="E18" s="708">
        <v>24100</v>
      </c>
      <c r="F18" s="729"/>
      <c r="H18" s="730"/>
      <c r="J18" s="708" t="s">
        <v>309</v>
      </c>
      <c r="K18" s="708" t="s">
        <v>310</v>
      </c>
      <c r="L18" s="708" t="s">
        <v>311</v>
      </c>
      <c r="M18" s="708" t="s">
        <v>312</v>
      </c>
      <c r="N18" s="708" t="s">
        <v>313</v>
      </c>
      <c r="O18" s="708" t="s">
        <v>314</v>
      </c>
      <c r="P18" s="708" t="s">
        <v>315</v>
      </c>
      <c r="Q18" s="708" t="s">
        <v>316</v>
      </c>
      <c r="R18" s="708" t="s">
        <v>317</v>
      </c>
      <c r="S18" s="708" t="s">
        <v>318</v>
      </c>
    </row>
    <row r="19" spans="1:19" ht="14.25" customHeight="1" thickBot="1">
      <c r="A19" s="714" t="s">
        <v>220</v>
      </c>
      <c r="B19" s="722" t="s">
        <v>234</v>
      </c>
      <c r="C19" s="708">
        <v>23430</v>
      </c>
      <c r="D19" s="708">
        <v>21580</v>
      </c>
      <c r="E19" s="708">
        <v>21350</v>
      </c>
      <c r="F19" s="729"/>
      <c r="H19" s="730"/>
      <c r="J19" s="708" t="s">
        <v>319</v>
      </c>
      <c r="K19" s="708" t="s">
        <v>320</v>
      </c>
      <c r="L19" s="708" t="s">
        <v>321</v>
      </c>
      <c r="M19" s="708" t="s">
        <v>322</v>
      </c>
      <c r="N19" s="708" t="s">
        <v>323</v>
      </c>
      <c r="O19" s="708" t="s">
        <v>324</v>
      </c>
      <c r="P19" s="708" t="s">
        <v>325</v>
      </c>
      <c r="Q19" s="708" t="s">
        <v>326</v>
      </c>
      <c r="R19" s="708" t="s">
        <v>327</v>
      </c>
      <c r="S19" s="708" t="s">
        <v>328</v>
      </c>
    </row>
    <row r="20" spans="1:19" ht="14.25" customHeight="1" thickBot="1">
      <c r="A20" s="714" t="s">
        <v>220</v>
      </c>
      <c r="B20" s="722" t="s">
        <v>245</v>
      </c>
      <c r="C20" s="708">
        <v>27660</v>
      </c>
      <c r="D20" s="708">
        <v>24240</v>
      </c>
      <c r="E20" s="708">
        <v>24020</v>
      </c>
      <c r="F20" s="729"/>
      <c r="J20" s="708" t="s">
        <v>329</v>
      </c>
      <c r="K20" s="708" t="s">
        <v>330</v>
      </c>
      <c r="L20" s="708" t="s">
        <v>331</v>
      </c>
      <c r="M20" s="708" t="s">
        <v>332</v>
      </c>
      <c r="N20" s="708" t="s">
        <v>333</v>
      </c>
      <c r="O20" s="708" t="s">
        <v>334</v>
      </c>
      <c r="P20" s="708" t="s">
        <v>335</v>
      </c>
      <c r="Q20" s="708" t="s">
        <v>336</v>
      </c>
      <c r="R20" s="708" t="s">
        <v>337</v>
      </c>
      <c r="S20" s="708" t="s">
        <v>338</v>
      </c>
    </row>
    <row r="21" spans="1:19" ht="14.25" customHeight="1" thickBot="1">
      <c r="A21" s="714" t="s">
        <v>220</v>
      </c>
      <c r="B21" s="722" t="s">
        <v>256</v>
      </c>
      <c r="C21" s="708">
        <v>24720</v>
      </c>
      <c r="D21" s="708">
        <v>21670</v>
      </c>
      <c r="E21" s="708">
        <v>21510</v>
      </c>
      <c r="F21" s="729"/>
      <c r="K21" s="708" t="s">
        <v>339</v>
      </c>
      <c r="L21" s="708" t="s">
        <v>340</v>
      </c>
      <c r="M21" s="708" t="s">
        <v>341</v>
      </c>
      <c r="N21" s="708" t="s">
        <v>342</v>
      </c>
      <c r="O21" s="708" t="s">
        <v>343</v>
      </c>
      <c r="P21" s="708" t="s">
        <v>344</v>
      </c>
      <c r="Q21" s="708" t="s">
        <v>345</v>
      </c>
      <c r="R21" s="708" t="s">
        <v>346</v>
      </c>
      <c r="S21" s="708" t="s">
        <v>347</v>
      </c>
    </row>
    <row r="22" spans="1:19" ht="14.25" customHeight="1" thickBot="1">
      <c r="A22" s="714" t="s">
        <v>220</v>
      </c>
      <c r="B22" s="722" t="s">
        <v>348</v>
      </c>
      <c r="C22" s="708">
        <v>26530</v>
      </c>
      <c r="D22" s="708">
        <v>22980</v>
      </c>
      <c r="E22" s="708">
        <v>22650</v>
      </c>
      <c r="F22" s="729"/>
      <c r="L22" s="708" t="s">
        <v>349</v>
      </c>
      <c r="M22" s="708" t="s">
        <v>350</v>
      </c>
      <c r="N22" s="708" t="s">
        <v>351</v>
      </c>
      <c r="O22" s="708" t="s">
        <v>352</v>
      </c>
      <c r="P22" s="708" t="s">
        <v>353</v>
      </c>
      <c r="Q22" s="708" t="s">
        <v>354</v>
      </c>
      <c r="R22" s="708" t="s">
        <v>355</v>
      </c>
      <c r="S22" s="722" t="s">
        <v>356</v>
      </c>
    </row>
    <row r="23" spans="1:19" ht="14.25" customHeight="1" thickBot="1">
      <c r="A23" s="714" t="s">
        <v>220</v>
      </c>
      <c r="B23" s="722" t="s">
        <v>278</v>
      </c>
      <c r="C23" s="708">
        <v>24700</v>
      </c>
      <c r="D23" s="708">
        <v>27290</v>
      </c>
      <c r="E23" s="708">
        <v>26710</v>
      </c>
      <c r="F23" s="729"/>
      <c r="L23" s="708" t="s">
        <v>357</v>
      </c>
      <c r="M23" s="708" t="s">
        <v>358</v>
      </c>
      <c r="N23" s="708" t="s">
        <v>359</v>
      </c>
      <c r="O23" s="708" t="s">
        <v>360</v>
      </c>
      <c r="P23" s="708" t="s">
        <v>361</v>
      </c>
      <c r="Q23" s="708" t="s">
        <v>362</v>
      </c>
      <c r="R23" s="708" t="s">
        <v>363</v>
      </c>
    </row>
    <row r="24" spans="1:19" ht="14.25" customHeight="1" thickBot="1">
      <c r="A24" s="714" t="s">
        <v>220</v>
      </c>
      <c r="B24" s="722" t="s">
        <v>289</v>
      </c>
      <c r="C24" s="708">
        <v>23070</v>
      </c>
      <c r="D24" s="708">
        <v>24130</v>
      </c>
      <c r="E24" s="708">
        <v>23860</v>
      </c>
      <c r="F24" s="729"/>
      <c r="L24" s="708" t="s">
        <v>364</v>
      </c>
      <c r="M24" s="708" t="s">
        <v>365</v>
      </c>
      <c r="N24" s="708" t="s">
        <v>366</v>
      </c>
      <c r="O24" s="708" t="s">
        <v>367</v>
      </c>
      <c r="P24" s="708" t="s">
        <v>368</v>
      </c>
      <c r="Q24" s="708" t="s">
        <v>369</v>
      </c>
      <c r="R24" s="708" t="s">
        <v>370</v>
      </c>
    </row>
    <row r="25" spans="1:19" ht="14.25" customHeight="1" thickBot="1">
      <c r="A25" s="714" t="s">
        <v>220</v>
      </c>
      <c r="B25" s="722" t="s">
        <v>299</v>
      </c>
      <c r="C25" s="708">
        <v>27550</v>
      </c>
      <c r="D25" s="708">
        <v>25850</v>
      </c>
      <c r="E25" s="708">
        <v>25340</v>
      </c>
      <c r="F25" s="729"/>
      <c r="L25" s="708" t="s">
        <v>371</v>
      </c>
      <c r="M25" s="708" t="s">
        <v>372</v>
      </c>
      <c r="N25" s="708" t="s">
        <v>373</v>
      </c>
      <c r="O25" s="708" t="s">
        <v>374</v>
      </c>
      <c r="P25" s="708" t="s">
        <v>375</v>
      </c>
      <c r="Q25" s="708" t="s">
        <v>376</v>
      </c>
      <c r="R25" s="708" t="s">
        <v>377</v>
      </c>
    </row>
    <row r="26" spans="1:19" ht="14.25" customHeight="1" thickBot="1">
      <c r="A26" s="714" t="s">
        <v>220</v>
      </c>
      <c r="B26" s="722" t="s">
        <v>309</v>
      </c>
      <c r="C26" s="708"/>
      <c r="D26" s="708">
        <v>23900</v>
      </c>
      <c r="E26" s="708">
        <v>23590</v>
      </c>
      <c r="F26" s="729"/>
      <c r="L26" s="708" t="s">
        <v>378</v>
      </c>
      <c r="M26" s="708" t="s">
        <v>379</v>
      </c>
      <c r="N26" s="708" t="s">
        <v>380</v>
      </c>
      <c r="O26" s="708" t="s">
        <v>381</v>
      </c>
      <c r="P26" s="708" t="s">
        <v>382</v>
      </c>
      <c r="Q26" s="708" t="s">
        <v>383</v>
      </c>
      <c r="R26" s="708" t="s">
        <v>384</v>
      </c>
    </row>
    <row r="27" spans="1:19" ht="14.25" customHeight="1" thickBot="1">
      <c r="A27" s="714" t="s">
        <v>220</v>
      </c>
      <c r="B27" s="722" t="s">
        <v>319</v>
      </c>
      <c r="C27" s="708"/>
      <c r="D27" s="708">
        <v>22850</v>
      </c>
      <c r="E27" s="708">
        <v>21920</v>
      </c>
      <c r="F27" s="729"/>
      <c r="L27" s="708" t="s">
        <v>385</v>
      </c>
      <c r="M27" s="708" t="s">
        <v>386</v>
      </c>
      <c r="N27" s="708" t="s">
        <v>387</v>
      </c>
      <c r="O27" s="708" t="s">
        <v>388</v>
      </c>
      <c r="P27" s="708" t="s">
        <v>389</v>
      </c>
      <c r="Q27" s="708" t="s">
        <v>390</v>
      </c>
      <c r="R27" s="708" t="s">
        <v>391</v>
      </c>
    </row>
    <row r="28" spans="1:19" ht="14.25" customHeight="1" thickBot="1">
      <c r="A28" s="731" t="s">
        <v>220</v>
      </c>
      <c r="B28" s="723" t="s">
        <v>329</v>
      </c>
      <c r="C28" s="724"/>
      <c r="D28" s="724">
        <v>26610</v>
      </c>
      <c r="E28" s="724">
        <v>26370</v>
      </c>
      <c r="F28" s="725"/>
      <c r="L28" s="708" t="s">
        <v>392</v>
      </c>
      <c r="M28" s="708" t="s">
        <v>393</v>
      </c>
      <c r="N28" s="708" t="s">
        <v>394</v>
      </c>
      <c r="O28" s="708" t="s">
        <v>395</v>
      </c>
      <c r="P28" s="708" t="s">
        <v>396</v>
      </c>
      <c r="Q28" s="708" t="s">
        <v>397</v>
      </c>
    </row>
    <row r="29" spans="1:19" ht="14.25" customHeight="1" thickBot="1">
      <c r="A29" s="714" t="s">
        <v>398</v>
      </c>
      <c r="B29" s="715" t="s">
        <v>399</v>
      </c>
      <c r="C29" s="715">
        <v>22090</v>
      </c>
      <c r="D29" s="715">
        <v>21860</v>
      </c>
      <c r="E29" s="715">
        <v>19380</v>
      </c>
      <c r="F29" s="716">
        <v>6610</v>
      </c>
      <c r="M29" s="708" t="s">
        <v>400</v>
      </c>
      <c r="N29" s="708" t="s">
        <v>401</v>
      </c>
      <c r="O29" s="708" t="s">
        <v>402</v>
      </c>
      <c r="P29" s="708" t="s">
        <v>403</v>
      </c>
      <c r="Q29" s="708" t="s">
        <v>404</v>
      </c>
    </row>
    <row r="30" spans="1:19" ht="14.25" customHeight="1" thickBot="1">
      <c r="A30" s="714" t="s">
        <v>398</v>
      </c>
      <c r="B30" s="722" t="s">
        <v>137</v>
      </c>
      <c r="C30" s="708">
        <v>21380</v>
      </c>
      <c r="D30" s="708">
        <v>19930</v>
      </c>
      <c r="E30" s="708">
        <v>19860</v>
      </c>
      <c r="F30" s="726">
        <v>6010</v>
      </c>
      <c r="H30" s="730"/>
      <c r="M30" s="708" t="s">
        <v>405</v>
      </c>
      <c r="N30" s="708" t="s">
        <v>406</v>
      </c>
      <c r="O30" s="708" t="s">
        <v>407</v>
      </c>
      <c r="P30" s="708" t="s">
        <v>780</v>
      </c>
      <c r="Q30" s="708" t="s">
        <v>408</v>
      </c>
    </row>
    <row r="31" spans="1:19" ht="14.25" customHeight="1" thickBot="1">
      <c r="A31" s="714" t="s">
        <v>398</v>
      </c>
      <c r="B31" s="722" t="s">
        <v>150</v>
      </c>
      <c r="C31" s="708">
        <v>21670</v>
      </c>
      <c r="D31" s="708">
        <v>20660</v>
      </c>
      <c r="E31" s="708">
        <v>20290</v>
      </c>
      <c r="F31" s="726">
        <v>5840</v>
      </c>
      <c r="H31" s="730"/>
      <c r="M31" s="708" t="s">
        <v>409</v>
      </c>
      <c r="N31" s="708" t="s">
        <v>410</v>
      </c>
      <c r="O31" s="708" t="s">
        <v>411</v>
      </c>
      <c r="P31" s="708" t="s">
        <v>412</v>
      </c>
      <c r="Q31" s="708" t="s">
        <v>413</v>
      </c>
    </row>
    <row r="32" spans="1:19" ht="14.25" customHeight="1" thickBot="1">
      <c r="A32" s="714" t="s">
        <v>398</v>
      </c>
      <c r="B32" s="722" t="s">
        <v>163</v>
      </c>
      <c r="C32" s="708">
        <v>22280</v>
      </c>
      <c r="D32" s="708">
        <v>21800</v>
      </c>
      <c r="E32" s="708">
        <v>17650</v>
      </c>
      <c r="F32" s="726">
        <v>4690</v>
      </c>
      <c r="H32" s="730"/>
      <c r="M32" s="708" t="s">
        <v>414</v>
      </c>
      <c r="N32" s="708" t="s">
        <v>415</v>
      </c>
      <c r="O32" s="708" t="s">
        <v>416</v>
      </c>
      <c r="P32" s="708" t="s">
        <v>417</v>
      </c>
      <c r="Q32" s="708" t="s">
        <v>418</v>
      </c>
    </row>
    <row r="33" spans="1:17" ht="14.25" customHeight="1" thickBot="1">
      <c r="A33" s="714" t="s">
        <v>398</v>
      </c>
      <c r="B33" s="722" t="s">
        <v>175</v>
      </c>
      <c r="C33" s="708">
        <v>22130</v>
      </c>
      <c r="D33" s="708">
        <v>20460</v>
      </c>
      <c r="E33" s="708">
        <v>18500</v>
      </c>
      <c r="F33" s="726">
        <v>5340</v>
      </c>
      <c r="H33" s="730"/>
      <c r="M33" s="708" t="s">
        <v>419</v>
      </c>
      <c r="N33" s="708" t="s">
        <v>420</v>
      </c>
      <c r="O33" s="708" t="s">
        <v>421</v>
      </c>
      <c r="P33" s="708" t="s">
        <v>422</v>
      </c>
      <c r="Q33" s="708" t="s">
        <v>423</v>
      </c>
    </row>
    <row r="34" spans="1:17" ht="14.25" customHeight="1" thickBot="1">
      <c r="A34" s="714" t="s">
        <v>398</v>
      </c>
      <c r="B34" s="722" t="s">
        <v>187</v>
      </c>
      <c r="C34" s="708">
        <v>22070</v>
      </c>
      <c r="D34" s="708">
        <v>20110</v>
      </c>
      <c r="E34" s="708">
        <v>18830</v>
      </c>
      <c r="F34" s="726">
        <v>5190</v>
      </c>
      <c r="H34" s="730"/>
      <c r="M34" s="708" t="s">
        <v>424</v>
      </c>
      <c r="N34" s="708" t="s">
        <v>425</v>
      </c>
      <c r="O34" s="708" t="s">
        <v>426</v>
      </c>
      <c r="P34" s="708" t="s">
        <v>427</v>
      </c>
      <c r="Q34" s="708" t="s">
        <v>428</v>
      </c>
    </row>
    <row r="35" spans="1:17" ht="14.25" customHeight="1" thickBot="1">
      <c r="A35" s="714" t="s">
        <v>398</v>
      </c>
      <c r="B35" s="722" t="s">
        <v>199</v>
      </c>
      <c r="C35" s="708">
        <v>22240</v>
      </c>
      <c r="D35" s="708">
        <v>19550</v>
      </c>
      <c r="E35" s="708">
        <v>19220</v>
      </c>
      <c r="F35" s="726">
        <v>5800</v>
      </c>
      <c r="H35" s="730"/>
      <c r="M35" s="708" t="s">
        <v>429</v>
      </c>
      <c r="N35" s="708" t="s">
        <v>430</v>
      </c>
      <c r="O35" s="708" t="s">
        <v>431</v>
      </c>
      <c r="P35" s="708" t="s">
        <v>432</v>
      </c>
      <c r="Q35" s="708" t="s">
        <v>433</v>
      </c>
    </row>
    <row r="36" spans="1:17" ht="14.25" customHeight="1" thickBot="1">
      <c r="A36" s="714" t="s">
        <v>398</v>
      </c>
      <c r="B36" s="722" t="s">
        <v>211</v>
      </c>
      <c r="C36" s="708">
        <v>19750</v>
      </c>
      <c r="D36" s="708">
        <v>19790</v>
      </c>
      <c r="E36" s="708">
        <v>18510</v>
      </c>
      <c r="F36" s="726">
        <v>6520</v>
      </c>
      <c r="H36" s="730"/>
      <c r="N36" s="708" t="s">
        <v>434</v>
      </c>
      <c r="O36" s="708" t="s">
        <v>435</v>
      </c>
      <c r="P36" s="708" t="s">
        <v>436</v>
      </c>
      <c r="Q36" s="708" t="s">
        <v>437</v>
      </c>
    </row>
    <row r="37" spans="1:17" ht="14.25" customHeight="1" thickBot="1">
      <c r="A37" s="714" t="s">
        <v>398</v>
      </c>
      <c r="B37" s="722" t="s">
        <v>224</v>
      </c>
      <c r="C37" s="708">
        <v>22380</v>
      </c>
      <c r="D37" s="708">
        <v>18530</v>
      </c>
      <c r="E37" s="708">
        <v>17930</v>
      </c>
      <c r="F37" s="726">
        <v>6270</v>
      </c>
      <c r="H37" s="732"/>
      <c r="N37" s="708" t="s">
        <v>438</v>
      </c>
      <c r="O37" s="708" t="s">
        <v>439</v>
      </c>
      <c r="P37" s="708" t="s">
        <v>440</v>
      </c>
      <c r="Q37" s="708" t="s">
        <v>441</v>
      </c>
    </row>
    <row r="38" spans="1:17" ht="14.25" customHeight="1" thickBot="1">
      <c r="A38" s="714" t="s">
        <v>398</v>
      </c>
      <c r="B38" s="722" t="s">
        <v>235</v>
      </c>
      <c r="C38" s="708">
        <v>20200</v>
      </c>
      <c r="D38" s="708">
        <v>20070</v>
      </c>
      <c r="E38" s="708">
        <v>19950</v>
      </c>
      <c r="F38" s="726"/>
      <c r="H38" s="733"/>
      <c r="N38" s="708" t="s">
        <v>442</v>
      </c>
      <c r="O38" s="708" t="s">
        <v>443</v>
      </c>
      <c r="P38" s="708" t="s">
        <v>444</v>
      </c>
      <c r="Q38" s="708" t="s">
        <v>445</v>
      </c>
    </row>
    <row r="39" spans="1:17" ht="14.25" customHeight="1" thickBot="1">
      <c r="A39" s="714" t="s">
        <v>398</v>
      </c>
      <c r="B39" s="722" t="s">
        <v>246</v>
      </c>
      <c r="C39" s="708">
        <v>19300</v>
      </c>
      <c r="D39" s="708">
        <v>20360</v>
      </c>
      <c r="E39" s="708">
        <v>20230</v>
      </c>
      <c r="F39" s="726"/>
      <c r="H39" s="733"/>
      <c r="N39" s="708" t="s">
        <v>446</v>
      </c>
      <c r="O39" s="708" t="s">
        <v>447</v>
      </c>
      <c r="P39" s="708" t="s">
        <v>448</v>
      </c>
      <c r="Q39" s="708" t="s">
        <v>449</v>
      </c>
    </row>
    <row r="40" spans="1:17" ht="14.25" customHeight="1" thickBot="1">
      <c r="A40" s="714" t="s">
        <v>398</v>
      </c>
      <c r="B40" s="722" t="s">
        <v>257</v>
      </c>
      <c r="C40" s="708">
        <v>20210</v>
      </c>
      <c r="D40" s="708">
        <v>19060</v>
      </c>
      <c r="E40" s="708">
        <v>18890</v>
      </c>
      <c r="F40" s="726"/>
      <c r="H40" s="733"/>
      <c r="N40" s="708" t="s">
        <v>450</v>
      </c>
      <c r="O40" s="708" t="s">
        <v>451</v>
      </c>
      <c r="P40" s="708" t="s">
        <v>452</v>
      </c>
      <c r="Q40" s="708" t="s">
        <v>453</v>
      </c>
    </row>
    <row r="41" spans="1:17" ht="14.25" customHeight="1" thickBot="1">
      <c r="A41" s="714" t="s">
        <v>398</v>
      </c>
      <c r="B41" s="722" t="s">
        <v>268</v>
      </c>
      <c r="C41" s="708">
        <v>20560</v>
      </c>
      <c r="D41" s="708">
        <v>21040</v>
      </c>
      <c r="E41" s="708">
        <v>20740</v>
      </c>
      <c r="F41" s="726"/>
      <c r="H41" s="733"/>
      <c r="N41" s="722" t="s">
        <v>454</v>
      </c>
      <c r="O41" s="722" t="s">
        <v>455</v>
      </c>
      <c r="Q41" s="722" t="s">
        <v>456</v>
      </c>
    </row>
    <row r="42" spans="1:17" ht="14.25" customHeight="1" thickBot="1">
      <c r="A42" s="714" t="s">
        <v>398</v>
      </c>
      <c r="B42" s="722" t="s">
        <v>279</v>
      </c>
      <c r="C42" s="708">
        <v>19280</v>
      </c>
      <c r="D42" s="708">
        <v>22940</v>
      </c>
      <c r="E42" s="708">
        <v>22500</v>
      </c>
      <c r="F42" s="726"/>
      <c r="H42" s="733"/>
      <c r="N42" s="708" t="s">
        <v>457</v>
      </c>
      <c r="O42" s="708" t="s">
        <v>458</v>
      </c>
      <c r="Q42" s="708" t="s">
        <v>459</v>
      </c>
    </row>
    <row r="43" spans="1:17" ht="14.25" customHeight="1" thickBot="1">
      <c r="A43" s="714" t="s">
        <v>398</v>
      </c>
      <c r="B43" s="722" t="s">
        <v>290</v>
      </c>
      <c r="C43" s="708">
        <v>21520</v>
      </c>
      <c r="D43" s="708">
        <v>19230</v>
      </c>
      <c r="E43" s="708">
        <v>18540</v>
      </c>
      <c r="F43" s="726"/>
      <c r="H43" s="733"/>
      <c r="N43" s="708" t="s">
        <v>460</v>
      </c>
      <c r="O43" s="708" t="s">
        <v>461</v>
      </c>
      <c r="Q43" s="708" t="s">
        <v>462</v>
      </c>
    </row>
    <row r="44" spans="1:17" ht="14.25" customHeight="1" thickBot="1">
      <c r="A44" s="714" t="s">
        <v>398</v>
      </c>
      <c r="B44" s="722" t="s">
        <v>300</v>
      </c>
      <c r="C44" s="708">
        <v>23260</v>
      </c>
      <c r="D44" s="708">
        <v>21180</v>
      </c>
      <c r="E44" s="708">
        <v>20730</v>
      </c>
      <c r="F44" s="726"/>
      <c r="H44" s="733"/>
      <c r="N44" s="708" t="s">
        <v>463</v>
      </c>
      <c r="O44" s="708" t="s">
        <v>464</v>
      </c>
      <c r="Q44" s="708" t="s">
        <v>465</v>
      </c>
    </row>
    <row r="45" spans="1:17" ht="14.25" customHeight="1" thickBot="1">
      <c r="A45" s="714" t="s">
        <v>398</v>
      </c>
      <c r="B45" s="722" t="s">
        <v>310</v>
      </c>
      <c r="C45" s="708">
        <v>19610</v>
      </c>
      <c r="D45" s="708">
        <v>18090</v>
      </c>
      <c r="E45" s="708">
        <v>17970</v>
      </c>
      <c r="F45" s="726"/>
      <c r="H45" s="730"/>
      <c r="N45" s="708" t="s">
        <v>466</v>
      </c>
      <c r="O45" s="708" t="s">
        <v>467</v>
      </c>
      <c r="Q45" s="708" t="s">
        <v>468</v>
      </c>
    </row>
    <row r="46" spans="1:17" ht="14.25" customHeight="1" thickBot="1">
      <c r="A46" s="714" t="s">
        <v>398</v>
      </c>
      <c r="B46" s="722" t="s">
        <v>320</v>
      </c>
      <c r="C46" s="708">
        <v>21660</v>
      </c>
      <c r="D46" s="708">
        <v>19190</v>
      </c>
      <c r="E46" s="708">
        <v>19790</v>
      </c>
      <c r="F46" s="726"/>
      <c r="H46" s="733"/>
      <c r="N46" s="708" t="s">
        <v>469</v>
      </c>
      <c r="O46" s="708" t="s">
        <v>470</v>
      </c>
      <c r="Q46" s="708" t="s">
        <v>471</v>
      </c>
    </row>
    <row r="47" spans="1:17" ht="14.25" customHeight="1" thickBot="1">
      <c r="A47" s="714" t="s">
        <v>398</v>
      </c>
      <c r="B47" s="722" t="s">
        <v>330</v>
      </c>
      <c r="C47" s="708">
        <v>18220</v>
      </c>
      <c r="D47" s="708"/>
      <c r="E47" s="708">
        <v>17220</v>
      </c>
      <c r="F47" s="726"/>
      <c r="H47" s="733"/>
      <c r="N47" s="708" t="s">
        <v>472</v>
      </c>
      <c r="O47" s="708" t="s">
        <v>473</v>
      </c>
    </row>
    <row r="48" spans="1:17" ht="14.25" customHeight="1" thickBot="1">
      <c r="A48" s="714" t="s">
        <v>398</v>
      </c>
      <c r="B48" s="723" t="s">
        <v>339</v>
      </c>
      <c r="C48" s="724">
        <v>19430</v>
      </c>
      <c r="D48" s="724"/>
      <c r="E48" s="724">
        <v>17830</v>
      </c>
      <c r="F48" s="734"/>
      <c r="H48" s="730"/>
      <c r="N48" s="708" t="s">
        <v>474</v>
      </c>
      <c r="O48" s="708" t="s">
        <v>475</v>
      </c>
    </row>
    <row r="49" spans="1:15" ht="14.25" customHeight="1" thickBot="1">
      <c r="A49" s="714" t="s">
        <v>87</v>
      </c>
      <c r="B49" s="715" t="s">
        <v>476</v>
      </c>
      <c r="C49" s="715">
        <v>17090</v>
      </c>
      <c r="D49" s="715">
        <v>16950</v>
      </c>
      <c r="E49" s="715">
        <v>16310</v>
      </c>
      <c r="F49" s="716">
        <v>4540</v>
      </c>
      <c r="H49" s="733"/>
      <c r="N49" s="708" t="s">
        <v>477</v>
      </c>
      <c r="O49" s="708" t="s">
        <v>478</v>
      </c>
    </row>
    <row r="50" spans="1:15" ht="14.25" customHeight="1" thickBot="1">
      <c r="A50" s="714" t="s">
        <v>87</v>
      </c>
      <c r="B50" s="708" t="s">
        <v>138</v>
      </c>
      <c r="C50" s="708">
        <v>19040</v>
      </c>
      <c r="D50" s="708">
        <v>16960</v>
      </c>
      <c r="E50" s="708">
        <v>14800</v>
      </c>
      <c r="F50" s="726">
        <v>3940</v>
      </c>
      <c r="H50" s="733"/>
    </row>
    <row r="51" spans="1:15" ht="14.25" customHeight="1" thickBot="1">
      <c r="A51" s="714" t="s">
        <v>87</v>
      </c>
      <c r="B51" s="708" t="s">
        <v>151</v>
      </c>
      <c r="C51" s="708">
        <v>17040</v>
      </c>
      <c r="D51" s="708">
        <v>16930</v>
      </c>
      <c r="E51" s="708">
        <v>15030</v>
      </c>
      <c r="F51" s="726">
        <v>4120</v>
      </c>
      <c r="H51" s="733"/>
    </row>
    <row r="52" spans="1:15" ht="14.25" customHeight="1" thickBot="1">
      <c r="A52" s="714" t="s">
        <v>87</v>
      </c>
      <c r="B52" s="708" t="s">
        <v>164</v>
      </c>
      <c r="C52" s="708">
        <v>17110</v>
      </c>
      <c r="D52" s="708">
        <v>17750</v>
      </c>
      <c r="E52" s="708">
        <v>17310</v>
      </c>
      <c r="F52" s="726">
        <v>3220</v>
      </c>
      <c r="H52" s="733"/>
    </row>
    <row r="53" spans="1:15" ht="14.25" customHeight="1" thickBot="1">
      <c r="A53" s="714" t="s">
        <v>87</v>
      </c>
      <c r="B53" s="708" t="s">
        <v>176</v>
      </c>
      <c r="C53" s="708">
        <v>17810</v>
      </c>
      <c r="D53" s="708">
        <v>17260</v>
      </c>
      <c r="E53" s="708">
        <v>17090</v>
      </c>
      <c r="F53" s="726">
        <v>3520</v>
      </c>
      <c r="H53" s="733"/>
    </row>
    <row r="54" spans="1:15" ht="14.25" customHeight="1" thickBot="1">
      <c r="A54" s="714" t="s">
        <v>87</v>
      </c>
      <c r="B54" s="708" t="s">
        <v>188</v>
      </c>
      <c r="C54" s="708">
        <v>17410</v>
      </c>
      <c r="D54" s="708">
        <v>16780</v>
      </c>
      <c r="E54" s="708">
        <v>16370</v>
      </c>
      <c r="F54" s="726">
        <v>3410</v>
      </c>
      <c r="H54" s="733"/>
    </row>
    <row r="55" spans="1:15" ht="14.25" customHeight="1" thickBot="1">
      <c r="A55" s="714" t="s">
        <v>87</v>
      </c>
      <c r="B55" s="708" t="s">
        <v>200</v>
      </c>
      <c r="C55" s="708">
        <v>16930</v>
      </c>
      <c r="D55" s="708">
        <v>14720</v>
      </c>
      <c r="E55" s="708">
        <v>15000</v>
      </c>
      <c r="F55" s="726">
        <v>3710</v>
      </c>
      <c r="H55" s="733"/>
    </row>
    <row r="56" spans="1:15" ht="14.25" customHeight="1" thickBot="1">
      <c r="A56" s="714" t="s">
        <v>87</v>
      </c>
      <c r="B56" s="708" t="s">
        <v>212</v>
      </c>
      <c r="C56" s="708">
        <v>14930</v>
      </c>
      <c r="D56" s="708">
        <v>15850</v>
      </c>
      <c r="E56" s="708">
        <v>14320</v>
      </c>
      <c r="F56" s="726">
        <v>3960</v>
      </c>
      <c r="H56" s="733"/>
    </row>
    <row r="57" spans="1:15" ht="14.25" customHeight="1" thickBot="1">
      <c r="A57" s="714" t="s">
        <v>87</v>
      </c>
      <c r="B57" s="708" t="s">
        <v>225</v>
      </c>
      <c r="C57" s="708">
        <v>16160</v>
      </c>
      <c r="D57" s="708">
        <v>16190</v>
      </c>
      <c r="E57" s="708">
        <v>15650</v>
      </c>
      <c r="F57" s="726">
        <v>4200</v>
      </c>
      <c r="H57" s="733"/>
    </row>
    <row r="58" spans="1:15" ht="14.25" customHeight="1" thickBot="1">
      <c r="A58" s="714" t="s">
        <v>87</v>
      </c>
      <c r="B58" s="708" t="s">
        <v>236</v>
      </c>
      <c r="C58" s="708">
        <v>16360</v>
      </c>
      <c r="D58" s="708">
        <v>14050</v>
      </c>
      <c r="E58" s="708">
        <v>16070</v>
      </c>
      <c r="F58" s="726">
        <v>3990</v>
      </c>
      <c r="H58" s="733"/>
    </row>
    <row r="59" spans="1:15" ht="14.25" customHeight="1" thickBot="1">
      <c r="A59" s="714" t="s">
        <v>87</v>
      </c>
      <c r="B59" s="708" t="s">
        <v>247</v>
      </c>
      <c r="C59" s="708">
        <v>14160</v>
      </c>
      <c r="D59" s="708">
        <v>16620</v>
      </c>
      <c r="E59" s="708">
        <v>13940</v>
      </c>
      <c r="F59" s="726">
        <v>4260</v>
      </c>
      <c r="H59" s="733"/>
    </row>
    <row r="60" spans="1:15" ht="14.25" customHeight="1" thickBot="1">
      <c r="A60" s="714" t="s">
        <v>87</v>
      </c>
      <c r="B60" s="708" t="s">
        <v>258</v>
      </c>
      <c r="C60" s="708">
        <v>16750</v>
      </c>
      <c r="D60" s="708">
        <v>13910</v>
      </c>
      <c r="E60" s="708">
        <v>16550</v>
      </c>
      <c r="F60" s="726">
        <v>4550</v>
      </c>
      <c r="H60" s="733"/>
    </row>
    <row r="61" spans="1:15" ht="14.25" customHeight="1" thickBot="1">
      <c r="A61" s="714" t="s">
        <v>87</v>
      </c>
      <c r="B61" s="708" t="s">
        <v>269</v>
      </c>
      <c r="C61" s="708">
        <v>14000</v>
      </c>
      <c r="D61" s="708">
        <v>14550</v>
      </c>
      <c r="E61" s="708">
        <v>13860</v>
      </c>
      <c r="F61" s="735"/>
      <c r="H61" s="733"/>
    </row>
    <row r="62" spans="1:15" ht="14.25" customHeight="1" thickBot="1">
      <c r="A62" s="714" t="s">
        <v>87</v>
      </c>
      <c r="B62" s="708" t="s">
        <v>280</v>
      </c>
      <c r="C62" s="708">
        <v>14660</v>
      </c>
      <c r="D62" s="708">
        <v>17450</v>
      </c>
      <c r="E62" s="708">
        <v>14470</v>
      </c>
      <c r="F62" s="735"/>
      <c r="H62" s="733"/>
    </row>
    <row r="63" spans="1:15" ht="14.25" customHeight="1" thickBot="1">
      <c r="A63" s="714" t="s">
        <v>87</v>
      </c>
      <c r="B63" s="708" t="s">
        <v>291</v>
      </c>
      <c r="C63" s="708">
        <v>17610</v>
      </c>
      <c r="D63" s="708">
        <v>16500</v>
      </c>
      <c r="E63" s="708">
        <v>17330</v>
      </c>
      <c r="F63" s="735"/>
      <c r="H63" s="733"/>
    </row>
    <row r="64" spans="1:15" ht="14.25" customHeight="1" thickBot="1">
      <c r="A64" s="714" t="s">
        <v>87</v>
      </c>
      <c r="B64" s="708" t="s">
        <v>301</v>
      </c>
      <c r="C64" s="708">
        <v>16590</v>
      </c>
      <c r="D64" s="708">
        <v>15130</v>
      </c>
      <c r="E64" s="708">
        <v>16420</v>
      </c>
      <c r="F64" s="735"/>
      <c r="H64" s="733"/>
    </row>
    <row r="65" spans="1:8" s="702" customFormat="1" ht="14.25" customHeight="1" thickBot="1">
      <c r="A65" s="714" t="s">
        <v>87</v>
      </c>
      <c r="B65" s="708" t="s">
        <v>311</v>
      </c>
      <c r="C65" s="708">
        <v>15220</v>
      </c>
      <c r="D65" s="708">
        <v>14660</v>
      </c>
      <c r="E65" s="708">
        <v>15060</v>
      </c>
      <c r="F65" s="726"/>
      <c r="H65" s="733"/>
    </row>
    <row r="66" spans="1:8" s="702" customFormat="1" ht="14.25" customHeight="1" thickBot="1">
      <c r="A66" s="714" t="s">
        <v>87</v>
      </c>
      <c r="B66" s="708" t="s">
        <v>321</v>
      </c>
      <c r="C66" s="708">
        <v>14720</v>
      </c>
      <c r="D66" s="708">
        <v>15970</v>
      </c>
      <c r="E66" s="708">
        <v>14610</v>
      </c>
      <c r="F66" s="726"/>
      <c r="H66" s="733"/>
    </row>
    <row r="67" spans="1:8" s="702" customFormat="1" ht="14.25" customHeight="1" thickBot="1">
      <c r="A67" s="714" t="s">
        <v>87</v>
      </c>
      <c r="B67" s="708" t="s">
        <v>331</v>
      </c>
      <c r="C67" s="708">
        <v>16080</v>
      </c>
      <c r="D67" s="708">
        <v>14840</v>
      </c>
      <c r="E67" s="708">
        <v>15630</v>
      </c>
      <c r="F67" s="726"/>
      <c r="H67" s="733"/>
    </row>
    <row r="68" spans="1:8" s="702" customFormat="1" ht="14.25" customHeight="1" thickBot="1">
      <c r="A68" s="714" t="s">
        <v>87</v>
      </c>
      <c r="B68" s="708" t="s">
        <v>340</v>
      </c>
      <c r="C68" s="708">
        <v>14940</v>
      </c>
      <c r="D68" s="708">
        <v>18000</v>
      </c>
      <c r="E68" s="708">
        <v>14040</v>
      </c>
      <c r="F68" s="726"/>
      <c r="H68" s="733"/>
    </row>
    <row r="69" spans="1:8" s="702" customFormat="1" ht="14.25" customHeight="1" thickBot="1">
      <c r="A69" s="714" t="s">
        <v>87</v>
      </c>
      <c r="B69" s="708" t="s">
        <v>349</v>
      </c>
      <c r="C69" s="708">
        <v>18810</v>
      </c>
      <c r="D69" s="708">
        <v>15100</v>
      </c>
      <c r="E69" s="708">
        <v>14710</v>
      </c>
      <c r="F69" s="726"/>
      <c r="H69" s="733"/>
    </row>
    <row r="70" spans="1:8" s="702" customFormat="1" ht="14.25" customHeight="1" thickBot="1">
      <c r="A70" s="714" t="s">
        <v>87</v>
      </c>
      <c r="B70" s="708" t="s">
        <v>357</v>
      </c>
      <c r="C70" s="708">
        <v>18270</v>
      </c>
      <c r="D70" s="708"/>
      <c r="E70" s="708"/>
      <c r="F70" s="726"/>
      <c r="H70" s="733"/>
    </row>
    <row r="71" spans="1:8" s="702" customFormat="1" ht="14.25" customHeight="1" thickBot="1">
      <c r="A71" s="714" t="s">
        <v>87</v>
      </c>
      <c r="B71" s="708" t="s">
        <v>364</v>
      </c>
      <c r="C71" s="708">
        <v>15230</v>
      </c>
      <c r="D71" s="708"/>
      <c r="E71" s="708"/>
      <c r="F71" s="726"/>
      <c r="H71" s="733"/>
    </row>
    <row r="72" spans="1:8" s="702" customFormat="1" ht="14.25" customHeight="1" thickBot="1">
      <c r="A72" s="714" t="s">
        <v>87</v>
      </c>
      <c r="B72" s="708" t="s">
        <v>371</v>
      </c>
      <c r="C72" s="708"/>
      <c r="D72" s="708"/>
      <c r="E72" s="708"/>
      <c r="F72" s="726">
        <v>4120</v>
      </c>
      <c r="H72" s="733"/>
    </row>
    <row r="73" spans="1:8" s="702" customFormat="1" ht="14.25" customHeight="1" thickBot="1">
      <c r="A73" s="714" t="s">
        <v>87</v>
      </c>
      <c r="B73" s="708" t="s">
        <v>378</v>
      </c>
      <c r="C73" s="708"/>
      <c r="D73" s="708"/>
      <c r="E73" s="708"/>
      <c r="F73" s="726">
        <v>3930</v>
      </c>
      <c r="H73" s="733"/>
    </row>
    <row r="74" spans="1:8" s="702" customFormat="1" ht="14.25" customHeight="1" thickBot="1">
      <c r="A74" s="714" t="s">
        <v>87</v>
      </c>
      <c r="B74" s="708" t="s">
        <v>385</v>
      </c>
      <c r="C74" s="708"/>
      <c r="D74" s="708"/>
      <c r="E74" s="708"/>
      <c r="F74" s="726">
        <v>4060</v>
      </c>
      <c r="H74" s="733"/>
    </row>
    <row r="75" spans="1:8" s="702" customFormat="1" ht="14.25" customHeight="1" thickBot="1">
      <c r="A75" s="714" t="s">
        <v>87</v>
      </c>
      <c r="B75" s="724" t="s">
        <v>392</v>
      </c>
      <c r="C75" s="724"/>
      <c r="D75" s="724"/>
      <c r="E75" s="724"/>
      <c r="F75" s="734">
        <v>3750</v>
      </c>
      <c r="H75" s="733"/>
    </row>
    <row r="76" spans="1:8" s="702" customFormat="1" ht="14.25" customHeight="1" thickBot="1">
      <c r="A76" s="714" t="s">
        <v>479</v>
      </c>
      <c r="B76" s="715" t="s">
        <v>480</v>
      </c>
      <c r="C76" s="715">
        <v>14690</v>
      </c>
      <c r="D76" s="715">
        <v>14640</v>
      </c>
      <c r="E76" s="715">
        <v>14590</v>
      </c>
      <c r="F76" s="716">
        <v>3060</v>
      </c>
      <c r="H76" s="733"/>
    </row>
    <row r="77" spans="1:8" s="702" customFormat="1" ht="14.25" customHeight="1" thickBot="1">
      <c r="A77" s="714" t="s">
        <v>479</v>
      </c>
      <c r="B77" s="708" t="s">
        <v>139</v>
      </c>
      <c r="C77" s="708">
        <v>12550</v>
      </c>
      <c r="D77" s="708">
        <v>12480</v>
      </c>
      <c r="E77" s="708">
        <v>12450</v>
      </c>
      <c r="F77" s="726">
        <v>2590</v>
      </c>
      <c r="H77" s="733"/>
    </row>
    <row r="78" spans="1:8" s="702" customFormat="1" ht="14.25" customHeight="1" thickBot="1">
      <c r="A78" s="714" t="s">
        <v>479</v>
      </c>
      <c r="B78" s="708" t="s">
        <v>152</v>
      </c>
      <c r="C78" s="708">
        <v>14360</v>
      </c>
      <c r="D78" s="708">
        <v>14320</v>
      </c>
      <c r="E78" s="708">
        <v>12510</v>
      </c>
      <c r="F78" s="726">
        <v>2700</v>
      </c>
      <c r="H78" s="733"/>
    </row>
    <row r="79" spans="1:8" s="702" customFormat="1" ht="14.25" customHeight="1" thickBot="1">
      <c r="A79" s="714" t="s">
        <v>479</v>
      </c>
      <c r="B79" s="708" t="s">
        <v>165</v>
      </c>
      <c r="C79" s="708">
        <v>12590</v>
      </c>
      <c r="D79" s="708">
        <v>12540</v>
      </c>
      <c r="E79" s="708">
        <v>12350</v>
      </c>
      <c r="F79" s="726">
        <v>2740</v>
      </c>
      <c r="H79" s="733"/>
    </row>
    <row r="80" spans="1:8" s="702" customFormat="1" ht="14.25" customHeight="1" thickBot="1">
      <c r="A80" s="714" t="s">
        <v>479</v>
      </c>
      <c r="B80" s="708" t="s">
        <v>177</v>
      </c>
      <c r="C80" s="708">
        <v>12450</v>
      </c>
      <c r="D80" s="708">
        <v>12370</v>
      </c>
      <c r="E80" s="708">
        <v>10790</v>
      </c>
      <c r="F80" s="726">
        <v>2290</v>
      </c>
      <c r="H80" s="733"/>
    </row>
    <row r="81" spans="1:8" s="702" customFormat="1" ht="14.25" customHeight="1" thickBot="1">
      <c r="A81" s="714" t="s">
        <v>479</v>
      </c>
      <c r="B81" s="708" t="s">
        <v>189</v>
      </c>
      <c r="C81" s="708">
        <v>14210</v>
      </c>
      <c r="D81" s="708">
        <v>14150</v>
      </c>
      <c r="E81" s="708">
        <v>12730</v>
      </c>
      <c r="F81" s="726">
        <v>2240</v>
      </c>
      <c r="H81" s="733"/>
    </row>
    <row r="82" spans="1:8" s="702" customFormat="1" ht="14.25" customHeight="1" thickBot="1">
      <c r="A82" s="714" t="s">
        <v>479</v>
      </c>
      <c r="B82" s="708" t="s">
        <v>201</v>
      </c>
      <c r="C82" s="708">
        <v>10860</v>
      </c>
      <c r="D82" s="708">
        <v>10820</v>
      </c>
      <c r="E82" s="708">
        <v>14720</v>
      </c>
      <c r="F82" s="726">
        <v>2490</v>
      </c>
      <c r="H82" s="733"/>
    </row>
    <row r="83" spans="1:8" s="702" customFormat="1" ht="14.25" customHeight="1" thickBot="1">
      <c r="A83" s="714" t="s">
        <v>479</v>
      </c>
      <c r="B83" s="708" t="s">
        <v>213</v>
      </c>
      <c r="C83" s="708">
        <v>12810</v>
      </c>
      <c r="D83" s="708">
        <v>12760</v>
      </c>
      <c r="E83" s="708">
        <v>14830</v>
      </c>
      <c r="F83" s="726">
        <v>2450</v>
      </c>
      <c r="H83" s="733"/>
    </row>
    <row r="84" spans="1:8" s="702" customFormat="1" ht="14.25" customHeight="1" thickBot="1">
      <c r="A84" s="714" t="s">
        <v>479</v>
      </c>
      <c r="B84" s="708" t="s">
        <v>226</v>
      </c>
      <c r="C84" s="708">
        <v>14950</v>
      </c>
      <c r="D84" s="708">
        <v>14810</v>
      </c>
      <c r="E84" s="708">
        <v>12590</v>
      </c>
      <c r="F84" s="726">
        <v>2540</v>
      </c>
      <c r="H84" s="733"/>
    </row>
    <row r="85" spans="1:8" s="702" customFormat="1" ht="14.25" customHeight="1" thickBot="1">
      <c r="A85" s="714" t="s">
        <v>479</v>
      </c>
      <c r="B85" s="708" t="s">
        <v>237</v>
      </c>
      <c r="C85" s="708">
        <v>14960</v>
      </c>
      <c r="D85" s="708">
        <v>14890</v>
      </c>
      <c r="E85" s="708">
        <v>12840</v>
      </c>
      <c r="F85" s="726">
        <v>2840</v>
      </c>
      <c r="H85" s="733"/>
    </row>
    <row r="86" spans="1:8" s="702" customFormat="1" ht="14.25" customHeight="1" thickBot="1">
      <c r="A86" s="714" t="s">
        <v>479</v>
      </c>
      <c r="B86" s="708" t="s">
        <v>248</v>
      </c>
      <c r="C86" s="708">
        <v>12730</v>
      </c>
      <c r="D86" s="708">
        <v>12660</v>
      </c>
      <c r="E86" s="708">
        <v>13310</v>
      </c>
      <c r="F86" s="726">
        <v>3140</v>
      </c>
      <c r="H86" s="733"/>
    </row>
    <row r="87" spans="1:8" s="702" customFormat="1" ht="14.25" customHeight="1" thickBot="1">
      <c r="A87" s="714" t="s">
        <v>479</v>
      </c>
      <c r="B87" s="708" t="s">
        <v>259</v>
      </c>
      <c r="C87" s="708">
        <v>12940</v>
      </c>
      <c r="D87" s="708">
        <v>12890</v>
      </c>
      <c r="E87" s="708">
        <v>11580</v>
      </c>
      <c r="F87" s="735"/>
      <c r="H87" s="733"/>
    </row>
    <row r="88" spans="1:8" s="702" customFormat="1" ht="14.25" customHeight="1" thickBot="1">
      <c r="A88" s="714" t="s">
        <v>479</v>
      </c>
      <c r="B88" s="708" t="s">
        <v>270</v>
      </c>
      <c r="C88" s="708">
        <v>13430</v>
      </c>
      <c r="D88" s="708">
        <v>13360</v>
      </c>
      <c r="E88" s="708">
        <v>12790</v>
      </c>
      <c r="F88" s="735"/>
      <c r="H88" s="733"/>
    </row>
    <row r="89" spans="1:8" s="702" customFormat="1" ht="14.25" customHeight="1" thickBot="1">
      <c r="A89" s="714" t="s">
        <v>479</v>
      </c>
      <c r="B89" s="708" t="s">
        <v>281</v>
      </c>
      <c r="C89" s="708">
        <v>11680</v>
      </c>
      <c r="D89" s="708">
        <v>11630</v>
      </c>
      <c r="E89" s="708">
        <v>11320</v>
      </c>
      <c r="F89" s="735"/>
      <c r="H89" s="733"/>
    </row>
    <row r="90" spans="1:8" s="702" customFormat="1" ht="14.25" customHeight="1" thickBot="1">
      <c r="A90" s="714" t="s">
        <v>479</v>
      </c>
      <c r="B90" s="708" t="s">
        <v>292</v>
      </c>
      <c r="C90" s="708">
        <v>12890</v>
      </c>
      <c r="D90" s="708">
        <v>12820</v>
      </c>
      <c r="E90" s="708">
        <v>12710</v>
      </c>
      <c r="F90" s="735"/>
      <c r="H90" s="733"/>
    </row>
    <row r="91" spans="1:8" s="702" customFormat="1" ht="14.25" customHeight="1" thickBot="1">
      <c r="A91" s="714" t="s">
        <v>479</v>
      </c>
      <c r="B91" s="708" t="s">
        <v>302</v>
      </c>
      <c r="C91" s="708">
        <v>11410</v>
      </c>
      <c r="D91" s="708">
        <v>11360</v>
      </c>
      <c r="E91" s="708">
        <v>12670</v>
      </c>
      <c r="F91" s="735"/>
      <c r="H91" s="733"/>
    </row>
    <row r="92" spans="1:8" s="702" customFormat="1" ht="14.25" customHeight="1" thickBot="1">
      <c r="A92" s="714" t="s">
        <v>479</v>
      </c>
      <c r="B92" s="708" t="s">
        <v>312</v>
      </c>
      <c r="C92" s="708">
        <v>12770</v>
      </c>
      <c r="D92" s="708">
        <v>12740</v>
      </c>
      <c r="E92" s="708">
        <v>11970</v>
      </c>
      <c r="F92" s="735"/>
      <c r="H92" s="733"/>
    </row>
    <row r="93" spans="1:8" s="702" customFormat="1" ht="14.25" customHeight="1" thickBot="1">
      <c r="A93" s="714" t="s">
        <v>479</v>
      </c>
      <c r="B93" s="708" t="s">
        <v>322</v>
      </c>
      <c r="C93" s="708">
        <v>12740</v>
      </c>
      <c r="D93" s="708">
        <v>12700</v>
      </c>
      <c r="E93" s="708">
        <v>12540</v>
      </c>
      <c r="F93" s="735"/>
      <c r="H93" s="733"/>
    </row>
    <row r="94" spans="1:8" s="702" customFormat="1" ht="14.25" customHeight="1" thickBot="1">
      <c r="A94" s="714" t="s">
        <v>479</v>
      </c>
      <c r="B94" s="708" t="s">
        <v>332</v>
      </c>
      <c r="C94" s="708">
        <v>12020</v>
      </c>
      <c r="D94" s="708">
        <v>11990</v>
      </c>
      <c r="E94" s="708">
        <v>13110</v>
      </c>
      <c r="F94" s="735"/>
      <c r="H94" s="733"/>
    </row>
    <row r="95" spans="1:8" s="702" customFormat="1" ht="14.25" customHeight="1" thickBot="1">
      <c r="A95" s="714" t="s">
        <v>479</v>
      </c>
      <c r="B95" s="708" t="s">
        <v>341</v>
      </c>
      <c r="C95" s="708">
        <v>12620</v>
      </c>
      <c r="D95" s="708">
        <v>12580</v>
      </c>
      <c r="E95" s="708">
        <v>13160</v>
      </c>
      <c r="F95" s="726"/>
      <c r="H95" s="733"/>
    </row>
    <row r="96" spans="1:8" s="702" customFormat="1" ht="14.25" customHeight="1" thickBot="1">
      <c r="A96" s="714" t="s">
        <v>479</v>
      </c>
      <c r="B96" s="708" t="s">
        <v>350</v>
      </c>
      <c r="C96" s="708">
        <v>13200</v>
      </c>
      <c r="D96" s="708">
        <v>13150</v>
      </c>
      <c r="E96" s="708">
        <v>12900</v>
      </c>
      <c r="F96" s="726"/>
      <c r="H96" s="733"/>
    </row>
    <row r="97" spans="1:8" s="702" customFormat="1" ht="14.25" customHeight="1" thickBot="1">
      <c r="A97" s="714" t="s">
        <v>479</v>
      </c>
      <c r="B97" s="708" t="s">
        <v>358</v>
      </c>
      <c r="C97" s="708">
        <v>13270</v>
      </c>
      <c r="D97" s="708">
        <v>13210</v>
      </c>
      <c r="E97" s="708">
        <v>11080</v>
      </c>
      <c r="F97" s="726"/>
      <c r="H97" s="733"/>
    </row>
    <row r="98" spans="1:8" s="702" customFormat="1" ht="14.25" customHeight="1" thickBot="1">
      <c r="A98" s="714" t="s">
        <v>479</v>
      </c>
      <c r="B98" s="708" t="s">
        <v>365</v>
      </c>
      <c r="C98" s="708">
        <v>13010</v>
      </c>
      <c r="D98" s="708">
        <v>12930</v>
      </c>
      <c r="E98" s="708">
        <v>12840</v>
      </c>
      <c r="F98" s="726"/>
      <c r="H98" s="733"/>
    </row>
    <row r="99" spans="1:8" s="702" customFormat="1" ht="14.25" customHeight="1" thickBot="1">
      <c r="A99" s="714" t="s">
        <v>479</v>
      </c>
      <c r="B99" s="708" t="s">
        <v>372</v>
      </c>
      <c r="C99" s="708">
        <v>11190</v>
      </c>
      <c r="D99" s="708">
        <v>11130</v>
      </c>
      <c r="E99" s="708"/>
      <c r="F99" s="726"/>
      <c r="H99" s="733"/>
    </row>
    <row r="100" spans="1:8" s="702" customFormat="1" ht="14.25" customHeight="1" thickBot="1">
      <c r="A100" s="714" t="s">
        <v>479</v>
      </c>
      <c r="B100" s="708" t="s">
        <v>379</v>
      </c>
      <c r="C100" s="708">
        <v>14280</v>
      </c>
      <c r="D100" s="708">
        <v>14180</v>
      </c>
      <c r="E100" s="708"/>
      <c r="F100" s="726"/>
      <c r="H100" s="733"/>
    </row>
    <row r="101" spans="1:8" s="702" customFormat="1" ht="14.25" customHeight="1" thickBot="1">
      <c r="A101" s="714" t="s">
        <v>479</v>
      </c>
      <c r="B101" s="708" t="s">
        <v>386</v>
      </c>
      <c r="C101" s="708">
        <v>12960</v>
      </c>
      <c r="D101" s="708">
        <v>12890</v>
      </c>
      <c r="E101" s="708"/>
      <c r="F101" s="726"/>
      <c r="H101" s="733"/>
    </row>
    <row r="102" spans="1:8" s="702" customFormat="1" ht="14.25" customHeight="1" thickBot="1">
      <c r="A102" s="714" t="s">
        <v>479</v>
      </c>
      <c r="B102" s="708" t="s">
        <v>393</v>
      </c>
      <c r="C102" s="708"/>
      <c r="D102" s="708"/>
      <c r="E102" s="708"/>
      <c r="F102" s="726">
        <v>3100</v>
      </c>
      <c r="H102" s="733"/>
    </row>
    <row r="103" spans="1:8" s="702" customFormat="1" ht="14.25" customHeight="1" thickBot="1">
      <c r="A103" s="714" t="s">
        <v>479</v>
      </c>
      <c r="B103" s="708" t="s">
        <v>400</v>
      </c>
      <c r="C103" s="708"/>
      <c r="D103" s="708"/>
      <c r="E103" s="708"/>
      <c r="F103" s="726">
        <v>2320</v>
      </c>
      <c r="H103" s="733"/>
    </row>
    <row r="104" spans="1:8" s="702" customFormat="1" ht="14.25" customHeight="1" thickBot="1">
      <c r="A104" s="714" t="s">
        <v>479</v>
      </c>
      <c r="B104" s="708" t="s">
        <v>405</v>
      </c>
      <c r="C104" s="708"/>
      <c r="D104" s="708"/>
      <c r="E104" s="708"/>
      <c r="F104" s="726">
        <v>2320</v>
      </c>
      <c r="H104" s="733"/>
    </row>
    <row r="105" spans="1:8" s="702" customFormat="1" ht="14.25" customHeight="1" thickBot="1">
      <c r="A105" s="714" t="s">
        <v>479</v>
      </c>
      <c r="B105" s="708" t="s">
        <v>409</v>
      </c>
      <c r="C105" s="708"/>
      <c r="D105" s="708"/>
      <c r="E105" s="708"/>
      <c r="F105" s="726">
        <v>2320</v>
      </c>
      <c r="H105" s="733"/>
    </row>
    <row r="106" spans="1:8" s="702" customFormat="1" ht="14.25" customHeight="1" thickBot="1">
      <c r="A106" s="714" t="s">
        <v>479</v>
      </c>
      <c r="B106" s="708" t="s">
        <v>414</v>
      </c>
      <c r="C106" s="708"/>
      <c r="D106" s="708"/>
      <c r="E106" s="708"/>
      <c r="F106" s="726">
        <v>2320</v>
      </c>
      <c r="H106" s="733"/>
    </row>
    <row r="107" spans="1:8" s="702" customFormat="1" ht="14.25" customHeight="1" thickBot="1">
      <c r="A107" s="714" t="s">
        <v>479</v>
      </c>
      <c r="B107" s="708" t="s">
        <v>419</v>
      </c>
      <c r="C107" s="708"/>
      <c r="D107" s="708"/>
      <c r="E107" s="708"/>
      <c r="F107" s="726">
        <v>2280</v>
      </c>
      <c r="H107" s="733"/>
    </row>
    <row r="108" spans="1:8" s="702" customFormat="1" ht="14.25" customHeight="1" thickBot="1">
      <c r="A108" s="714" t="s">
        <v>479</v>
      </c>
      <c r="B108" s="708" t="s">
        <v>424</v>
      </c>
      <c r="C108" s="708"/>
      <c r="D108" s="708"/>
      <c r="E108" s="708"/>
      <c r="F108" s="726">
        <v>2280</v>
      </c>
      <c r="H108" s="733"/>
    </row>
    <row r="109" spans="1:8" s="702" customFormat="1" ht="14.25" customHeight="1" thickBot="1">
      <c r="A109" s="714" t="s">
        <v>479</v>
      </c>
      <c r="B109" s="724" t="s">
        <v>429</v>
      </c>
      <c r="C109" s="724"/>
      <c r="D109" s="724"/>
      <c r="E109" s="724"/>
      <c r="F109" s="734">
        <v>2280</v>
      </c>
      <c r="H109" s="733"/>
    </row>
    <row r="110" spans="1:8" s="702" customFormat="1" ht="14.25" customHeight="1" thickBot="1">
      <c r="A110" s="714" t="s">
        <v>70</v>
      </c>
      <c r="B110" s="715" t="s">
        <v>481</v>
      </c>
      <c r="C110" s="715">
        <v>10520</v>
      </c>
      <c r="D110" s="715">
        <v>10490</v>
      </c>
      <c r="E110" s="715">
        <v>10760</v>
      </c>
      <c r="F110" s="716">
        <v>2160</v>
      </c>
      <c r="H110" s="733"/>
    </row>
    <row r="111" spans="1:8" s="702" customFormat="1" ht="14.25" customHeight="1" thickBot="1">
      <c r="A111" s="714" t="s">
        <v>70</v>
      </c>
      <c r="B111" s="708" t="s">
        <v>140</v>
      </c>
      <c r="C111" s="708">
        <v>10090</v>
      </c>
      <c r="D111" s="708">
        <v>10060</v>
      </c>
      <c r="E111" s="708">
        <v>10300</v>
      </c>
      <c r="F111" s="726">
        <v>2010</v>
      </c>
      <c r="H111" s="733"/>
    </row>
    <row r="112" spans="1:8" s="702" customFormat="1" ht="14.25" customHeight="1" thickBot="1">
      <c r="A112" s="714" t="s">
        <v>70</v>
      </c>
      <c r="B112" s="708" t="s">
        <v>153</v>
      </c>
      <c r="C112" s="708">
        <v>9910</v>
      </c>
      <c r="D112" s="708">
        <v>9850</v>
      </c>
      <c r="E112" s="708">
        <v>9960</v>
      </c>
      <c r="F112" s="726">
        <v>2090</v>
      </c>
      <c r="H112" s="733"/>
    </row>
    <row r="113" spans="1:8" s="702" customFormat="1" ht="14.25" customHeight="1" thickBot="1">
      <c r="A113" s="714" t="s">
        <v>70</v>
      </c>
      <c r="B113" s="708" t="s">
        <v>166</v>
      </c>
      <c r="C113" s="708">
        <v>11430</v>
      </c>
      <c r="D113" s="708">
        <v>11400</v>
      </c>
      <c r="E113" s="708">
        <v>11710</v>
      </c>
      <c r="F113" s="726">
        <v>2050</v>
      </c>
      <c r="H113" s="733"/>
    </row>
    <row r="114" spans="1:8" s="702" customFormat="1" ht="14.25" customHeight="1" thickBot="1">
      <c r="A114" s="714" t="s">
        <v>70</v>
      </c>
      <c r="B114" s="708" t="s">
        <v>178</v>
      </c>
      <c r="C114" s="708">
        <v>11390</v>
      </c>
      <c r="D114" s="708">
        <v>11350</v>
      </c>
      <c r="E114" s="708">
        <v>11640</v>
      </c>
      <c r="F114" s="726">
        <v>1620</v>
      </c>
      <c r="H114" s="733"/>
    </row>
    <row r="115" spans="1:8" s="702" customFormat="1" ht="14.25" customHeight="1" thickBot="1">
      <c r="A115" s="714" t="s">
        <v>70</v>
      </c>
      <c r="B115" s="708" t="s">
        <v>190</v>
      </c>
      <c r="C115" s="708">
        <v>9930</v>
      </c>
      <c r="D115" s="708">
        <v>9900</v>
      </c>
      <c r="E115" s="708">
        <v>10160</v>
      </c>
      <c r="F115" s="726">
        <v>1580</v>
      </c>
      <c r="H115" s="733"/>
    </row>
    <row r="116" spans="1:8" s="702" customFormat="1" ht="14.25" customHeight="1" thickBot="1">
      <c r="A116" s="714" t="s">
        <v>70</v>
      </c>
      <c r="B116" s="708" t="s">
        <v>202</v>
      </c>
      <c r="C116" s="708">
        <v>9150</v>
      </c>
      <c r="D116" s="708">
        <v>9120</v>
      </c>
      <c r="E116" s="708">
        <v>9380</v>
      </c>
      <c r="F116" s="726">
        <v>1750</v>
      </c>
      <c r="H116" s="733"/>
    </row>
    <row r="117" spans="1:8" s="702" customFormat="1" ht="14.25" customHeight="1" thickBot="1">
      <c r="A117" s="714" t="s">
        <v>70</v>
      </c>
      <c r="B117" s="708" t="s">
        <v>214</v>
      </c>
      <c r="C117" s="708">
        <v>10680</v>
      </c>
      <c r="D117" s="708">
        <v>10650</v>
      </c>
      <c r="E117" s="708">
        <v>10970</v>
      </c>
      <c r="F117" s="726">
        <v>1730</v>
      </c>
      <c r="H117" s="733"/>
    </row>
    <row r="118" spans="1:8" s="702" customFormat="1" ht="14.25" customHeight="1" thickBot="1">
      <c r="A118" s="714" t="s">
        <v>70</v>
      </c>
      <c r="B118" s="708" t="s">
        <v>227</v>
      </c>
      <c r="C118" s="708">
        <v>10080</v>
      </c>
      <c r="D118" s="708">
        <v>10050</v>
      </c>
      <c r="E118" s="708">
        <v>10350</v>
      </c>
      <c r="F118" s="726">
        <v>1920</v>
      </c>
      <c r="H118" s="733"/>
    </row>
    <row r="119" spans="1:8" s="702" customFormat="1" ht="14.25" customHeight="1" thickBot="1">
      <c r="A119" s="714" t="s">
        <v>70</v>
      </c>
      <c r="B119" s="708" t="s">
        <v>238</v>
      </c>
      <c r="C119" s="708">
        <v>9450</v>
      </c>
      <c r="D119" s="708">
        <v>9410</v>
      </c>
      <c r="E119" s="708">
        <v>9680</v>
      </c>
      <c r="F119" s="726">
        <v>1880</v>
      </c>
      <c r="H119" s="733"/>
    </row>
    <row r="120" spans="1:8" s="702" customFormat="1" ht="14.25" customHeight="1" thickBot="1">
      <c r="A120" s="714" t="s">
        <v>70</v>
      </c>
      <c r="B120" s="708" t="s">
        <v>249</v>
      </c>
      <c r="C120" s="708">
        <v>8730</v>
      </c>
      <c r="D120" s="708">
        <v>8700</v>
      </c>
      <c r="E120" s="708">
        <v>8950</v>
      </c>
      <c r="F120" s="726">
        <v>1830</v>
      </c>
      <c r="H120" s="733"/>
    </row>
    <row r="121" spans="1:8" s="702" customFormat="1" ht="14.25" customHeight="1" thickBot="1">
      <c r="A121" s="714" t="s">
        <v>70</v>
      </c>
      <c r="B121" s="708" t="s">
        <v>260</v>
      </c>
      <c r="C121" s="708">
        <v>10070</v>
      </c>
      <c r="D121" s="708">
        <v>10040</v>
      </c>
      <c r="E121" s="708">
        <v>10270</v>
      </c>
      <c r="F121" s="726">
        <v>1960</v>
      </c>
      <c r="H121" s="733"/>
    </row>
    <row r="122" spans="1:8" s="702" customFormat="1" ht="14.25" customHeight="1" thickBot="1">
      <c r="A122" s="714" t="s">
        <v>70</v>
      </c>
      <c r="B122" s="708" t="s">
        <v>271</v>
      </c>
      <c r="C122" s="708">
        <v>10500</v>
      </c>
      <c r="D122" s="708">
        <v>10470</v>
      </c>
      <c r="E122" s="708">
        <v>10780</v>
      </c>
      <c r="F122" s="726">
        <v>2180</v>
      </c>
      <c r="H122" s="733"/>
    </row>
    <row r="123" spans="1:8" s="702" customFormat="1" ht="14.25" customHeight="1" thickBot="1">
      <c r="A123" s="714" t="s">
        <v>70</v>
      </c>
      <c r="B123" s="708" t="s">
        <v>282</v>
      </c>
      <c r="C123" s="708">
        <v>10390</v>
      </c>
      <c r="D123" s="708">
        <v>10360</v>
      </c>
      <c r="E123" s="708">
        <v>10660</v>
      </c>
      <c r="F123" s="726">
        <v>2040</v>
      </c>
      <c r="H123" s="733"/>
    </row>
    <row r="124" spans="1:8" s="702" customFormat="1" ht="14.25" customHeight="1" thickBot="1">
      <c r="A124" s="714" t="s">
        <v>70</v>
      </c>
      <c r="B124" s="708" t="s">
        <v>293</v>
      </c>
      <c r="C124" s="708">
        <v>10390</v>
      </c>
      <c r="D124" s="708">
        <v>10360</v>
      </c>
      <c r="E124" s="708">
        <v>10680</v>
      </c>
      <c r="F124" s="735"/>
      <c r="H124" s="733"/>
    </row>
    <row r="125" spans="1:8" s="702" customFormat="1" ht="14.25" customHeight="1" thickBot="1">
      <c r="A125" s="714" t="s">
        <v>70</v>
      </c>
      <c r="B125" s="708" t="s">
        <v>303</v>
      </c>
      <c r="C125" s="708">
        <v>10440</v>
      </c>
      <c r="D125" s="708">
        <v>10410</v>
      </c>
      <c r="E125" s="708">
        <v>10710</v>
      </c>
      <c r="F125" s="735"/>
      <c r="H125" s="733"/>
    </row>
    <row r="126" spans="1:8" s="702" customFormat="1" ht="14.25" customHeight="1" thickBot="1">
      <c r="A126" s="714" t="s">
        <v>70</v>
      </c>
      <c r="B126" s="708" t="s">
        <v>313</v>
      </c>
      <c r="C126" s="708">
        <v>10780</v>
      </c>
      <c r="D126" s="708">
        <v>10750</v>
      </c>
      <c r="E126" s="708">
        <v>11080</v>
      </c>
      <c r="F126" s="735"/>
      <c r="H126" s="733"/>
    </row>
    <row r="127" spans="1:8" s="702" customFormat="1" ht="14.25" customHeight="1" thickBot="1">
      <c r="A127" s="714" t="s">
        <v>70</v>
      </c>
      <c r="B127" s="708" t="s">
        <v>323</v>
      </c>
      <c r="C127" s="708">
        <v>10100</v>
      </c>
      <c r="D127" s="708">
        <v>10070</v>
      </c>
      <c r="E127" s="708">
        <v>10350</v>
      </c>
      <c r="F127" s="735"/>
      <c r="H127" s="733"/>
    </row>
    <row r="128" spans="1:8" s="702" customFormat="1" ht="14.25" customHeight="1" thickBot="1">
      <c r="A128" s="714" t="s">
        <v>70</v>
      </c>
      <c r="B128" s="708" t="s">
        <v>333</v>
      </c>
      <c r="C128" s="708">
        <v>9200</v>
      </c>
      <c r="D128" s="708">
        <v>9160</v>
      </c>
      <c r="E128" s="708">
        <v>9660</v>
      </c>
      <c r="F128" s="735"/>
      <c r="H128" s="733"/>
    </row>
    <row r="129" spans="1:8" s="702" customFormat="1" ht="14.25" customHeight="1" thickBot="1">
      <c r="A129" s="714" t="s">
        <v>70</v>
      </c>
      <c r="B129" s="708" t="s">
        <v>342</v>
      </c>
      <c r="C129" s="708">
        <v>10340</v>
      </c>
      <c r="D129" s="708">
        <v>10310</v>
      </c>
      <c r="E129" s="708">
        <v>10580</v>
      </c>
      <c r="F129" s="735"/>
      <c r="H129" s="733"/>
    </row>
    <row r="130" spans="1:8" s="702" customFormat="1" ht="14.25" customHeight="1" thickBot="1">
      <c r="A130" s="714" t="s">
        <v>70</v>
      </c>
      <c r="B130" s="708" t="s">
        <v>351</v>
      </c>
      <c r="C130" s="708">
        <v>9680</v>
      </c>
      <c r="D130" s="708">
        <v>9660</v>
      </c>
      <c r="E130" s="708">
        <v>9950</v>
      </c>
      <c r="F130" s="735"/>
      <c r="H130" s="733"/>
    </row>
    <row r="131" spans="1:8" s="702" customFormat="1" ht="14.25" customHeight="1" thickBot="1">
      <c r="A131" s="714" t="s">
        <v>70</v>
      </c>
      <c r="B131" s="708" t="s">
        <v>359</v>
      </c>
      <c r="C131" s="708">
        <v>9540</v>
      </c>
      <c r="D131" s="708">
        <v>9510</v>
      </c>
      <c r="E131" s="708">
        <v>9790</v>
      </c>
      <c r="F131" s="735"/>
      <c r="H131" s="733"/>
    </row>
    <row r="132" spans="1:8" s="702" customFormat="1" ht="14.25" customHeight="1" thickBot="1">
      <c r="A132" s="714" t="s">
        <v>70</v>
      </c>
      <c r="B132" s="708" t="s">
        <v>366</v>
      </c>
      <c r="C132" s="708">
        <v>9320</v>
      </c>
      <c r="D132" s="708">
        <v>9290</v>
      </c>
      <c r="E132" s="708">
        <v>9570</v>
      </c>
      <c r="F132" s="735"/>
      <c r="H132" s="733"/>
    </row>
    <row r="133" spans="1:8" s="702" customFormat="1" ht="14.25" customHeight="1" thickBot="1">
      <c r="A133" s="714" t="s">
        <v>70</v>
      </c>
      <c r="B133" s="708" t="s">
        <v>373</v>
      </c>
      <c r="C133" s="708">
        <v>10310</v>
      </c>
      <c r="D133" s="708">
        <v>10280</v>
      </c>
      <c r="E133" s="708">
        <v>10530</v>
      </c>
      <c r="F133" s="735"/>
      <c r="H133" s="733"/>
    </row>
    <row r="134" spans="1:8" s="702" customFormat="1" ht="14.25" customHeight="1" thickBot="1">
      <c r="A134" s="714" t="s">
        <v>70</v>
      </c>
      <c r="B134" s="708" t="s">
        <v>380</v>
      </c>
      <c r="C134" s="708">
        <v>10370</v>
      </c>
      <c r="D134" s="708">
        <v>10310</v>
      </c>
      <c r="E134" s="708">
        <v>10240</v>
      </c>
      <c r="F134" s="726">
        <v>2060</v>
      </c>
      <c r="H134" s="733"/>
    </row>
    <row r="135" spans="1:8" s="702" customFormat="1" ht="14.25" customHeight="1" thickBot="1">
      <c r="A135" s="714" t="s">
        <v>70</v>
      </c>
      <c r="B135" s="708" t="s">
        <v>387</v>
      </c>
      <c r="C135" s="708">
        <v>9300</v>
      </c>
      <c r="D135" s="708">
        <v>9270</v>
      </c>
      <c r="E135" s="708">
        <v>9350</v>
      </c>
      <c r="F135" s="735"/>
      <c r="H135" s="733"/>
    </row>
    <row r="136" spans="1:8" s="702" customFormat="1" ht="14.25" customHeight="1" thickBot="1">
      <c r="A136" s="714" t="s">
        <v>70</v>
      </c>
      <c r="B136" s="708" t="s">
        <v>394</v>
      </c>
      <c r="C136" s="708">
        <v>10160</v>
      </c>
      <c r="D136" s="708">
        <v>10110</v>
      </c>
      <c r="E136" s="708">
        <v>10080</v>
      </c>
      <c r="F136" s="735"/>
      <c r="H136" s="733"/>
    </row>
    <row r="137" spans="1:8" s="702" customFormat="1" ht="14.25" customHeight="1" thickBot="1">
      <c r="A137" s="714" t="s">
        <v>70</v>
      </c>
      <c r="B137" s="708" t="s">
        <v>401</v>
      </c>
      <c r="C137" s="708">
        <v>9200</v>
      </c>
      <c r="D137" s="708">
        <v>9170</v>
      </c>
      <c r="E137" s="708">
        <v>9450</v>
      </c>
      <c r="F137" s="735"/>
      <c r="H137" s="733"/>
    </row>
    <row r="138" spans="1:8" s="702" customFormat="1" ht="14.25" customHeight="1" thickBot="1">
      <c r="A138" s="714" t="s">
        <v>70</v>
      </c>
      <c r="B138" s="708" t="s">
        <v>406</v>
      </c>
      <c r="C138" s="708">
        <v>9690</v>
      </c>
      <c r="D138" s="708">
        <v>9660</v>
      </c>
      <c r="E138" s="708">
        <v>9840</v>
      </c>
      <c r="F138" s="735"/>
      <c r="H138" s="733"/>
    </row>
    <row r="139" spans="1:8" s="702" customFormat="1" ht="14.25" customHeight="1" thickBot="1">
      <c r="A139" s="714" t="s">
        <v>70</v>
      </c>
      <c r="B139" s="708" t="s">
        <v>410</v>
      </c>
      <c r="C139" s="708">
        <v>10290</v>
      </c>
      <c r="D139" s="708">
        <v>10260</v>
      </c>
      <c r="E139" s="708">
        <v>10550</v>
      </c>
      <c r="F139" s="726">
        <v>1700</v>
      </c>
      <c r="H139" s="733"/>
    </row>
    <row r="140" spans="1:8" s="702" customFormat="1" ht="14.25" customHeight="1" thickBot="1">
      <c r="A140" s="714" t="s">
        <v>70</v>
      </c>
      <c r="B140" s="708" t="s">
        <v>415</v>
      </c>
      <c r="C140" s="708">
        <v>9740</v>
      </c>
      <c r="D140" s="708">
        <v>9710</v>
      </c>
      <c r="E140" s="708">
        <v>10000</v>
      </c>
      <c r="F140" s="726">
        <v>2000</v>
      </c>
      <c r="H140" s="733"/>
    </row>
    <row r="141" spans="1:8" s="702" customFormat="1" ht="14.25" customHeight="1" thickBot="1">
      <c r="A141" s="714" t="s">
        <v>70</v>
      </c>
      <c r="B141" s="708" t="s">
        <v>420</v>
      </c>
      <c r="C141" s="708">
        <v>9810</v>
      </c>
      <c r="D141" s="708">
        <v>9770</v>
      </c>
      <c r="E141" s="708">
        <v>10060</v>
      </c>
      <c r="F141" s="735"/>
      <c r="H141" s="733"/>
    </row>
    <row r="142" spans="1:8" s="702" customFormat="1" ht="14.25" customHeight="1" thickBot="1">
      <c r="A142" s="714" t="s">
        <v>70</v>
      </c>
      <c r="B142" s="708" t="s">
        <v>425</v>
      </c>
      <c r="C142" s="708">
        <v>9300</v>
      </c>
      <c r="D142" s="708">
        <v>9270</v>
      </c>
      <c r="E142" s="708">
        <v>9530</v>
      </c>
      <c r="F142" s="735"/>
      <c r="H142" s="733"/>
    </row>
    <row r="143" spans="1:8" s="702" customFormat="1" ht="14.25" customHeight="1" thickBot="1">
      <c r="A143" s="714" t="s">
        <v>70</v>
      </c>
      <c r="B143" s="708" t="s">
        <v>430</v>
      </c>
      <c r="C143" s="708">
        <v>10080</v>
      </c>
      <c r="D143" s="708">
        <v>10050</v>
      </c>
      <c r="E143" s="708">
        <v>10340</v>
      </c>
      <c r="F143" s="735"/>
      <c r="H143" s="733"/>
    </row>
    <row r="144" spans="1:8" s="702" customFormat="1" ht="14.25" customHeight="1" thickBot="1">
      <c r="A144" s="714" t="s">
        <v>70</v>
      </c>
      <c r="B144" s="708" t="s">
        <v>434</v>
      </c>
      <c r="C144" s="708">
        <v>9820</v>
      </c>
      <c r="D144" s="708">
        <v>9750</v>
      </c>
      <c r="E144" s="708">
        <v>9900</v>
      </c>
      <c r="F144" s="735"/>
      <c r="H144" s="733"/>
    </row>
    <row r="145" spans="1:8" s="702" customFormat="1" ht="14.25" customHeight="1" thickBot="1">
      <c r="A145" s="714" t="s">
        <v>70</v>
      </c>
      <c r="B145" s="708" t="s">
        <v>438</v>
      </c>
      <c r="C145" s="708"/>
      <c r="D145" s="708"/>
      <c r="E145" s="708"/>
      <c r="F145" s="726">
        <v>1740</v>
      </c>
      <c r="H145" s="733"/>
    </row>
    <row r="146" spans="1:8" s="702" customFormat="1" ht="14.25" customHeight="1" thickBot="1">
      <c r="A146" s="714" t="s">
        <v>70</v>
      </c>
      <c r="B146" s="708" t="s">
        <v>442</v>
      </c>
      <c r="C146" s="708"/>
      <c r="D146" s="708"/>
      <c r="E146" s="708"/>
      <c r="F146" s="726">
        <v>1740</v>
      </c>
      <c r="H146" s="733"/>
    </row>
    <row r="147" spans="1:8" s="702" customFormat="1" ht="14.25" customHeight="1" thickBot="1">
      <c r="A147" s="714" t="s">
        <v>70</v>
      </c>
      <c r="B147" s="708" t="s">
        <v>446</v>
      </c>
      <c r="C147" s="708"/>
      <c r="D147" s="708"/>
      <c r="E147" s="708"/>
      <c r="F147" s="726">
        <v>1740</v>
      </c>
      <c r="H147" s="733"/>
    </row>
    <row r="148" spans="1:8" s="702" customFormat="1" ht="14.25" customHeight="1" thickBot="1">
      <c r="A148" s="714" t="s">
        <v>70</v>
      </c>
      <c r="B148" s="708" t="s">
        <v>450</v>
      </c>
      <c r="C148" s="708"/>
      <c r="D148" s="708"/>
      <c r="E148" s="708"/>
      <c r="F148" s="726">
        <v>1740</v>
      </c>
      <c r="H148" s="733"/>
    </row>
    <row r="149" spans="1:8" s="702" customFormat="1" ht="14.25" customHeight="1" thickBot="1">
      <c r="A149" s="714" t="s">
        <v>70</v>
      </c>
      <c r="B149" s="708" t="s">
        <v>454</v>
      </c>
      <c r="C149" s="708"/>
      <c r="D149" s="708"/>
      <c r="E149" s="708"/>
      <c r="F149" s="726">
        <v>1740</v>
      </c>
      <c r="H149" s="733"/>
    </row>
    <row r="150" spans="1:8" s="702" customFormat="1" ht="14.25" customHeight="1" thickBot="1">
      <c r="A150" s="714" t="s">
        <v>70</v>
      </c>
      <c r="B150" s="708" t="s">
        <v>457</v>
      </c>
      <c r="C150" s="708"/>
      <c r="D150" s="708"/>
      <c r="E150" s="708"/>
      <c r="F150" s="726">
        <v>1610</v>
      </c>
      <c r="H150" s="733"/>
    </row>
    <row r="151" spans="1:8" s="702" customFormat="1" ht="14.25" customHeight="1" thickBot="1">
      <c r="A151" s="714" t="s">
        <v>70</v>
      </c>
      <c r="B151" s="708" t="s">
        <v>460</v>
      </c>
      <c r="C151" s="708"/>
      <c r="D151" s="708"/>
      <c r="E151" s="708"/>
      <c r="F151" s="726">
        <v>1610</v>
      </c>
      <c r="H151" s="733"/>
    </row>
    <row r="152" spans="1:8" s="702" customFormat="1" ht="14.25" customHeight="1" thickBot="1">
      <c r="A152" s="714" t="s">
        <v>70</v>
      </c>
      <c r="B152" s="708" t="s">
        <v>463</v>
      </c>
      <c r="C152" s="708"/>
      <c r="D152" s="708"/>
      <c r="E152" s="708"/>
      <c r="F152" s="726">
        <v>1610</v>
      </c>
      <c r="H152" s="733"/>
    </row>
    <row r="153" spans="1:8" s="702" customFormat="1" ht="14.25" customHeight="1" thickBot="1">
      <c r="A153" s="714" t="s">
        <v>70</v>
      </c>
      <c r="B153" s="708" t="s">
        <v>466</v>
      </c>
      <c r="C153" s="708"/>
      <c r="D153" s="708"/>
      <c r="E153" s="708"/>
      <c r="F153" s="726">
        <v>1610</v>
      </c>
      <c r="H153" s="733"/>
    </row>
    <row r="154" spans="1:8" s="702" customFormat="1" ht="14.25" customHeight="1" thickBot="1">
      <c r="A154" s="714" t="s">
        <v>70</v>
      </c>
      <c r="B154" s="708" t="s">
        <v>469</v>
      </c>
      <c r="C154" s="708"/>
      <c r="D154" s="708"/>
      <c r="E154" s="708"/>
      <c r="F154" s="726">
        <v>1610</v>
      </c>
      <c r="H154" s="733"/>
    </row>
    <row r="155" spans="1:8" s="702" customFormat="1" ht="14.25" customHeight="1" thickBot="1">
      <c r="A155" s="714" t="s">
        <v>70</v>
      </c>
      <c r="B155" s="708" t="s">
        <v>472</v>
      </c>
      <c r="C155" s="708"/>
      <c r="D155" s="708"/>
      <c r="E155" s="708"/>
      <c r="F155" s="726">
        <v>1800</v>
      </c>
      <c r="H155" s="733"/>
    </row>
    <row r="156" spans="1:8" s="702" customFormat="1" ht="14.25" customHeight="1" thickBot="1">
      <c r="A156" s="714" t="s">
        <v>70</v>
      </c>
      <c r="B156" s="708" t="s">
        <v>474</v>
      </c>
      <c r="C156" s="708"/>
      <c r="D156" s="708"/>
      <c r="E156" s="708"/>
      <c r="F156" s="726">
        <v>1910</v>
      </c>
      <c r="H156" s="733"/>
    </row>
    <row r="157" spans="1:8" s="702" customFormat="1" ht="14.25" customHeight="1" thickBot="1">
      <c r="A157" s="714" t="s">
        <v>70</v>
      </c>
      <c r="B157" s="724" t="s">
        <v>477</v>
      </c>
      <c r="C157" s="724"/>
      <c r="D157" s="724"/>
      <c r="E157" s="724"/>
      <c r="F157" s="734">
        <v>1500</v>
      </c>
      <c r="H157" s="733"/>
    </row>
    <row r="158" spans="1:8" s="702" customFormat="1" ht="14.25" customHeight="1" thickBot="1">
      <c r="A158" s="714" t="s">
        <v>482</v>
      </c>
      <c r="B158" s="715" t="s">
        <v>483</v>
      </c>
      <c r="C158" s="715">
        <v>8170</v>
      </c>
      <c r="D158" s="715">
        <v>8140</v>
      </c>
      <c r="E158" s="715">
        <v>8590</v>
      </c>
      <c r="F158" s="716">
        <v>1450</v>
      </c>
      <c r="H158" s="733"/>
    </row>
    <row r="159" spans="1:8" s="702" customFormat="1" ht="14.25" customHeight="1" thickBot="1">
      <c r="A159" s="714" t="s">
        <v>482</v>
      </c>
      <c r="B159" s="708" t="s">
        <v>141</v>
      </c>
      <c r="C159" s="708">
        <v>7410</v>
      </c>
      <c r="D159" s="708">
        <v>7370</v>
      </c>
      <c r="E159" s="708">
        <v>8030</v>
      </c>
      <c r="F159" s="726">
        <v>1510</v>
      </c>
      <c r="H159" s="733"/>
    </row>
    <row r="160" spans="1:8" s="702" customFormat="1" ht="14.25" customHeight="1" thickBot="1">
      <c r="A160" s="714" t="s">
        <v>482</v>
      </c>
      <c r="B160" s="708" t="s">
        <v>154</v>
      </c>
      <c r="C160" s="708">
        <v>7240</v>
      </c>
      <c r="D160" s="708">
        <v>7210</v>
      </c>
      <c r="E160" s="708">
        <v>7860</v>
      </c>
      <c r="F160" s="726">
        <v>1370</v>
      </c>
      <c r="H160" s="733"/>
    </row>
    <row r="161" spans="1:8" s="702" customFormat="1" ht="14.25" customHeight="1" thickBot="1">
      <c r="A161" s="714" t="s">
        <v>482</v>
      </c>
      <c r="B161" s="708" t="s">
        <v>167</v>
      </c>
      <c r="C161" s="708">
        <v>7720</v>
      </c>
      <c r="D161" s="708">
        <v>7690</v>
      </c>
      <c r="E161" s="708">
        <v>8200</v>
      </c>
      <c r="F161" s="726">
        <v>1190</v>
      </c>
      <c r="H161" s="733"/>
    </row>
    <row r="162" spans="1:8" s="702" customFormat="1" ht="14.25" customHeight="1" thickBot="1">
      <c r="A162" s="714" t="s">
        <v>482</v>
      </c>
      <c r="B162" s="708" t="s">
        <v>179</v>
      </c>
      <c r="C162" s="708">
        <v>6900</v>
      </c>
      <c r="D162" s="708">
        <v>6870</v>
      </c>
      <c r="E162" s="708">
        <v>7500</v>
      </c>
      <c r="F162" s="726">
        <v>1390</v>
      </c>
      <c r="H162" s="733"/>
    </row>
    <row r="163" spans="1:8" s="702" customFormat="1" ht="14.25" customHeight="1" thickBot="1">
      <c r="A163" s="714" t="s">
        <v>482</v>
      </c>
      <c r="B163" s="708" t="s">
        <v>191</v>
      </c>
      <c r="C163" s="708">
        <v>7120</v>
      </c>
      <c r="D163" s="708">
        <v>7090</v>
      </c>
      <c r="E163" s="708">
        <v>7690</v>
      </c>
      <c r="F163" s="726">
        <v>1230</v>
      </c>
      <c r="H163" s="733"/>
    </row>
    <row r="164" spans="1:8" s="702" customFormat="1" ht="14.25" customHeight="1" thickBot="1">
      <c r="A164" s="714" t="s">
        <v>482</v>
      </c>
      <c r="B164" s="708" t="s">
        <v>203</v>
      </c>
      <c r="C164" s="708">
        <v>6560</v>
      </c>
      <c r="D164" s="708">
        <v>6530</v>
      </c>
      <c r="E164" s="708">
        <v>7110</v>
      </c>
      <c r="F164" s="726">
        <v>1340</v>
      </c>
      <c r="H164" s="733"/>
    </row>
    <row r="165" spans="1:8" s="702" customFormat="1" ht="14.25" customHeight="1" thickBot="1">
      <c r="A165" s="714" t="s">
        <v>482</v>
      </c>
      <c r="B165" s="708" t="s">
        <v>215</v>
      </c>
      <c r="C165" s="708">
        <v>7450</v>
      </c>
      <c r="D165" s="708">
        <v>7430</v>
      </c>
      <c r="E165" s="708">
        <v>8110</v>
      </c>
      <c r="F165" s="726">
        <v>1290</v>
      </c>
      <c r="H165" s="733"/>
    </row>
    <row r="166" spans="1:8" s="702" customFormat="1" ht="14.25" customHeight="1" thickBot="1">
      <c r="A166" s="714" t="s">
        <v>482</v>
      </c>
      <c r="B166" s="708" t="s">
        <v>228</v>
      </c>
      <c r="C166" s="708">
        <v>7490</v>
      </c>
      <c r="D166" s="708">
        <v>7460</v>
      </c>
      <c r="E166" s="708">
        <v>8150</v>
      </c>
      <c r="F166" s="726">
        <v>1350</v>
      </c>
      <c r="H166" s="733"/>
    </row>
    <row r="167" spans="1:8" s="702" customFormat="1" ht="14.25" customHeight="1" thickBot="1">
      <c r="A167" s="714" t="s">
        <v>482</v>
      </c>
      <c r="B167" s="708" t="s">
        <v>239</v>
      </c>
      <c r="C167" s="708">
        <v>7540</v>
      </c>
      <c r="D167" s="708">
        <v>7510</v>
      </c>
      <c r="E167" s="708">
        <v>8030</v>
      </c>
      <c r="F167" s="735"/>
      <c r="H167" s="733"/>
    </row>
    <row r="168" spans="1:8" s="702" customFormat="1" ht="14.25" customHeight="1" thickBot="1">
      <c r="A168" s="714" t="s">
        <v>482</v>
      </c>
      <c r="B168" s="708" t="s">
        <v>250</v>
      </c>
      <c r="C168" s="708">
        <v>7210</v>
      </c>
      <c r="D168" s="708">
        <v>7180</v>
      </c>
      <c r="E168" s="708">
        <v>7830</v>
      </c>
      <c r="F168" s="735"/>
      <c r="H168" s="733"/>
    </row>
    <row r="169" spans="1:8" s="702" customFormat="1" ht="14.25" customHeight="1" thickBot="1">
      <c r="A169" s="714" t="s">
        <v>482</v>
      </c>
      <c r="B169" s="708" t="s">
        <v>261</v>
      </c>
      <c r="C169" s="708">
        <v>7040</v>
      </c>
      <c r="D169" s="708">
        <v>7020</v>
      </c>
      <c r="E169" s="708">
        <v>7670</v>
      </c>
      <c r="F169" s="735"/>
      <c r="H169" s="733"/>
    </row>
    <row r="170" spans="1:8" s="702" customFormat="1" ht="14.25" customHeight="1" thickBot="1">
      <c r="A170" s="714" t="s">
        <v>482</v>
      </c>
      <c r="B170" s="708" t="s">
        <v>272</v>
      </c>
      <c r="C170" s="708">
        <v>8040</v>
      </c>
      <c r="D170" s="708">
        <v>7190</v>
      </c>
      <c r="E170" s="708">
        <v>7850</v>
      </c>
      <c r="F170" s="735"/>
      <c r="H170" s="733"/>
    </row>
    <row r="171" spans="1:8" s="702" customFormat="1" ht="14.25" customHeight="1" thickBot="1">
      <c r="A171" s="714" t="s">
        <v>482</v>
      </c>
      <c r="B171" s="708" t="s">
        <v>283</v>
      </c>
      <c r="C171" s="708">
        <v>7860</v>
      </c>
      <c r="D171" s="708">
        <v>7720</v>
      </c>
      <c r="E171" s="708">
        <v>8150</v>
      </c>
      <c r="F171" s="726">
        <v>1110</v>
      </c>
      <c r="H171" s="733"/>
    </row>
    <row r="172" spans="1:8" s="702" customFormat="1" ht="14.25" customHeight="1" thickBot="1">
      <c r="A172" s="714" t="s">
        <v>482</v>
      </c>
      <c r="B172" s="708" t="s">
        <v>294</v>
      </c>
      <c r="C172" s="708">
        <v>7210</v>
      </c>
      <c r="D172" s="708">
        <v>7170</v>
      </c>
      <c r="E172" s="708">
        <v>7320</v>
      </c>
      <c r="F172" s="735"/>
      <c r="H172" s="733"/>
    </row>
    <row r="173" spans="1:8" s="702" customFormat="1" ht="14.25" customHeight="1" thickBot="1">
      <c r="A173" s="714" t="s">
        <v>482</v>
      </c>
      <c r="B173" s="708" t="s">
        <v>304</v>
      </c>
      <c r="C173" s="708">
        <v>6860</v>
      </c>
      <c r="D173" s="708">
        <v>6810</v>
      </c>
      <c r="E173" s="708">
        <v>7440</v>
      </c>
      <c r="F173" s="735"/>
      <c r="H173" s="733"/>
    </row>
    <row r="174" spans="1:8" s="702" customFormat="1" ht="14.25" customHeight="1" thickBot="1">
      <c r="A174" s="714" t="s">
        <v>482</v>
      </c>
      <c r="B174" s="708" t="s">
        <v>314</v>
      </c>
      <c r="C174" s="708">
        <v>7120</v>
      </c>
      <c r="D174" s="708">
        <v>7090</v>
      </c>
      <c r="E174" s="708">
        <v>7500</v>
      </c>
      <c r="F174" s="726">
        <v>1490</v>
      </c>
      <c r="H174" s="733"/>
    </row>
    <row r="175" spans="1:8" s="702" customFormat="1" ht="14.25" customHeight="1" thickBot="1">
      <c r="A175" s="714" t="s">
        <v>482</v>
      </c>
      <c r="B175" s="708" t="s">
        <v>324</v>
      </c>
      <c r="C175" s="708">
        <v>7850</v>
      </c>
      <c r="D175" s="708">
        <v>7820</v>
      </c>
      <c r="E175" s="708">
        <v>8120</v>
      </c>
      <c r="F175" s="726">
        <v>1530</v>
      </c>
      <c r="H175" s="733"/>
    </row>
    <row r="176" spans="1:8" s="702" customFormat="1" ht="14.25" customHeight="1" thickBot="1">
      <c r="A176" s="714" t="s">
        <v>482</v>
      </c>
      <c r="B176" s="708" t="s">
        <v>334</v>
      </c>
      <c r="C176" s="708">
        <v>7620</v>
      </c>
      <c r="D176" s="708">
        <v>7570</v>
      </c>
      <c r="E176" s="708">
        <v>7990</v>
      </c>
      <c r="F176" s="726">
        <v>1480</v>
      </c>
      <c r="H176" s="733"/>
    </row>
    <row r="177" spans="1:8" s="702" customFormat="1" ht="14.25" customHeight="1" thickBot="1">
      <c r="A177" s="714" t="s">
        <v>482</v>
      </c>
      <c r="B177" s="708" t="s">
        <v>343</v>
      </c>
      <c r="C177" s="708">
        <v>8590</v>
      </c>
      <c r="D177" s="708">
        <v>8570</v>
      </c>
      <c r="E177" s="708">
        <v>8740</v>
      </c>
      <c r="F177" s="726">
        <v>1540</v>
      </c>
      <c r="H177" s="733"/>
    </row>
    <row r="178" spans="1:8" s="702" customFormat="1" ht="14.25" customHeight="1" thickBot="1">
      <c r="A178" s="714" t="s">
        <v>482</v>
      </c>
      <c r="B178" s="708" t="s">
        <v>352</v>
      </c>
      <c r="C178" s="708">
        <v>7510</v>
      </c>
      <c r="D178" s="708">
        <v>7470</v>
      </c>
      <c r="E178" s="708">
        <v>8090</v>
      </c>
      <c r="F178" s="726">
        <v>1320</v>
      </c>
      <c r="H178" s="733"/>
    </row>
    <row r="179" spans="1:8" s="702" customFormat="1" ht="14.25" customHeight="1" thickBot="1">
      <c r="A179" s="714" t="s">
        <v>482</v>
      </c>
      <c r="B179" s="708" t="s">
        <v>360</v>
      </c>
      <c r="C179" s="708">
        <v>6380</v>
      </c>
      <c r="D179" s="708">
        <v>6340</v>
      </c>
      <c r="E179" s="708">
        <v>6810</v>
      </c>
      <c r="F179" s="735"/>
      <c r="H179" s="733"/>
    </row>
    <row r="180" spans="1:8" s="702" customFormat="1" ht="14.25" customHeight="1" thickBot="1">
      <c r="A180" s="714" t="s">
        <v>482</v>
      </c>
      <c r="B180" s="708" t="s">
        <v>367</v>
      </c>
      <c r="C180" s="708">
        <v>7830</v>
      </c>
      <c r="D180" s="708">
        <v>7800</v>
      </c>
      <c r="E180" s="708">
        <v>7780</v>
      </c>
      <c r="F180" s="726">
        <v>1440</v>
      </c>
      <c r="H180" s="733"/>
    </row>
    <row r="181" spans="1:8" s="702" customFormat="1" ht="14.25" customHeight="1" thickBot="1">
      <c r="A181" s="714" t="s">
        <v>482</v>
      </c>
      <c r="B181" s="708" t="s">
        <v>374</v>
      </c>
      <c r="C181" s="708">
        <v>7110</v>
      </c>
      <c r="D181" s="708">
        <v>7080</v>
      </c>
      <c r="E181" s="708">
        <v>7730</v>
      </c>
      <c r="F181" s="726">
        <v>1350</v>
      </c>
      <c r="H181" s="733"/>
    </row>
    <row r="182" spans="1:8" s="702" customFormat="1" ht="14.25" customHeight="1" thickBot="1">
      <c r="A182" s="714" t="s">
        <v>482</v>
      </c>
      <c r="B182" s="708" t="s">
        <v>381</v>
      </c>
      <c r="C182" s="708">
        <v>7310</v>
      </c>
      <c r="D182" s="708">
        <v>7280</v>
      </c>
      <c r="E182" s="708">
        <v>7950</v>
      </c>
      <c r="F182" s="726">
        <v>1220</v>
      </c>
      <c r="H182" s="733"/>
    </row>
    <row r="183" spans="1:8" s="702" customFormat="1" ht="14.25" customHeight="1" thickBot="1">
      <c r="A183" s="714" t="s">
        <v>482</v>
      </c>
      <c r="B183" s="708" t="s">
        <v>388</v>
      </c>
      <c r="C183" s="708">
        <v>7470</v>
      </c>
      <c r="D183" s="708">
        <v>7440</v>
      </c>
      <c r="E183" s="708">
        <v>7880</v>
      </c>
      <c r="F183" s="735"/>
      <c r="H183" s="733"/>
    </row>
    <row r="184" spans="1:8" s="702" customFormat="1" ht="14.25" customHeight="1" thickBot="1">
      <c r="A184" s="714" t="s">
        <v>482</v>
      </c>
      <c r="B184" s="708" t="s">
        <v>395</v>
      </c>
      <c r="C184" s="708">
        <v>6960</v>
      </c>
      <c r="D184" s="708">
        <v>6930</v>
      </c>
      <c r="E184" s="708">
        <v>7570</v>
      </c>
      <c r="F184" s="735"/>
      <c r="H184" s="733"/>
    </row>
    <row r="185" spans="1:8" s="702" customFormat="1" ht="14.25" customHeight="1" thickBot="1">
      <c r="A185" s="714" t="s">
        <v>482</v>
      </c>
      <c r="B185" s="708" t="s">
        <v>402</v>
      </c>
      <c r="C185" s="708">
        <v>7260</v>
      </c>
      <c r="D185" s="708">
        <v>7230</v>
      </c>
      <c r="E185" s="708">
        <v>7710</v>
      </c>
      <c r="F185" s="726">
        <v>1360</v>
      </c>
      <c r="H185" s="733"/>
    </row>
    <row r="186" spans="1:8" s="702" customFormat="1" ht="14.25" customHeight="1" thickBot="1">
      <c r="A186" s="714" t="s">
        <v>482</v>
      </c>
      <c r="B186" s="708" t="s">
        <v>407</v>
      </c>
      <c r="C186" s="708"/>
      <c r="D186" s="708"/>
      <c r="E186" s="708"/>
      <c r="F186" s="726">
        <v>1560</v>
      </c>
      <c r="H186" s="733"/>
    </row>
    <row r="187" spans="1:8" s="702" customFormat="1" ht="14.25" customHeight="1" thickBot="1">
      <c r="A187" s="714" t="s">
        <v>482</v>
      </c>
      <c r="B187" s="708" t="s">
        <v>411</v>
      </c>
      <c r="C187" s="708"/>
      <c r="D187" s="708"/>
      <c r="E187" s="708"/>
      <c r="F187" s="726">
        <v>1560</v>
      </c>
      <c r="H187" s="733"/>
    </row>
    <row r="188" spans="1:8" s="702" customFormat="1" ht="14.25" customHeight="1" thickBot="1">
      <c r="A188" s="714" t="s">
        <v>482</v>
      </c>
      <c r="B188" s="708" t="s">
        <v>416</v>
      </c>
      <c r="C188" s="708"/>
      <c r="D188" s="708"/>
      <c r="E188" s="708"/>
      <c r="F188" s="726">
        <v>1560</v>
      </c>
      <c r="H188" s="733"/>
    </row>
    <row r="189" spans="1:8" s="702" customFormat="1" ht="14.25" customHeight="1" thickBot="1">
      <c r="A189" s="714" t="s">
        <v>482</v>
      </c>
      <c r="B189" s="708" t="s">
        <v>421</v>
      </c>
      <c r="C189" s="708"/>
      <c r="D189" s="708"/>
      <c r="E189" s="708"/>
      <c r="F189" s="726">
        <v>1320</v>
      </c>
      <c r="H189" s="733"/>
    </row>
    <row r="190" spans="1:8" s="702" customFormat="1" ht="14.25" customHeight="1" thickBot="1">
      <c r="A190" s="714" t="s">
        <v>482</v>
      </c>
      <c r="B190" s="708" t="s">
        <v>426</v>
      </c>
      <c r="C190" s="708"/>
      <c r="D190" s="708"/>
      <c r="E190" s="708"/>
      <c r="F190" s="726">
        <v>1320</v>
      </c>
      <c r="H190" s="733"/>
    </row>
    <row r="191" spans="1:8" s="702" customFormat="1" ht="14.25" customHeight="1" thickBot="1">
      <c r="A191" s="714" t="s">
        <v>482</v>
      </c>
      <c r="B191" s="708" t="s">
        <v>431</v>
      </c>
      <c r="C191" s="708"/>
      <c r="D191" s="708"/>
      <c r="E191" s="708"/>
      <c r="F191" s="726">
        <v>1320</v>
      </c>
      <c r="H191" s="733"/>
    </row>
    <row r="192" spans="1:8" s="702" customFormat="1" ht="14.25" customHeight="1" thickBot="1">
      <c r="A192" s="714" t="s">
        <v>482</v>
      </c>
      <c r="B192" s="708" t="s">
        <v>435</v>
      </c>
      <c r="C192" s="708"/>
      <c r="D192" s="708"/>
      <c r="E192" s="708"/>
      <c r="F192" s="726">
        <v>1100</v>
      </c>
      <c r="H192" s="733"/>
    </row>
    <row r="193" spans="1:8" s="702" customFormat="1" ht="14.25" customHeight="1" thickBot="1">
      <c r="A193" s="714" t="s">
        <v>482</v>
      </c>
      <c r="B193" s="708" t="s">
        <v>439</v>
      </c>
      <c r="C193" s="708"/>
      <c r="D193" s="708"/>
      <c r="E193" s="708"/>
      <c r="F193" s="726">
        <v>1100</v>
      </c>
      <c r="H193" s="733"/>
    </row>
    <row r="194" spans="1:8" s="702" customFormat="1" ht="14.25" customHeight="1" thickBot="1">
      <c r="A194" s="714" t="s">
        <v>482</v>
      </c>
      <c r="B194" s="708" t="s">
        <v>443</v>
      </c>
      <c r="C194" s="708"/>
      <c r="D194" s="708"/>
      <c r="E194" s="708"/>
      <c r="F194" s="726">
        <v>1080</v>
      </c>
      <c r="H194" s="733"/>
    </row>
    <row r="195" spans="1:8" s="702" customFormat="1" ht="14.25" customHeight="1" thickBot="1">
      <c r="A195" s="714" t="s">
        <v>482</v>
      </c>
      <c r="B195" s="708" t="s">
        <v>447</v>
      </c>
      <c r="C195" s="708"/>
      <c r="D195" s="708"/>
      <c r="E195" s="708"/>
      <c r="F195" s="726">
        <v>1270</v>
      </c>
      <c r="H195" s="733"/>
    </row>
    <row r="196" spans="1:8" s="702" customFormat="1" ht="14.25" customHeight="1" thickBot="1">
      <c r="A196" s="714" t="s">
        <v>482</v>
      </c>
      <c r="B196" s="708" t="s">
        <v>451</v>
      </c>
      <c r="C196" s="708"/>
      <c r="D196" s="708"/>
      <c r="E196" s="708"/>
      <c r="F196" s="726">
        <v>1150</v>
      </c>
      <c r="H196" s="733"/>
    </row>
    <row r="197" spans="1:8" s="702" customFormat="1" ht="14.25" customHeight="1" thickBot="1">
      <c r="A197" s="714" t="s">
        <v>482</v>
      </c>
      <c r="B197" s="708" t="s">
        <v>455</v>
      </c>
      <c r="C197" s="708"/>
      <c r="D197" s="708"/>
      <c r="E197" s="708"/>
      <c r="F197" s="726">
        <v>1330</v>
      </c>
      <c r="H197" s="733"/>
    </row>
    <row r="198" spans="1:8" s="702" customFormat="1" ht="14.25" customHeight="1" thickBot="1">
      <c r="A198" s="714" t="s">
        <v>482</v>
      </c>
      <c r="B198" s="708" t="s">
        <v>458</v>
      </c>
      <c r="C198" s="708"/>
      <c r="D198" s="708"/>
      <c r="E198" s="708"/>
      <c r="F198" s="726">
        <v>1170</v>
      </c>
      <c r="H198" s="733"/>
    </row>
    <row r="199" spans="1:8" s="702" customFormat="1" ht="14.25" customHeight="1" thickBot="1">
      <c r="A199" s="714" t="s">
        <v>482</v>
      </c>
      <c r="B199" s="708" t="s">
        <v>461</v>
      </c>
      <c r="C199" s="708"/>
      <c r="D199" s="708"/>
      <c r="E199" s="708"/>
      <c r="F199" s="726">
        <v>1120</v>
      </c>
      <c r="H199" s="733"/>
    </row>
    <row r="200" spans="1:8" s="702" customFormat="1" ht="14.25" customHeight="1" thickBot="1">
      <c r="A200" s="714" t="s">
        <v>482</v>
      </c>
      <c r="B200" s="708" t="s">
        <v>464</v>
      </c>
      <c r="C200" s="708"/>
      <c r="D200" s="708"/>
      <c r="E200" s="708"/>
      <c r="F200" s="726">
        <v>1120</v>
      </c>
      <c r="H200" s="733"/>
    </row>
    <row r="201" spans="1:8" s="702" customFormat="1" ht="14.25" customHeight="1" thickBot="1">
      <c r="A201" s="714" t="s">
        <v>482</v>
      </c>
      <c r="B201" s="708" t="s">
        <v>467</v>
      </c>
      <c r="C201" s="708"/>
      <c r="D201" s="708"/>
      <c r="E201" s="708"/>
      <c r="F201" s="726">
        <v>1540</v>
      </c>
      <c r="H201" s="733"/>
    </row>
    <row r="202" spans="1:8" s="702" customFormat="1" ht="14.25" customHeight="1" thickBot="1">
      <c r="A202" s="714" t="s">
        <v>482</v>
      </c>
      <c r="B202" s="708" t="s">
        <v>470</v>
      </c>
      <c r="C202" s="708"/>
      <c r="D202" s="708"/>
      <c r="E202" s="708"/>
      <c r="F202" s="726">
        <v>1310</v>
      </c>
      <c r="H202" s="733"/>
    </row>
    <row r="203" spans="1:8" s="702" customFormat="1" ht="14.25" customHeight="1" thickBot="1">
      <c r="A203" s="714" t="s">
        <v>482</v>
      </c>
      <c r="B203" s="708" t="s">
        <v>473</v>
      </c>
      <c r="C203" s="708"/>
      <c r="D203" s="708"/>
      <c r="E203" s="708"/>
      <c r="F203" s="726">
        <v>1310</v>
      </c>
      <c r="H203" s="733"/>
    </row>
    <row r="204" spans="1:8" s="702" customFormat="1" ht="14.25" customHeight="1" thickBot="1">
      <c r="A204" s="714" t="s">
        <v>482</v>
      </c>
      <c r="B204" s="708" t="s">
        <v>475</v>
      </c>
      <c r="C204" s="708"/>
      <c r="D204" s="708"/>
      <c r="E204" s="708"/>
      <c r="F204" s="726">
        <v>1080</v>
      </c>
      <c r="H204" s="733"/>
    </row>
    <row r="205" spans="1:8" s="702" customFormat="1" ht="14.25" customHeight="1" thickBot="1">
      <c r="A205" s="714" t="s">
        <v>482</v>
      </c>
      <c r="B205" s="708" t="s">
        <v>478</v>
      </c>
      <c r="C205" s="708"/>
      <c r="D205" s="708"/>
      <c r="E205" s="708"/>
      <c r="F205" s="726">
        <v>1080</v>
      </c>
      <c r="H205" s="733"/>
    </row>
    <row r="206" spans="1:8" s="702" customFormat="1" ht="14.25" customHeight="1" thickBot="1">
      <c r="A206" s="714" t="s">
        <v>484</v>
      </c>
      <c r="B206" s="715" t="s">
        <v>485</v>
      </c>
      <c r="C206" s="715">
        <v>5450</v>
      </c>
      <c r="D206" s="715">
        <v>5430</v>
      </c>
      <c r="E206" s="715">
        <v>5700</v>
      </c>
      <c r="F206" s="716">
        <v>1020</v>
      </c>
      <c r="H206" s="733"/>
    </row>
    <row r="207" spans="1:8" s="702" customFormat="1" ht="14.25" customHeight="1" thickBot="1">
      <c r="A207" s="714" t="s">
        <v>484</v>
      </c>
      <c r="B207" s="708" t="s">
        <v>142</v>
      </c>
      <c r="C207" s="708">
        <v>5860</v>
      </c>
      <c r="D207" s="708">
        <v>5820</v>
      </c>
      <c r="E207" s="708">
        <v>6050</v>
      </c>
      <c r="F207" s="726">
        <v>1080</v>
      </c>
      <c r="H207" s="733"/>
    </row>
    <row r="208" spans="1:8" s="702" customFormat="1" ht="14.25" customHeight="1" thickBot="1">
      <c r="A208" s="714" t="s">
        <v>484</v>
      </c>
      <c r="B208" s="708" t="s">
        <v>155</v>
      </c>
      <c r="C208" s="708">
        <v>4630</v>
      </c>
      <c r="D208" s="708">
        <v>4600</v>
      </c>
      <c r="E208" s="708">
        <v>4840</v>
      </c>
      <c r="F208" s="726">
        <v>900</v>
      </c>
      <c r="H208" s="733"/>
    </row>
    <row r="209" spans="1:8" s="702" customFormat="1" ht="14.25" customHeight="1" thickBot="1">
      <c r="A209" s="714" t="s">
        <v>484</v>
      </c>
      <c r="B209" s="708" t="s">
        <v>168</v>
      </c>
      <c r="C209" s="708">
        <v>5320</v>
      </c>
      <c r="D209" s="708">
        <v>5270</v>
      </c>
      <c r="E209" s="708">
        <v>5540</v>
      </c>
      <c r="F209" s="726">
        <v>980</v>
      </c>
      <c r="H209" s="733"/>
    </row>
    <row r="210" spans="1:8" s="702" customFormat="1" ht="14.25" customHeight="1" thickBot="1">
      <c r="A210" s="714" t="s">
        <v>484</v>
      </c>
      <c r="B210" s="708" t="s">
        <v>180</v>
      </c>
      <c r="C210" s="708">
        <v>5760</v>
      </c>
      <c r="D210" s="708">
        <v>5710</v>
      </c>
      <c r="E210" s="708">
        <v>6010</v>
      </c>
      <c r="F210" s="726">
        <v>870</v>
      </c>
      <c r="H210" s="733"/>
    </row>
    <row r="211" spans="1:8" s="702" customFormat="1" ht="14.25" customHeight="1" thickBot="1">
      <c r="A211" s="714" t="s">
        <v>484</v>
      </c>
      <c r="B211" s="708" t="s">
        <v>192</v>
      </c>
      <c r="C211" s="708">
        <v>4160</v>
      </c>
      <c r="D211" s="708">
        <v>4100</v>
      </c>
      <c r="E211" s="708">
        <v>4270</v>
      </c>
      <c r="F211" s="726">
        <v>790</v>
      </c>
      <c r="H211" s="733"/>
    </row>
    <row r="212" spans="1:8" s="702" customFormat="1" ht="14.25" customHeight="1" thickBot="1">
      <c r="A212" s="714" t="s">
        <v>484</v>
      </c>
      <c r="B212" s="708" t="s">
        <v>204</v>
      </c>
      <c r="C212" s="708">
        <v>4880</v>
      </c>
      <c r="D212" s="708">
        <v>4850</v>
      </c>
      <c r="E212" s="708">
        <v>5110</v>
      </c>
      <c r="F212" s="726">
        <v>940</v>
      </c>
      <c r="H212" s="733"/>
    </row>
    <row r="213" spans="1:8" s="702" customFormat="1" ht="14.25" customHeight="1" thickBot="1">
      <c r="A213" s="714" t="s">
        <v>484</v>
      </c>
      <c r="B213" s="708" t="s">
        <v>216</v>
      </c>
      <c r="C213" s="708">
        <v>4640</v>
      </c>
      <c r="D213" s="708">
        <v>4590</v>
      </c>
      <c r="E213" s="708">
        <v>4700</v>
      </c>
      <c r="F213" s="726">
        <v>1030</v>
      </c>
      <c r="H213" s="733"/>
    </row>
    <row r="214" spans="1:8" s="702" customFormat="1" ht="14.25" customHeight="1" thickBot="1">
      <c r="A214" s="714" t="s">
        <v>484</v>
      </c>
      <c r="B214" s="708" t="s">
        <v>229</v>
      </c>
      <c r="C214" s="708">
        <v>4540</v>
      </c>
      <c r="D214" s="708">
        <v>4490</v>
      </c>
      <c r="E214" s="708">
        <v>4610</v>
      </c>
      <c r="F214" s="735"/>
      <c r="H214" s="733"/>
    </row>
    <row r="215" spans="1:8" s="702" customFormat="1" ht="14.25" customHeight="1" thickBot="1">
      <c r="A215" s="714" t="s">
        <v>484</v>
      </c>
      <c r="B215" s="708" t="s">
        <v>240</v>
      </c>
      <c r="C215" s="708">
        <v>5280</v>
      </c>
      <c r="D215" s="708">
        <v>5250</v>
      </c>
      <c r="E215" s="708">
        <v>5520</v>
      </c>
      <c r="F215" s="726">
        <v>1000</v>
      </c>
      <c r="H215" s="733"/>
    </row>
    <row r="216" spans="1:8" s="702" customFormat="1" ht="14.25" customHeight="1" thickBot="1">
      <c r="A216" s="714" t="s">
        <v>484</v>
      </c>
      <c r="B216" s="708" t="s">
        <v>251</v>
      </c>
      <c r="C216" s="708">
        <v>5100</v>
      </c>
      <c r="D216" s="708">
        <v>5050</v>
      </c>
      <c r="E216" s="708">
        <v>5300</v>
      </c>
      <c r="F216" s="726">
        <v>950</v>
      </c>
      <c r="H216" s="733"/>
    </row>
    <row r="217" spans="1:8" s="702" customFormat="1" ht="14.25" customHeight="1" thickBot="1">
      <c r="A217" s="714" t="s">
        <v>484</v>
      </c>
      <c r="B217" s="708" t="s">
        <v>262</v>
      </c>
      <c r="C217" s="708">
        <v>5370</v>
      </c>
      <c r="D217" s="708">
        <v>5320</v>
      </c>
      <c r="E217" s="708">
        <v>5410</v>
      </c>
      <c r="F217" s="726">
        <v>950</v>
      </c>
      <c r="H217" s="733"/>
    </row>
    <row r="218" spans="1:8" s="702" customFormat="1" ht="14.25" customHeight="1" thickBot="1">
      <c r="A218" s="714" t="s">
        <v>484</v>
      </c>
      <c r="B218" s="708" t="s">
        <v>273</v>
      </c>
      <c r="C218" s="708">
        <v>5540</v>
      </c>
      <c r="D218" s="708">
        <v>5480</v>
      </c>
      <c r="E218" s="708">
        <v>5740</v>
      </c>
      <c r="F218" s="726">
        <v>1020</v>
      </c>
      <c r="H218" s="733"/>
    </row>
    <row r="219" spans="1:8" s="702" customFormat="1" ht="14.25" customHeight="1" thickBot="1">
      <c r="A219" s="714" t="s">
        <v>484</v>
      </c>
      <c r="B219" s="708" t="s">
        <v>284</v>
      </c>
      <c r="C219" s="708">
        <v>5140</v>
      </c>
      <c r="D219" s="708">
        <v>5100</v>
      </c>
      <c r="E219" s="708">
        <v>5350</v>
      </c>
      <c r="F219" s="726">
        <v>1120</v>
      </c>
      <c r="H219" s="733"/>
    </row>
    <row r="220" spans="1:8" s="702" customFormat="1" ht="14.25" customHeight="1" thickBot="1">
      <c r="A220" s="714" t="s">
        <v>484</v>
      </c>
      <c r="B220" s="708" t="s">
        <v>295</v>
      </c>
      <c r="C220" s="708">
        <v>5040</v>
      </c>
      <c r="D220" s="708">
        <v>5000</v>
      </c>
      <c r="E220" s="708">
        <v>5240</v>
      </c>
      <c r="F220" s="726">
        <v>980</v>
      </c>
      <c r="H220" s="733"/>
    </row>
    <row r="221" spans="1:8" s="702" customFormat="1" ht="14.25" customHeight="1" thickBot="1">
      <c r="A221" s="714" t="s">
        <v>484</v>
      </c>
      <c r="B221" s="708" t="s">
        <v>305</v>
      </c>
      <c r="C221" s="736"/>
      <c r="D221" s="736"/>
      <c r="E221" s="736"/>
      <c r="F221" s="726">
        <v>1070</v>
      </c>
      <c r="H221" s="733"/>
    </row>
    <row r="222" spans="1:8" s="702" customFormat="1" ht="14.25" customHeight="1" thickBot="1">
      <c r="A222" s="714" t="s">
        <v>484</v>
      </c>
      <c r="B222" s="708" t="s">
        <v>315</v>
      </c>
      <c r="C222" s="736"/>
      <c r="D222" s="736"/>
      <c r="E222" s="736"/>
      <c r="F222" s="726">
        <v>870</v>
      </c>
      <c r="H222" s="733"/>
    </row>
    <row r="223" spans="1:8" s="702" customFormat="1" ht="14.25" customHeight="1" thickBot="1">
      <c r="A223" s="714" t="s">
        <v>484</v>
      </c>
      <c r="B223" s="708" t="s">
        <v>325</v>
      </c>
      <c r="C223" s="736"/>
      <c r="D223" s="736"/>
      <c r="E223" s="736"/>
      <c r="F223" s="726">
        <v>940</v>
      </c>
      <c r="H223" s="733"/>
    </row>
    <row r="224" spans="1:8" s="702" customFormat="1" ht="14.25" customHeight="1" thickBot="1">
      <c r="A224" s="714" t="s">
        <v>484</v>
      </c>
      <c r="B224" s="708" t="s">
        <v>335</v>
      </c>
      <c r="C224" s="736"/>
      <c r="D224" s="736"/>
      <c r="E224" s="736"/>
      <c r="F224" s="726">
        <v>990</v>
      </c>
      <c r="H224" s="733"/>
    </row>
    <row r="225" spans="1:8" s="702" customFormat="1" ht="14.25" customHeight="1" thickBot="1">
      <c r="A225" s="714" t="s">
        <v>484</v>
      </c>
      <c r="B225" s="708" t="s">
        <v>344</v>
      </c>
      <c r="C225" s="708">
        <v>5730</v>
      </c>
      <c r="D225" s="708">
        <v>5680</v>
      </c>
      <c r="E225" s="708">
        <v>6020</v>
      </c>
      <c r="F225" s="726">
        <v>1000</v>
      </c>
      <c r="H225" s="733"/>
    </row>
    <row r="226" spans="1:8" s="702" customFormat="1" ht="14.25" customHeight="1" thickBot="1">
      <c r="A226" s="714" t="s">
        <v>484</v>
      </c>
      <c r="B226" s="708" t="s">
        <v>353</v>
      </c>
      <c r="C226" s="708">
        <v>4970</v>
      </c>
      <c r="D226" s="708">
        <v>4940</v>
      </c>
      <c r="E226" s="708">
        <v>5180</v>
      </c>
      <c r="F226" s="726">
        <v>960</v>
      </c>
      <c r="H226" s="733"/>
    </row>
    <row r="227" spans="1:8" s="702" customFormat="1" ht="14.25" customHeight="1" thickBot="1">
      <c r="A227" s="714" t="s">
        <v>484</v>
      </c>
      <c r="B227" s="708" t="s">
        <v>361</v>
      </c>
      <c r="C227" s="708">
        <v>5550</v>
      </c>
      <c r="D227" s="708">
        <v>5500</v>
      </c>
      <c r="E227" s="708">
        <v>5780</v>
      </c>
      <c r="F227" s="726">
        <v>940</v>
      </c>
      <c r="H227" s="733"/>
    </row>
    <row r="228" spans="1:8" s="702" customFormat="1" ht="14.25" customHeight="1" thickBot="1">
      <c r="A228" s="714" t="s">
        <v>484</v>
      </c>
      <c r="B228" s="708" t="s">
        <v>368</v>
      </c>
      <c r="C228" s="708">
        <v>5460</v>
      </c>
      <c r="D228" s="708">
        <v>5420</v>
      </c>
      <c r="E228" s="708">
        <v>5690</v>
      </c>
      <c r="F228" s="726">
        <v>910</v>
      </c>
      <c r="H228" s="733"/>
    </row>
    <row r="229" spans="1:8" s="702" customFormat="1" ht="14.25" customHeight="1" thickBot="1">
      <c r="A229" s="714" t="s">
        <v>484</v>
      </c>
      <c r="B229" s="708" t="s">
        <v>375</v>
      </c>
      <c r="C229" s="708">
        <v>5310</v>
      </c>
      <c r="D229" s="708">
        <v>5270</v>
      </c>
      <c r="E229" s="708">
        <v>5510</v>
      </c>
      <c r="F229" s="735"/>
      <c r="H229" s="733"/>
    </row>
    <row r="230" spans="1:8" s="702" customFormat="1" ht="14.25" customHeight="1" thickBot="1">
      <c r="A230" s="714" t="s">
        <v>484</v>
      </c>
      <c r="B230" s="708" t="s">
        <v>382</v>
      </c>
      <c r="C230" s="708">
        <v>4540</v>
      </c>
      <c r="D230" s="708">
        <v>4500</v>
      </c>
      <c r="E230" s="708">
        <v>4730</v>
      </c>
      <c r="F230" s="735"/>
      <c r="H230" s="733"/>
    </row>
    <row r="231" spans="1:8" s="702" customFormat="1" ht="14.25" customHeight="1" thickBot="1">
      <c r="A231" s="714" t="s">
        <v>484</v>
      </c>
      <c r="B231" s="708" t="s">
        <v>389</v>
      </c>
      <c r="C231" s="708">
        <v>4480</v>
      </c>
      <c r="D231" s="708">
        <v>4410</v>
      </c>
      <c r="E231" s="708">
        <v>4640</v>
      </c>
      <c r="F231" s="735"/>
      <c r="H231" s="733"/>
    </row>
    <row r="232" spans="1:8" s="702" customFormat="1" ht="14.25" customHeight="1" thickBot="1">
      <c r="A232" s="714" t="s">
        <v>484</v>
      </c>
      <c r="B232" s="708" t="s">
        <v>396</v>
      </c>
      <c r="C232" s="708">
        <v>5670</v>
      </c>
      <c r="D232" s="708">
        <v>5600</v>
      </c>
      <c r="E232" s="708">
        <v>5890</v>
      </c>
      <c r="F232" s="726">
        <v>1150</v>
      </c>
      <c r="H232" s="733"/>
    </row>
    <row r="233" spans="1:8" s="702" customFormat="1" ht="14.25" customHeight="1" thickBot="1">
      <c r="A233" s="714" t="s">
        <v>484</v>
      </c>
      <c r="B233" s="708" t="s">
        <v>403</v>
      </c>
      <c r="C233" s="708">
        <v>4590</v>
      </c>
      <c r="D233" s="708">
        <v>4500</v>
      </c>
      <c r="E233" s="708">
        <v>4600</v>
      </c>
      <c r="F233" s="735"/>
      <c r="H233" s="733"/>
    </row>
    <row r="234" spans="1:8" s="702" customFormat="1" ht="14.25" customHeight="1" thickBot="1">
      <c r="A234" s="714" t="s">
        <v>484</v>
      </c>
      <c r="B234" s="708" t="s">
        <v>779</v>
      </c>
      <c r="C234" s="708">
        <v>3990</v>
      </c>
      <c r="D234" s="708">
        <v>3950</v>
      </c>
      <c r="E234" s="708">
        <v>4180</v>
      </c>
      <c r="F234" s="735"/>
      <c r="H234" s="733"/>
    </row>
    <row r="235" spans="1:8" s="702" customFormat="1" ht="14.25" customHeight="1" thickBot="1">
      <c r="A235" s="714" t="s">
        <v>484</v>
      </c>
      <c r="B235" s="708" t="s">
        <v>412</v>
      </c>
      <c r="C235" s="708">
        <v>5590</v>
      </c>
      <c r="D235" s="708">
        <v>5540</v>
      </c>
      <c r="E235" s="708">
        <v>5810</v>
      </c>
      <c r="F235" s="726">
        <v>970</v>
      </c>
      <c r="H235" s="733"/>
    </row>
    <row r="236" spans="1:8" s="702" customFormat="1" ht="14.25" customHeight="1" thickBot="1">
      <c r="A236" s="714" t="s">
        <v>484</v>
      </c>
      <c r="B236" s="708" t="s">
        <v>417</v>
      </c>
      <c r="C236" s="708"/>
      <c r="D236" s="708"/>
      <c r="E236" s="708"/>
      <c r="F236" s="726">
        <v>1020</v>
      </c>
      <c r="H236" s="733"/>
    </row>
    <row r="237" spans="1:8" s="702" customFormat="1" ht="14.25" customHeight="1" thickBot="1">
      <c r="A237" s="714" t="s">
        <v>484</v>
      </c>
      <c r="B237" s="708" t="s">
        <v>422</v>
      </c>
      <c r="C237" s="708"/>
      <c r="D237" s="708"/>
      <c r="E237" s="708"/>
      <c r="F237" s="726">
        <v>960</v>
      </c>
      <c r="H237" s="733"/>
    </row>
    <row r="238" spans="1:8" s="702" customFormat="1" ht="14.25" customHeight="1" thickBot="1">
      <c r="A238" s="714" t="s">
        <v>484</v>
      </c>
      <c r="B238" s="708" t="s">
        <v>427</v>
      </c>
      <c r="C238" s="708"/>
      <c r="D238" s="708"/>
      <c r="E238" s="708"/>
      <c r="F238" s="726">
        <v>960</v>
      </c>
      <c r="H238" s="733"/>
    </row>
    <row r="239" spans="1:8" s="702" customFormat="1" ht="14.25" customHeight="1" thickBot="1">
      <c r="A239" s="714" t="s">
        <v>484</v>
      </c>
      <c r="B239" s="708" t="s">
        <v>432</v>
      </c>
      <c r="C239" s="708"/>
      <c r="D239" s="708"/>
      <c r="E239" s="708"/>
      <c r="F239" s="726">
        <v>960</v>
      </c>
      <c r="H239" s="733"/>
    </row>
    <row r="240" spans="1:8" s="702" customFormat="1" ht="14.25" customHeight="1" thickBot="1">
      <c r="A240" s="714" t="s">
        <v>484</v>
      </c>
      <c r="B240" s="708" t="s">
        <v>436</v>
      </c>
      <c r="C240" s="708"/>
      <c r="D240" s="708"/>
      <c r="E240" s="708"/>
      <c r="F240" s="726">
        <v>990</v>
      </c>
      <c r="H240" s="733"/>
    </row>
    <row r="241" spans="1:8" s="702" customFormat="1" ht="14.25" customHeight="1" thickBot="1">
      <c r="A241" s="714" t="s">
        <v>484</v>
      </c>
      <c r="B241" s="708" t="s">
        <v>440</v>
      </c>
      <c r="C241" s="708"/>
      <c r="D241" s="708"/>
      <c r="E241" s="708"/>
      <c r="F241" s="726">
        <v>1000</v>
      </c>
      <c r="H241" s="733"/>
    </row>
    <row r="242" spans="1:8" s="702" customFormat="1" ht="14.25" customHeight="1" thickBot="1">
      <c r="A242" s="714" t="s">
        <v>484</v>
      </c>
      <c r="B242" s="708" t="s">
        <v>444</v>
      </c>
      <c r="C242" s="708"/>
      <c r="D242" s="708"/>
      <c r="E242" s="708"/>
      <c r="F242" s="726">
        <v>980</v>
      </c>
      <c r="H242" s="733"/>
    </row>
    <row r="243" spans="1:8" s="702" customFormat="1" ht="14.25" customHeight="1" thickBot="1">
      <c r="A243" s="714" t="s">
        <v>484</v>
      </c>
      <c r="B243" s="708" t="s">
        <v>448</v>
      </c>
      <c r="C243" s="708"/>
      <c r="D243" s="708"/>
      <c r="E243" s="708"/>
      <c r="F243" s="726">
        <v>970</v>
      </c>
      <c r="H243" s="733"/>
    </row>
    <row r="244" spans="1:8" s="702" customFormat="1" ht="14.25" customHeight="1" thickBot="1">
      <c r="A244" s="714" t="s">
        <v>484</v>
      </c>
      <c r="B244" s="724" t="s">
        <v>452</v>
      </c>
      <c r="C244" s="724"/>
      <c r="D244" s="724"/>
      <c r="E244" s="724"/>
      <c r="F244" s="734">
        <v>970</v>
      </c>
      <c r="H244" s="733"/>
    </row>
    <row r="245" spans="1:8" s="702" customFormat="1" ht="14.25" customHeight="1" thickBot="1">
      <c r="A245" s="714" t="s">
        <v>486</v>
      </c>
      <c r="B245" s="715" t="s">
        <v>487</v>
      </c>
      <c r="C245" s="715">
        <v>4050</v>
      </c>
      <c r="D245" s="715">
        <v>4020</v>
      </c>
      <c r="E245" s="715">
        <v>4160</v>
      </c>
      <c r="F245" s="716">
        <v>840</v>
      </c>
      <c r="H245" s="733"/>
    </row>
    <row r="246" spans="1:8" s="702" customFormat="1" ht="14.25" customHeight="1" thickBot="1">
      <c r="A246" s="714" t="s">
        <v>486</v>
      </c>
      <c r="B246" s="708" t="s">
        <v>143</v>
      </c>
      <c r="C246" s="708">
        <v>4010</v>
      </c>
      <c r="D246" s="708">
        <v>3960</v>
      </c>
      <c r="E246" s="708">
        <v>4130</v>
      </c>
      <c r="F246" s="726">
        <v>840</v>
      </c>
      <c r="H246" s="733"/>
    </row>
    <row r="247" spans="1:8" s="702" customFormat="1" ht="14.25" customHeight="1" thickBot="1">
      <c r="A247" s="714" t="s">
        <v>486</v>
      </c>
      <c r="B247" s="708" t="s">
        <v>488</v>
      </c>
      <c r="C247" s="708">
        <v>3170</v>
      </c>
      <c r="D247" s="708">
        <v>3140</v>
      </c>
      <c r="E247" s="708">
        <v>3270</v>
      </c>
      <c r="F247" s="726">
        <v>640</v>
      </c>
      <c r="H247" s="733"/>
    </row>
    <row r="248" spans="1:8" s="702" customFormat="1" ht="14.25" customHeight="1" thickBot="1">
      <c r="A248" s="714" t="s">
        <v>486</v>
      </c>
      <c r="B248" s="708" t="s">
        <v>489</v>
      </c>
      <c r="C248" s="708">
        <v>3140</v>
      </c>
      <c r="D248" s="708">
        <v>3120</v>
      </c>
      <c r="E248" s="708">
        <v>3240</v>
      </c>
      <c r="F248" s="726">
        <v>620</v>
      </c>
      <c r="H248" s="733"/>
    </row>
    <row r="249" spans="1:8" s="702" customFormat="1" ht="14.25" customHeight="1" thickBot="1">
      <c r="A249" s="714" t="s">
        <v>486</v>
      </c>
      <c r="B249" s="708" t="s">
        <v>181</v>
      </c>
      <c r="C249" s="708">
        <v>3200</v>
      </c>
      <c r="D249" s="708">
        <v>3100</v>
      </c>
      <c r="E249" s="708">
        <v>3230</v>
      </c>
      <c r="F249" s="726">
        <v>750</v>
      </c>
      <c r="H249" s="733"/>
    </row>
    <row r="250" spans="1:8" s="702" customFormat="1" ht="14.25" customHeight="1" thickBot="1">
      <c r="A250" s="714" t="s">
        <v>486</v>
      </c>
      <c r="B250" s="708" t="s">
        <v>193</v>
      </c>
      <c r="C250" s="708">
        <v>4060</v>
      </c>
      <c r="D250" s="708">
        <v>4000</v>
      </c>
      <c r="E250" s="708">
        <v>4140</v>
      </c>
      <c r="F250" s="726">
        <v>790</v>
      </c>
      <c r="H250" s="733"/>
    </row>
    <row r="251" spans="1:8" s="702" customFormat="1" ht="14.25" customHeight="1" thickBot="1">
      <c r="A251" s="714" t="s">
        <v>486</v>
      </c>
      <c r="B251" s="708" t="s">
        <v>205</v>
      </c>
      <c r="C251" s="708">
        <v>3990</v>
      </c>
      <c r="D251" s="708">
        <v>3970</v>
      </c>
      <c r="E251" s="708">
        <v>4110</v>
      </c>
      <c r="F251" s="726">
        <v>730</v>
      </c>
      <c r="H251" s="733"/>
    </row>
    <row r="252" spans="1:8" s="702" customFormat="1" ht="14.25" customHeight="1" thickBot="1">
      <c r="A252" s="714" t="s">
        <v>486</v>
      </c>
      <c r="B252" s="708" t="s">
        <v>217</v>
      </c>
      <c r="C252" s="708">
        <v>3560</v>
      </c>
      <c r="D252" s="708">
        <v>3530</v>
      </c>
      <c r="E252" s="708">
        <v>3650</v>
      </c>
      <c r="F252" s="726">
        <v>750</v>
      </c>
      <c r="H252" s="733"/>
    </row>
    <row r="253" spans="1:8" s="702" customFormat="1" ht="14.25" customHeight="1" thickBot="1">
      <c r="A253" s="714" t="s">
        <v>486</v>
      </c>
      <c r="B253" s="708" t="s">
        <v>230</v>
      </c>
      <c r="C253" s="708">
        <v>3780</v>
      </c>
      <c r="D253" s="708">
        <v>3750</v>
      </c>
      <c r="E253" s="708">
        <v>3870</v>
      </c>
      <c r="F253" s="726">
        <v>770</v>
      </c>
      <c r="H253" s="733"/>
    </row>
    <row r="254" spans="1:8" s="702" customFormat="1" ht="14.25" customHeight="1" thickBot="1">
      <c r="A254" s="714" t="s">
        <v>486</v>
      </c>
      <c r="B254" s="708" t="s">
        <v>241</v>
      </c>
      <c r="C254" s="736"/>
      <c r="D254" s="736"/>
      <c r="E254" s="736"/>
      <c r="F254" s="726">
        <v>740</v>
      </c>
      <c r="H254" s="733"/>
    </row>
    <row r="255" spans="1:8" s="702" customFormat="1" ht="14.25" customHeight="1" thickBot="1">
      <c r="A255" s="714" t="s">
        <v>486</v>
      </c>
      <c r="B255" s="708" t="s">
        <v>252</v>
      </c>
      <c r="C255" s="736"/>
      <c r="D255" s="736"/>
      <c r="E255" s="736"/>
      <c r="F255" s="726">
        <v>760</v>
      </c>
      <c r="H255" s="733"/>
    </row>
    <row r="256" spans="1:8" s="702" customFormat="1" ht="14.25" customHeight="1" thickBot="1">
      <c r="A256" s="714" t="s">
        <v>486</v>
      </c>
      <c r="B256" s="708" t="s">
        <v>263</v>
      </c>
      <c r="C256" s="708">
        <v>3760</v>
      </c>
      <c r="D256" s="708">
        <v>3730</v>
      </c>
      <c r="E256" s="708">
        <v>3870</v>
      </c>
      <c r="F256" s="726">
        <v>830</v>
      </c>
      <c r="H256" s="733"/>
    </row>
    <row r="257" spans="1:8" s="702" customFormat="1" ht="14.25" customHeight="1" thickBot="1">
      <c r="A257" s="714" t="s">
        <v>486</v>
      </c>
      <c r="B257" s="708" t="s">
        <v>274</v>
      </c>
      <c r="C257" s="708">
        <v>3570</v>
      </c>
      <c r="D257" s="708">
        <v>3540</v>
      </c>
      <c r="E257" s="708">
        <v>3650</v>
      </c>
      <c r="F257" s="726">
        <v>790</v>
      </c>
      <c r="H257" s="733"/>
    </row>
    <row r="258" spans="1:8" s="702" customFormat="1" ht="14.25" customHeight="1" thickBot="1">
      <c r="A258" s="714" t="s">
        <v>486</v>
      </c>
      <c r="B258" s="708" t="s">
        <v>285</v>
      </c>
      <c r="C258" s="708">
        <v>3410</v>
      </c>
      <c r="D258" s="708">
        <v>3380</v>
      </c>
      <c r="E258" s="708">
        <v>3500</v>
      </c>
      <c r="F258" s="726">
        <v>830</v>
      </c>
      <c r="H258" s="733"/>
    </row>
    <row r="259" spans="1:8" s="702" customFormat="1" ht="14.25" customHeight="1" thickBot="1">
      <c r="A259" s="714" t="s">
        <v>486</v>
      </c>
      <c r="B259" s="708" t="s">
        <v>296</v>
      </c>
      <c r="C259" s="708">
        <v>3870</v>
      </c>
      <c r="D259" s="708">
        <v>3840</v>
      </c>
      <c r="E259" s="708">
        <v>3970</v>
      </c>
      <c r="F259" s="726">
        <v>830</v>
      </c>
      <c r="H259" s="733"/>
    </row>
    <row r="260" spans="1:8" s="702" customFormat="1" ht="14.25" customHeight="1" thickBot="1">
      <c r="A260" s="714" t="s">
        <v>486</v>
      </c>
      <c r="B260" s="708" t="s">
        <v>306</v>
      </c>
      <c r="C260" s="708">
        <v>3700</v>
      </c>
      <c r="D260" s="708">
        <v>3660</v>
      </c>
      <c r="E260" s="708">
        <v>3810</v>
      </c>
      <c r="F260" s="726">
        <v>790</v>
      </c>
      <c r="H260" s="733"/>
    </row>
    <row r="261" spans="1:8" s="702" customFormat="1" ht="14.25" customHeight="1" thickBot="1">
      <c r="A261" s="714" t="s">
        <v>486</v>
      </c>
      <c r="B261" s="708" t="s">
        <v>316</v>
      </c>
      <c r="C261" s="708">
        <v>3470</v>
      </c>
      <c r="D261" s="708">
        <v>3430</v>
      </c>
      <c r="E261" s="708">
        <v>3640</v>
      </c>
      <c r="F261" s="726">
        <v>760</v>
      </c>
      <c r="H261" s="733"/>
    </row>
    <row r="262" spans="1:8" s="702" customFormat="1" ht="14.25" customHeight="1" thickBot="1">
      <c r="A262" s="714" t="s">
        <v>486</v>
      </c>
      <c r="B262" s="708" t="s">
        <v>326</v>
      </c>
      <c r="C262" s="708">
        <v>3510</v>
      </c>
      <c r="D262" s="708">
        <v>3470</v>
      </c>
      <c r="E262" s="708">
        <v>3680</v>
      </c>
      <c r="F262" s="735"/>
      <c r="H262" s="733"/>
    </row>
    <row r="263" spans="1:8" s="702" customFormat="1" ht="14.25" customHeight="1" thickBot="1">
      <c r="A263" s="714" t="s">
        <v>486</v>
      </c>
      <c r="B263" s="708" t="s">
        <v>336</v>
      </c>
      <c r="C263" s="708">
        <v>3960</v>
      </c>
      <c r="D263" s="708">
        <v>3930</v>
      </c>
      <c r="E263" s="708">
        <v>4070</v>
      </c>
      <c r="F263" s="726">
        <v>830</v>
      </c>
      <c r="H263" s="733"/>
    </row>
    <row r="264" spans="1:8" s="702" customFormat="1" ht="14.25" customHeight="1" thickBot="1">
      <c r="A264" s="714" t="s">
        <v>486</v>
      </c>
      <c r="B264" s="708" t="s">
        <v>345</v>
      </c>
      <c r="C264" s="708">
        <v>4010</v>
      </c>
      <c r="D264" s="708">
        <v>3980</v>
      </c>
      <c r="E264" s="708">
        <v>4150</v>
      </c>
      <c r="F264" s="726">
        <v>760</v>
      </c>
      <c r="H264" s="733"/>
    </row>
    <row r="265" spans="1:8" s="702" customFormat="1" ht="14.25" customHeight="1" thickBot="1">
      <c r="A265" s="714" t="s">
        <v>486</v>
      </c>
      <c r="B265" s="708" t="s">
        <v>354</v>
      </c>
      <c r="C265" s="708">
        <v>3910</v>
      </c>
      <c r="D265" s="708">
        <v>3890</v>
      </c>
      <c r="E265" s="708">
        <v>4040</v>
      </c>
      <c r="F265" s="726">
        <v>780</v>
      </c>
      <c r="H265" s="733"/>
    </row>
    <row r="266" spans="1:8" s="702" customFormat="1" ht="14.25" customHeight="1" thickBot="1">
      <c r="A266" s="714" t="s">
        <v>486</v>
      </c>
      <c r="B266" s="708" t="s">
        <v>362</v>
      </c>
      <c r="C266" s="708">
        <v>3930</v>
      </c>
      <c r="D266" s="708">
        <v>3900</v>
      </c>
      <c r="E266" s="708">
        <v>4080</v>
      </c>
      <c r="F266" s="726">
        <v>770</v>
      </c>
      <c r="H266" s="733"/>
    </row>
    <row r="267" spans="1:8" s="702" customFormat="1" ht="14.25" customHeight="1" thickBot="1">
      <c r="A267" s="714" t="s">
        <v>486</v>
      </c>
      <c r="B267" s="708" t="s">
        <v>369</v>
      </c>
      <c r="C267" s="708">
        <v>3800</v>
      </c>
      <c r="D267" s="708">
        <v>3780</v>
      </c>
      <c r="E267" s="708">
        <v>3930</v>
      </c>
      <c r="F267" s="735"/>
      <c r="H267" s="733"/>
    </row>
    <row r="268" spans="1:8" s="702" customFormat="1" ht="14.25" customHeight="1" thickBot="1">
      <c r="A268" s="714" t="s">
        <v>486</v>
      </c>
      <c r="B268" s="708" t="s">
        <v>376</v>
      </c>
      <c r="C268" s="708">
        <v>3460</v>
      </c>
      <c r="D268" s="708">
        <v>3430</v>
      </c>
      <c r="E268" s="708">
        <v>3560</v>
      </c>
      <c r="F268" s="726">
        <v>840</v>
      </c>
      <c r="H268" s="733"/>
    </row>
    <row r="269" spans="1:8" s="702" customFormat="1" ht="14.25" customHeight="1" thickBot="1">
      <c r="A269" s="714" t="s">
        <v>486</v>
      </c>
      <c r="B269" s="708" t="s">
        <v>383</v>
      </c>
      <c r="C269" s="708">
        <v>3210</v>
      </c>
      <c r="D269" s="708">
        <v>3190</v>
      </c>
      <c r="E269" s="708">
        <v>3310</v>
      </c>
      <c r="F269" s="726">
        <v>730</v>
      </c>
      <c r="H269" s="733"/>
    </row>
    <row r="270" spans="1:8" s="702" customFormat="1" ht="14.25" customHeight="1" thickBot="1">
      <c r="A270" s="714" t="s">
        <v>486</v>
      </c>
      <c r="B270" s="708" t="s">
        <v>390</v>
      </c>
      <c r="C270" s="708">
        <v>3240</v>
      </c>
      <c r="D270" s="708">
        <v>3210</v>
      </c>
      <c r="E270" s="708">
        <v>3390</v>
      </c>
      <c r="F270" s="726">
        <v>820</v>
      </c>
      <c r="H270" s="733"/>
    </row>
    <row r="271" spans="1:8" s="702" customFormat="1" ht="14.25" customHeight="1" thickBot="1">
      <c r="A271" s="714" t="s">
        <v>486</v>
      </c>
      <c r="B271" s="708" t="s">
        <v>397</v>
      </c>
      <c r="C271" s="708">
        <v>3300</v>
      </c>
      <c r="D271" s="708">
        <v>3270</v>
      </c>
      <c r="E271" s="708">
        <v>3380</v>
      </c>
      <c r="F271" s="726">
        <v>750</v>
      </c>
      <c r="H271" s="733"/>
    </row>
    <row r="272" spans="1:8" s="702" customFormat="1" ht="14.25" customHeight="1" thickBot="1">
      <c r="A272" s="714" t="s">
        <v>486</v>
      </c>
      <c r="B272" s="708" t="s">
        <v>404</v>
      </c>
      <c r="C272" s="736"/>
      <c r="D272" s="736"/>
      <c r="E272" s="736"/>
      <c r="F272" s="726">
        <v>740</v>
      </c>
      <c r="H272" s="733"/>
    </row>
    <row r="273" spans="1:8" s="702" customFormat="1" ht="14.25" customHeight="1" thickBot="1">
      <c r="A273" s="714" t="s">
        <v>486</v>
      </c>
      <c r="B273" s="708" t="s">
        <v>408</v>
      </c>
      <c r="C273" s="708">
        <v>3130</v>
      </c>
      <c r="D273" s="708">
        <v>3100</v>
      </c>
      <c r="E273" s="708">
        <v>3230</v>
      </c>
      <c r="F273" s="726">
        <v>700</v>
      </c>
      <c r="H273" s="733"/>
    </row>
    <row r="274" spans="1:8" s="702" customFormat="1" ht="14.25" customHeight="1" thickBot="1">
      <c r="A274" s="714" t="s">
        <v>486</v>
      </c>
      <c r="B274" s="708" t="s">
        <v>413</v>
      </c>
      <c r="C274" s="708">
        <v>3460</v>
      </c>
      <c r="D274" s="708">
        <v>3430</v>
      </c>
      <c r="E274" s="708">
        <v>3560</v>
      </c>
      <c r="F274" s="726">
        <v>690</v>
      </c>
      <c r="H274" s="733"/>
    </row>
    <row r="275" spans="1:8" s="702" customFormat="1" ht="14.25" customHeight="1" thickBot="1">
      <c r="A275" s="714" t="s">
        <v>486</v>
      </c>
      <c r="B275" s="708" t="s">
        <v>418</v>
      </c>
      <c r="C275" s="708">
        <v>4040</v>
      </c>
      <c r="D275" s="708">
        <v>4020</v>
      </c>
      <c r="E275" s="708">
        <v>4160</v>
      </c>
      <c r="F275" s="726">
        <v>820</v>
      </c>
      <c r="H275" s="733"/>
    </row>
    <row r="276" spans="1:8" s="702" customFormat="1" ht="14.25" customHeight="1" thickBot="1">
      <c r="A276" s="714" t="s">
        <v>486</v>
      </c>
      <c r="B276" s="708" t="s">
        <v>423</v>
      </c>
      <c r="C276" s="708">
        <v>3270</v>
      </c>
      <c r="D276" s="708">
        <v>3240</v>
      </c>
      <c r="E276" s="708">
        <v>3350</v>
      </c>
      <c r="F276" s="726">
        <v>680</v>
      </c>
      <c r="H276" s="733"/>
    </row>
    <row r="277" spans="1:8" s="702" customFormat="1" ht="14.25" customHeight="1" thickBot="1">
      <c r="A277" s="714" t="s">
        <v>486</v>
      </c>
      <c r="B277" s="708" t="s">
        <v>428</v>
      </c>
      <c r="C277" s="708">
        <v>2930</v>
      </c>
      <c r="D277" s="708">
        <v>2900</v>
      </c>
      <c r="E277" s="708">
        <v>3000</v>
      </c>
      <c r="F277" s="726">
        <v>640</v>
      </c>
      <c r="H277" s="733"/>
    </row>
    <row r="278" spans="1:8" s="702" customFormat="1" ht="14.25" customHeight="1" thickBot="1">
      <c r="A278" s="714" t="s">
        <v>486</v>
      </c>
      <c r="B278" s="708" t="s">
        <v>433</v>
      </c>
      <c r="C278" s="708">
        <v>4080</v>
      </c>
      <c r="D278" s="708">
        <v>4030</v>
      </c>
      <c r="E278" s="708">
        <v>4140</v>
      </c>
      <c r="F278" s="726">
        <v>850</v>
      </c>
      <c r="H278" s="733"/>
    </row>
    <row r="279" spans="1:8" s="702" customFormat="1" ht="14.25" customHeight="1" thickBot="1">
      <c r="A279" s="714" t="s">
        <v>486</v>
      </c>
      <c r="B279" s="708" t="s">
        <v>437</v>
      </c>
      <c r="C279" s="708"/>
      <c r="D279" s="708"/>
      <c r="E279" s="708"/>
      <c r="F279" s="726">
        <v>760</v>
      </c>
      <c r="H279" s="733"/>
    </row>
    <row r="280" spans="1:8" s="702" customFormat="1" ht="14.25" customHeight="1" thickBot="1">
      <c r="A280" s="714" t="s">
        <v>486</v>
      </c>
      <c r="B280" s="708" t="s">
        <v>441</v>
      </c>
      <c r="C280" s="708"/>
      <c r="D280" s="708"/>
      <c r="E280" s="708"/>
      <c r="F280" s="726">
        <v>760</v>
      </c>
      <c r="H280" s="733"/>
    </row>
    <row r="281" spans="1:8" s="702" customFormat="1" ht="14.25" customHeight="1" thickBot="1">
      <c r="A281" s="714" t="s">
        <v>486</v>
      </c>
      <c r="B281" s="708" t="s">
        <v>445</v>
      </c>
      <c r="C281" s="708"/>
      <c r="D281" s="708"/>
      <c r="E281" s="708"/>
      <c r="F281" s="726">
        <v>780</v>
      </c>
      <c r="H281" s="733"/>
    </row>
    <row r="282" spans="1:8" s="702" customFormat="1" ht="14.25" customHeight="1" thickBot="1">
      <c r="A282" s="714" t="s">
        <v>486</v>
      </c>
      <c r="B282" s="708" t="s">
        <v>449</v>
      </c>
      <c r="C282" s="708"/>
      <c r="D282" s="708"/>
      <c r="E282" s="708"/>
      <c r="F282" s="726">
        <v>730</v>
      </c>
      <c r="H282" s="733"/>
    </row>
    <row r="283" spans="1:8" s="702" customFormat="1" ht="14.25" customHeight="1" thickBot="1">
      <c r="A283" s="714" t="s">
        <v>486</v>
      </c>
      <c r="B283" s="708" t="s">
        <v>453</v>
      </c>
      <c r="C283" s="708"/>
      <c r="D283" s="708"/>
      <c r="E283" s="708"/>
      <c r="F283" s="726">
        <v>770</v>
      </c>
      <c r="H283" s="733"/>
    </row>
    <row r="284" spans="1:8" s="702" customFormat="1" ht="14.25" customHeight="1" thickBot="1">
      <c r="A284" s="714" t="s">
        <v>486</v>
      </c>
      <c r="B284" s="708" t="s">
        <v>456</v>
      </c>
      <c r="C284" s="708"/>
      <c r="D284" s="708"/>
      <c r="E284" s="708"/>
      <c r="F284" s="726">
        <v>640</v>
      </c>
      <c r="H284" s="733"/>
    </row>
    <row r="285" spans="1:8" s="702" customFormat="1" ht="14.25" customHeight="1" thickBot="1">
      <c r="A285" s="714" t="s">
        <v>486</v>
      </c>
      <c r="B285" s="708" t="s">
        <v>459</v>
      </c>
      <c r="C285" s="708"/>
      <c r="D285" s="708"/>
      <c r="E285" s="708"/>
      <c r="F285" s="726">
        <v>640</v>
      </c>
      <c r="H285" s="733"/>
    </row>
    <row r="286" spans="1:8" s="702" customFormat="1" ht="14.25" customHeight="1" thickBot="1">
      <c r="A286" s="714" t="s">
        <v>486</v>
      </c>
      <c r="B286" s="708" t="s">
        <v>462</v>
      </c>
      <c r="C286" s="708"/>
      <c r="D286" s="708"/>
      <c r="E286" s="708"/>
      <c r="F286" s="726">
        <v>850</v>
      </c>
      <c r="H286" s="733"/>
    </row>
    <row r="287" spans="1:8" s="702" customFormat="1" ht="14.25" customHeight="1" thickBot="1">
      <c r="A287" s="714" t="s">
        <v>486</v>
      </c>
      <c r="B287" s="708" t="s">
        <v>465</v>
      </c>
      <c r="C287" s="708"/>
      <c r="D287" s="708"/>
      <c r="E287" s="708"/>
      <c r="F287" s="726">
        <v>760</v>
      </c>
      <c r="H287" s="733"/>
    </row>
    <row r="288" spans="1:8" s="702" customFormat="1" ht="14.25" customHeight="1" thickBot="1">
      <c r="A288" s="714" t="s">
        <v>486</v>
      </c>
      <c r="B288" s="708" t="s">
        <v>468</v>
      </c>
      <c r="C288" s="708"/>
      <c r="D288" s="708"/>
      <c r="E288" s="708"/>
      <c r="F288" s="726">
        <v>830</v>
      </c>
      <c r="H288" s="733"/>
    </row>
    <row r="289" spans="1:8" s="702" customFormat="1" ht="14.25" customHeight="1" thickBot="1">
      <c r="A289" s="714" t="s">
        <v>486</v>
      </c>
      <c r="B289" s="724" t="s">
        <v>471</v>
      </c>
      <c r="C289" s="724"/>
      <c r="D289" s="724"/>
      <c r="E289" s="724"/>
      <c r="F289" s="734">
        <v>680</v>
      </c>
      <c r="H289" s="733"/>
    </row>
    <row r="290" spans="1:8" s="702" customFormat="1" ht="14.25" customHeight="1" thickBot="1">
      <c r="A290" s="714" t="s">
        <v>490</v>
      </c>
      <c r="B290" s="715" t="s">
        <v>491</v>
      </c>
      <c r="C290" s="715">
        <v>2770</v>
      </c>
      <c r="D290" s="715">
        <v>2740</v>
      </c>
      <c r="E290" s="715">
        <v>2720</v>
      </c>
      <c r="F290" s="737"/>
      <c r="H290" s="733"/>
    </row>
    <row r="291" spans="1:8" s="702" customFormat="1" ht="14.25" customHeight="1" thickBot="1">
      <c r="A291" s="714" t="s">
        <v>490</v>
      </c>
      <c r="B291" s="708" t="s">
        <v>144</v>
      </c>
      <c r="C291" s="708">
        <v>2670</v>
      </c>
      <c r="D291" s="708">
        <v>2640</v>
      </c>
      <c r="E291" s="708">
        <v>2620</v>
      </c>
      <c r="F291" s="735"/>
      <c r="H291" s="733"/>
    </row>
    <row r="292" spans="1:8" s="702" customFormat="1" ht="14.25" customHeight="1" thickBot="1">
      <c r="A292" s="714" t="s">
        <v>490</v>
      </c>
      <c r="B292" s="708" t="s">
        <v>492</v>
      </c>
      <c r="C292" s="708">
        <v>2180</v>
      </c>
      <c r="D292" s="708">
        <v>2140</v>
      </c>
      <c r="E292" s="708">
        <v>2120</v>
      </c>
      <c r="F292" s="726">
        <v>490</v>
      </c>
      <c r="H292" s="733"/>
    </row>
    <row r="293" spans="1:8" s="702" customFormat="1" ht="14.25" customHeight="1" thickBot="1">
      <c r="A293" s="714" t="s">
        <v>490</v>
      </c>
      <c r="B293" s="708" t="s">
        <v>493</v>
      </c>
      <c r="C293" s="708"/>
      <c r="D293" s="708"/>
      <c r="E293" s="708"/>
      <c r="F293" s="726">
        <v>470</v>
      </c>
      <c r="H293" s="733"/>
    </row>
    <row r="294" spans="1:8" s="702" customFormat="1" ht="14.25" customHeight="1" thickBot="1">
      <c r="A294" s="714" t="s">
        <v>490</v>
      </c>
      <c r="B294" s="708" t="s">
        <v>494</v>
      </c>
      <c r="C294" s="708">
        <v>2730</v>
      </c>
      <c r="D294" s="708">
        <v>2700</v>
      </c>
      <c r="E294" s="708">
        <v>2680</v>
      </c>
      <c r="F294" s="726">
        <v>490</v>
      </c>
      <c r="H294" s="733"/>
    </row>
    <row r="295" spans="1:8" s="702" customFormat="1" ht="14.25" customHeight="1" thickBot="1">
      <c r="A295" s="714" t="s">
        <v>490</v>
      </c>
      <c r="B295" s="708" t="s">
        <v>182</v>
      </c>
      <c r="C295" s="708">
        <v>2380</v>
      </c>
      <c r="D295" s="708">
        <v>2350</v>
      </c>
      <c r="E295" s="708">
        <v>2330</v>
      </c>
      <c r="F295" s="726">
        <v>530</v>
      </c>
      <c r="H295" s="733"/>
    </row>
    <row r="296" spans="1:8" s="702" customFormat="1" ht="14.25" customHeight="1" thickBot="1">
      <c r="A296" s="714" t="s">
        <v>490</v>
      </c>
      <c r="B296" s="708" t="s">
        <v>194</v>
      </c>
      <c r="C296" s="708">
        <v>2650</v>
      </c>
      <c r="D296" s="708">
        <v>2620</v>
      </c>
      <c r="E296" s="708">
        <v>2590</v>
      </c>
      <c r="F296" s="726">
        <v>590</v>
      </c>
      <c r="H296" s="733"/>
    </row>
    <row r="297" spans="1:8" s="702" customFormat="1" ht="14.25" customHeight="1" thickBot="1">
      <c r="A297" s="714" t="s">
        <v>490</v>
      </c>
      <c r="B297" s="708" t="s">
        <v>206</v>
      </c>
      <c r="C297" s="708">
        <v>2700</v>
      </c>
      <c r="D297" s="708">
        <v>2670</v>
      </c>
      <c r="E297" s="708">
        <v>2650</v>
      </c>
      <c r="F297" s="726">
        <v>630</v>
      </c>
      <c r="H297" s="733"/>
    </row>
    <row r="298" spans="1:8" s="702" customFormat="1" ht="14.25" customHeight="1" thickBot="1">
      <c r="A298" s="714" t="s">
        <v>490</v>
      </c>
      <c r="B298" s="708" t="s">
        <v>218</v>
      </c>
      <c r="C298" s="708">
        <v>2650</v>
      </c>
      <c r="D298" s="708">
        <v>2620</v>
      </c>
      <c r="E298" s="708">
        <v>2590</v>
      </c>
      <c r="F298" s="726">
        <v>640</v>
      </c>
      <c r="H298" s="733"/>
    </row>
    <row r="299" spans="1:8" s="702" customFormat="1" ht="14.25" customHeight="1" thickBot="1">
      <c r="A299" s="714" t="s">
        <v>490</v>
      </c>
      <c r="B299" s="708" t="s">
        <v>231</v>
      </c>
      <c r="C299" s="708">
        <v>2500</v>
      </c>
      <c r="D299" s="708">
        <v>2480</v>
      </c>
      <c r="E299" s="708">
        <v>2460</v>
      </c>
      <c r="F299" s="735"/>
      <c r="H299" s="733"/>
    </row>
    <row r="300" spans="1:8" s="702" customFormat="1" ht="14.25" customHeight="1" thickBot="1">
      <c r="A300" s="714" t="s">
        <v>490</v>
      </c>
      <c r="B300" s="708" t="s">
        <v>242</v>
      </c>
      <c r="C300" s="708">
        <v>2760</v>
      </c>
      <c r="D300" s="708">
        <v>2730</v>
      </c>
      <c r="E300" s="708">
        <v>2700</v>
      </c>
      <c r="F300" s="726">
        <v>630</v>
      </c>
      <c r="H300" s="733"/>
    </row>
    <row r="301" spans="1:8" s="702" customFormat="1" ht="14.25" customHeight="1" thickBot="1">
      <c r="A301" s="714" t="s">
        <v>490</v>
      </c>
      <c r="B301" s="708" t="s">
        <v>253</v>
      </c>
      <c r="C301" s="708">
        <v>2510</v>
      </c>
      <c r="D301" s="708">
        <v>2480</v>
      </c>
      <c r="E301" s="708">
        <v>2460</v>
      </c>
      <c r="F301" s="735"/>
      <c r="H301" s="733"/>
    </row>
    <row r="302" spans="1:8" s="702" customFormat="1" ht="14.25" customHeight="1" thickBot="1">
      <c r="A302" s="714" t="s">
        <v>490</v>
      </c>
      <c r="B302" s="708" t="s">
        <v>264</v>
      </c>
      <c r="C302" s="708">
        <v>2480</v>
      </c>
      <c r="D302" s="708">
        <v>2450</v>
      </c>
      <c r="E302" s="708">
        <v>2420</v>
      </c>
      <c r="F302" s="726">
        <v>600</v>
      </c>
      <c r="H302" s="733"/>
    </row>
    <row r="303" spans="1:8" s="702" customFormat="1" ht="14.25" customHeight="1" thickBot="1">
      <c r="A303" s="714" t="s">
        <v>490</v>
      </c>
      <c r="B303" s="708" t="s">
        <v>275</v>
      </c>
      <c r="C303" s="708">
        <v>2270</v>
      </c>
      <c r="D303" s="708">
        <v>2240</v>
      </c>
      <c r="E303" s="708">
        <v>2210</v>
      </c>
      <c r="F303" s="726">
        <v>540</v>
      </c>
      <c r="H303" s="733"/>
    </row>
    <row r="304" spans="1:8" s="702" customFormat="1" ht="14.25" customHeight="1" thickBot="1">
      <c r="A304" s="714" t="s">
        <v>490</v>
      </c>
      <c r="B304" s="708" t="s">
        <v>286</v>
      </c>
      <c r="C304" s="708">
        <v>2310</v>
      </c>
      <c r="D304" s="708">
        <v>2290</v>
      </c>
      <c r="E304" s="708">
        <v>2270</v>
      </c>
      <c r="F304" s="735"/>
      <c r="H304" s="733"/>
    </row>
    <row r="305" spans="1:8" s="702" customFormat="1" ht="14.25" customHeight="1" thickBot="1">
      <c r="A305" s="714" t="s">
        <v>490</v>
      </c>
      <c r="B305" s="708" t="s">
        <v>297</v>
      </c>
      <c r="C305" s="708">
        <v>2490</v>
      </c>
      <c r="D305" s="708">
        <v>2470</v>
      </c>
      <c r="E305" s="708">
        <v>2440</v>
      </c>
      <c r="F305" s="726">
        <v>560</v>
      </c>
      <c r="H305" s="733"/>
    </row>
    <row r="306" spans="1:8" s="702" customFormat="1" ht="14.25" customHeight="1" thickBot="1">
      <c r="A306" s="714" t="s">
        <v>490</v>
      </c>
      <c r="B306" s="708" t="s">
        <v>307</v>
      </c>
      <c r="C306" s="708">
        <v>2420</v>
      </c>
      <c r="D306" s="708">
        <v>2400</v>
      </c>
      <c r="E306" s="708">
        <v>2380</v>
      </c>
      <c r="F306" s="735"/>
      <c r="H306" s="733"/>
    </row>
    <row r="307" spans="1:8" s="702" customFormat="1" ht="14.25" customHeight="1" thickBot="1">
      <c r="A307" s="714" t="s">
        <v>490</v>
      </c>
      <c r="B307" s="708" t="s">
        <v>317</v>
      </c>
      <c r="C307" s="708">
        <v>2770</v>
      </c>
      <c r="D307" s="708">
        <v>2740</v>
      </c>
      <c r="E307" s="708">
        <v>2710</v>
      </c>
      <c r="F307" s="726">
        <v>650</v>
      </c>
      <c r="H307" s="733"/>
    </row>
    <row r="308" spans="1:8" s="702" customFormat="1" ht="14.25" customHeight="1" thickBot="1">
      <c r="A308" s="714" t="s">
        <v>490</v>
      </c>
      <c r="B308" s="708" t="s">
        <v>327</v>
      </c>
      <c r="C308" s="708">
        <v>2610</v>
      </c>
      <c r="D308" s="708">
        <v>2580</v>
      </c>
      <c r="E308" s="708">
        <v>2550</v>
      </c>
      <c r="F308" s="726">
        <v>580</v>
      </c>
      <c r="H308" s="733"/>
    </row>
    <row r="309" spans="1:8" s="702" customFormat="1" ht="14.25" customHeight="1" thickBot="1">
      <c r="A309" s="714" t="s">
        <v>490</v>
      </c>
      <c r="B309" s="708" t="s">
        <v>337</v>
      </c>
      <c r="C309" s="708">
        <v>2690</v>
      </c>
      <c r="D309" s="708">
        <v>2670</v>
      </c>
      <c r="E309" s="708">
        <v>2650</v>
      </c>
      <c r="F309" s="735"/>
      <c r="H309" s="733"/>
    </row>
    <row r="310" spans="1:8" s="702" customFormat="1" ht="14.25" customHeight="1" thickBot="1">
      <c r="A310" s="714" t="s">
        <v>490</v>
      </c>
      <c r="B310" s="708" t="s">
        <v>346</v>
      </c>
      <c r="C310" s="708">
        <v>2360</v>
      </c>
      <c r="D310" s="708">
        <v>2330</v>
      </c>
      <c r="E310" s="708">
        <v>2310</v>
      </c>
      <c r="F310" s="726">
        <v>560</v>
      </c>
      <c r="H310" s="733"/>
    </row>
    <row r="311" spans="1:8" s="702" customFormat="1" ht="14.25" customHeight="1" thickBot="1">
      <c r="A311" s="714" t="s">
        <v>490</v>
      </c>
      <c r="B311" s="708" t="s">
        <v>355</v>
      </c>
      <c r="C311" s="708">
        <v>1970</v>
      </c>
      <c r="D311" s="708">
        <v>1950</v>
      </c>
      <c r="E311" s="708">
        <v>1920</v>
      </c>
      <c r="F311" s="726">
        <v>470</v>
      </c>
      <c r="H311" s="733"/>
    </row>
    <row r="312" spans="1:8" s="702" customFormat="1" ht="14.25" customHeight="1" thickBot="1">
      <c r="A312" s="714" t="s">
        <v>490</v>
      </c>
      <c r="B312" s="708" t="s">
        <v>363</v>
      </c>
      <c r="C312" s="708">
        <v>2230</v>
      </c>
      <c r="D312" s="708">
        <v>2200</v>
      </c>
      <c r="E312" s="708">
        <v>2170</v>
      </c>
      <c r="F312" s="726">
        <v>460</v>
      </c>
      <c r="H312" s="733"/>
    </row>
    <row r="313" spans="1:8" s="702" customFormat="1" ht="14.25" customHeight="1" thickBot="1">
      <c r="A313" s="714" t="s">
        <v>490</v>
      </c>
      <c r="B313" s="708" t="s">
        <v>370</v>
      </c>
      <c r="C313" s="708">
        <v>2770</v>
      </c>
      <c r="D313" s="708">
        <v>2740</v>
      </c>
      <c r="E313" s="708">
        <v>2710</v>
      </c>
      <c r="F313" s="726">
        <v>610</v>
      </c>
      <c r="H313" s="733"/>
    </row>
    <row r="314" spans="1:8" s="702" customFormat="1" ht="14.25" customHeight="1" thickBot="1">
      <c r="A314" s="714" t="s">
        <v>490</v>
      </c>
      <c r="B314" s="708" t="s">
        <v>377</v>
      </c>
      <c r="C314" s="708"/>
      <c r="D314" s="708"/>
      <c r="E314" s="708"/>
      <c r="F314" s="726">
        <v>490</v>
      </c>
      <c r="H314" s="733"/>
    </row>
    <row r="315" spans="1:8" s="702" customFormat="1" ht="14.25" customHeight="1" thickBot="1">
      <c r="A315" s="714" t="s">
        <v>490</v>
      </c>
      <c r="B315" s="708" t="s">
        <v>384</v>
      </c>
      <c r="C315" s="708"/>
      <c r="D315" s="708"/>
      <c r="E315" s="708"/>
      <c r="F315" s="726">
        <v>520</v>
      </c>
      <c r="H315" s="733"/>
    </row>
    <row r="316" spans="1:8" s="702" customFormat="1" ht="14.25" customHeight="1" thickBot="1">
      <c r="A316" s="714" t="s">
        <v>490</v>
      </c>
      <c r="B316" s="724" t="s">
        <v>391</v>
      </c>
      <c r="C316" s="724"/>
      <c r="D316" s="724"/>
      <c r="E316" s="724"/>
      <c r="F316" s="734">
        <v>460</v>
      </c>
      <c r="H316" s="733"/>
    </row>
    <row r="317" spans="1:8" s="702" customFormat="1" ht="14.25" customHeight="1" thickBot="1">
      <c r="A317" s="714" t="s">
        <v>277</v>
      </c>
      <c r="B317" s="715" t="s">
        <v>495</v>
      </c>
      <c r="C317" s="715">
        <v>1200</v>
      </c>
      <c r="D317" s="715">
        <v>1180</v>
      </c>
      <c r="E317" s="715">
        <v>1160</v>
      </c>
      <c r="F317" s="716">
        <v>370</v>
      </c>
      <c r="H317" s="673"/>
    </row>
    <row r="318" spans="1:8" s="702" customFormat="1" ht="14.25" customHeight="1" thickBot="1">
      <c r="A318" s="714" t="s">
        <v>277</v>
      </c>
      <c r="B318" s="708" t="s">
        <v>496</v>
      </c>
      <c r="C318" s="708">
        <v>1090</v>
      </c>
      <c r="D318" s="708">
        <v>1060</v>
      </c>
      <c r="E318" s="708">
        <v>1040</v>
      </c>
      <c r="F318" s="735"/>
      <c r="H318" s="673"/>
    </row>
    <row r="319" spans="1:8" s="702" customFormat="1" ht="14.25" customHeight="1" thickBot="1">
      <c r="A319" s="714" t="s">
        <v>277</v>
      </c>
      <c r="B319" s="708" t="s">
        <v>497</v>
      </c>
      <c r="C319" s="708">
        <v>1520</v>
      </c>
      <c r="D319" s="708">
        <v>1470</v>
      </c>
      <c r="E319" s="708">
        <v>1440</v>
      </c>
      <c r="F319" s="726">
        <v>370</v>
      </c>
      <c r="H319" s="673"/>
    </row>
    <row r="320" spans="1:8" s="702" customFormat="1" ht="14.25" customHeight="1" thickBot="1">
      <c r="A320" s="714" t="s">
        <v>277</v>
      </c>
      <c r="B320" s="708" t="s">
        <v>171</v>
      </c>
      <c r="C320" s="708">
        <v>1360</v>
      </c>
      <c r="D320" s="708">
        <v>1300</v>
      </c>
      <c r="E320" s="708">
        <v>1270</v>
      </c>
      <c r="F320" s="735"/>
      <c r="H320" s="673"/>
    </row>
    <row r="321" spans="1:8" s="702" customFormat="1" ht="14.25" customHeight="1" thickBot="1">
      <c r="A321" s="714" t="s">
        <v>277</v>
      </c>
      <c r="B321" s="708" t="s">
        <v>183</v>
      </c>
      <c r="C321" s="708">
        <v>1750</v>
      </c>
      <c r="D321" s="708">
        <v>1690</v>
      </c>
      <c r="E321" s="708">
        <v>1660</v>
      </c>
      <c r="F321" s="735"/>
      <c r="H321" s="673"/>
    </row>
    <row r="322" spans="1:8" s="702" customFormat="1" ht="14.25" customHeight="1" thickBot="1">
      <c r="A322" s="714" t="s">
        <v>277</v>
      </c>
      <c r="B322" s="708" t="s">
        <v>195</v>
      </c>
      <c r="C322" s="708">
        <v>1650</v>
      </c>
      <c r="D322" s="708">
        <v>1610</v>
      </c>
      <c r="E322" s="708">
        <v>1580</v>
      </c>
      <c r="F322" s="726">
        <v>500</v>
      </c>
      <c r="H322" s="673"/>
    </row>
    <row r="323" spans="1:8" s="702" customFormat="1" ht="14.25" customHeight="1" thickBot="1">
      <c r="A323" s="714" t="s">
        <v>277</v>
      </c>
      <c r="B323" s="708" t="s">
        <v>207</v>
      </c>
      <c r="C323" s="708">
        <v>1780</v>
      </c>
      <c r="D323" s="708">
        <v>1740</v>
      </c>
      <c r="E323" s="708">
        <v>1720</v>
      </c>
      <c r="F323" s="735"/>
      <c r="H323" s="673"/>
    </row>
    <row r="324" spans="1:8" s="702" customFormat="1" ht="14.25" customHeight="1" thickBot="1">
      <c r="A324" s="714" t="s">
        <v>277</v>
      </c>
      <c r="B324" s="708" t="s">
        <v>219</v>
      </c>
      <c r="C324" s="708">
        <v>1650</v>
      </c>
      <c r="D324" s="708">
        <v>1610</v>
      </c>
      <c r="E324" s="708">
        <v>1580</v>
      </c>
      <c r="F324" s="735"/>
      <c r="H324" s="673"/>
    </row>
    <row r="325" spans="1:8" s="702" customFormat="1" ht="14.25" customHeight="1" thickBot="1">
      <c r="A325" s="714" t="s">
        <v>277</v>
      </c>
      <c r="B325" s="708" t="s">
        <v>232</v>
      </c>
      <c r="C325" s="708">
        <v>1330</v>
      </c>
      <c r="D325" s="708">
        <v>1270</v>
      </c>
      <c r="E325" s="708">
        <v>1240</v>
      </c>
      <c r="F325" s="726">
        <v>430</v>
      </c>
      <c r="H325" s="673"/>
    </row>
    <row r="326" spans="1:8" s="702" customFormat="1" ht="14.25" customHeight="1" thickBot="1">
      <c r="A326" s="714" t="s">
        <v>277</v>
      </c>
      <c r="B326" s="708" t="s">
        <v>243</v>
      </c>
      <c r="C326" s="708">
        <v>1470</v>
      </c>
      <c r="D326" s="708">
        <v>1430</v>
      </c>
      <c r="E326" s="708">
        <v>1400</v>
      </c>
      <c r="F326" s="735"/>
      <c r="H326" s="673"/>
    </row>
    <row r="327" spans="1:8" s="702" customFormat="1" ht="14.25" customHeight="1" thickBot="1">
      <c r="A327" s="714" t="s">
        <v>277</v>
      </c>
      <c r="B327" s="708" t="s">
        <v>254</v>
      </c>
      <c r="C327" s="708">
        <v>1420</v>
      </c>
      <c r="D327" s="708">
        <v>1380</v>
      </c>
      <c r="E327" s="708">
        <v>1360</v>
      </c>
      <c r="F327" s="726">
        <v>420</v>
      </c>
      <c r="H327" s="673"/>
    </row>
    <row r="328" spans="1:8" s="702" customFormat="1" ht="14.25" customHeight="1" thickBot="1">
      <c r="A328" s="714" t="s">
        <v>277</v>
      </c>
      <c r="B328" s="708" t="s">
        <v>265</v>
      </c>
      <c r="C328" s="708">
        <v>1400</v>
      </c>
      <c r="D328" s="708">
        <v>1360</v>
      </c>
      <c r="E328" s="708">
        <v>1330</v>
      </c>
      <c r="F328" s="726">
        <v>460</v>
      </c>
      <c r="H328" s="673"/>
    </row>
    <row r="329" spans="1:8" s="702" customFormat="1" ht="14.25" customHeight="1" thickBot="1">
      <c r="A329" s="714" t="s">
        <v>277</v>
      </c>
      <c r="B329" s="708" t="s">
        <v>276</v>
      </c>
      <c r="C329" s="708">
        <v>1640</v>
      </c>
      <c r="D329" s="708">
        <v>1610</v>
      </c>
      <c r="E329" s="708">
        <v>1580</v>
      </c>
      <c r="F329" s="726">
        <v>410</v>
      </c>
      <c r="H329" s="673"/>
    </row>
    <row r="330" spans="1:8" s="702" customFormat="1" ht="14.25" customHeight="1" thickBot="1">
      <c r="A330" s="714" t="s">
        <v>277</v>
      </c>
      <c r="B330" s="708" t="s">
        <v>287</v>
      </c>
      <c r="C330" s="708">
        <v>1260</v>
      </c>
      <c r="D330" s="708">
        <v>1220</v>
      </c>
      <c r="E330" s="708">
        <v>1200</v>
      </c>
      <c r="F330" s="735"/>
      <c r="H330" s="673"/>
    </row>
    <row r="331" spans="1:8" s="702" customFormat="1" ht="14.25" customHeight="1" thickBot="1">
      <c r="A331" s="714" t="s">
        <v>277</v>
      </c>
      <c r="B331" s="708" t="s">
        <v>298</v>
      </c>
      <c r="C331" s="708">
        <v>1620</v>
      </c>
      <c r="D331" s="708">
        <v>1560</v>
      </c>
      <c r="E331" s="708">
        <v>1530</v>
      </c>
      <c r="F331" s="726">
        <v>490</v>
      </c>
      <c r="H331" s="673"/>
    </row>
    <row r="332" spans="1:8" s="702" customFormat="1" ht="14.25" customHeight="1" thickBot="1">
      <c r="A332" s="714" t="s">
        <v>277</v>
      </c>
      <c r="B332" s="708" t="s">
        <v>308</v>
      </c>
      <c r="C332" s="708">
        <v>1520</v>
      </c>
      <c r="D332" s="708">
        <v>1470</v>
      </c>
      <c r="E332" s="708">
        <v>1440</v>
      </c>
      <c r="F332" s="726">
        <v>440</v>
      </c>
      <c r="H332" s="673"/>
    </row>
    <row r="333" spans="1:8" s="702" customFormat="1" ht="14.25" customHeight="1" thickBot="1">
      <c r="A333" s="714" t="s">
        <v>277</v>
      </c>
      <c r="B333" s="708" t="s">
        <v>318</v>
      </c>
      <c r="C333" s="708">
        <v>1370</v>
      </c>
      <c r="D333" s="708">
        <v>1320</v>
      </c>
      <c r="E333" s="708">
        <v>1300</v>
      </c>
      <c r="F333" s="726">
        <v>460</v>
      </c>
      <c r="H333" s="673"/>
    </row>
    <row r="334" spans="1:8" s="702" customFormat="1" ht="14.25" customHeight="1" thickBot="1">
      <c r="A334" s="714" t="s">
        <v>277</v>
      </c>
      <c r="B334" s="708" t="s">
        <v>328</v>
      </c>
      <c r="C334" s="708">
        <v>1410</v>
      </c>
      <c r="D334" s="708">
        <v>1340</v>
      </c>
      <c r="E334" s="708">
        <v>1310</v>
      </c>
      <c r="F334" s="726">
        <v>410</v>
      </c>
      <c r="H334" s="673"/>
    </row>
    <row r="335" spans="1:8" s="702" customFormat="1" ht="14.25" customHeight="1" thickBot="1">
      <c r="A335" s="714" t="s">
        <v>277</v>
      </c>
      <c r="B335" s="708" t="s">
        <v>338</v>
      </c>
      <c r="C335" s="708">
        <v>1260</v>
      </c>
      <c r="D335" s="708">
        <v>1220</v>
      </c>
      <c r="E335" s="708">
        <v>1200</v>
      </c>
      <c r="F335" s="735"/>
      <c r="H335" s="673"/>
    </row>
    <row r="336" spans="1:8" s="702" customFormat="1" ht="14.25" customHeight="1" thickBot="1">
      <c r="A336" s="714" t="s">
        <v>277</v>
      </c>
      <c r="B336" s="708" t="s">
        <v>347</v>
      </c>
      <c r="C336" s="708">
        <v>1160</v>
      </c>
      <c r="D336" s="708">
        <v>1140</v>
      </c>
      <c r="E336" s="708">
        <v>1120</v>
      </c>
      <c r="F336" s="726">
        <v>430</v>
      </c>
      <c r="H336" s="673"/>
    </row>
    <row r="337" spans="1:8" s="702" customFormat="1" ht="14.25" customHeight="1" thickBot="1">
      <c r="A337" s="714" t="s">
        <v>277</v>
      </c>
      <c r="B337" s="724" t="s">
        <v>356</v>
      </c>
      <c r="C337" s="724"/>
      <c r="D337" s="724"/>
      <c r="E337" s="724"/>
      <c r="F337" s="734">
        <v>380</v>
      </c>
      <c r="H337" s="673"/>
    </row>
    <row r="338" spans="1:8" s="702" customFormat="1" ht="14.25" customHeight="1" thickBot="1">
      <c r="A338" s="714" t="s">
        <v>288</v>
      </c>
      <c r="B338" s="715" t="s">
        <v>498</v>
      </c>
      <c r="C338" s="715">
        <v>880</v>
      </c>
      <c r="D338" s="715">
        <v>850</v>
      </c>
      <c r="E338" s="715">
        <v>830</v>
      </c>
      <c r="F338" s="737"/>
      <c r="H338" s="673"/>
    </row>
    <row r="339" spans="1:8" s="702" customFormat="1" ht="14.25" customHeight="1" thickBot="1">
      <c r="A339" s="714" t="s">
        <v>288</v>
      </c>
      <c r="B339" s="708" t="s">
        <v>499</v>
      </c>
      <c r="C339" s="708">
        <v>830</v>
      </c>
      <c r="D339" s="708">
        <v>800</v>
      </c>
      <c r="E339" s="708">
        <v>780</v>
      </c>
      <c r="F339" s="735"/>
      <c r="H339" s="673"/>
    </row>
    <row r="340" spans="1:8" s="702" customFormat="1" ht="14.25" customHeight="1" thickBot="1">
      <c r="A340" s="714" t="s">
        <v>288</v>
      </c>
      <c r="B340" s="708" t="s">
        <v>500</v>
      </c>
      <c r="C340" s="708">
        <v>980</v>
      </c>
      <c r="D340" s="708">
        <v>950</v>
      </c>
      <c r="E340" s="708">
        <v>920</v>
      </c>
      <c r="F340" s="735"/>
      <c r="H340" s="673"/>
    </row>
    <row r="341" spans="1:8" s="702" customFormat="1" ht="14.25" customHeight="1" thickBot="1">
      <c r="A341" s="714" t="s">
        <v>288</v>
      </c>
      <c r="B341" s="708" t="s">
        <v>501</v>
      </c>
      <c r="C341" s="708">
        <v>760</v>
      </c>
      <c r="D341" s="708">
        <v>720</v>
      </c>
      <c r="E341" s="708">
        <v>690</v>
      </c>
      <c r="F341" s="726">
        <v>350</v>
      </c>
      <c r="H341" s="673"/>
    </row>
    <row r="342" spans="1:8" s="702" customFormat="1" ht="14.25" customHeight="1" thickBot="1">
      <c r="A342" s="714" t="s">
        <v>288</v>
      </c>
      <c r="B342" s="708" t="s">
        <v>184</v>
      </c>
      <c r="C342" s="708">
        <v>910</v>
      </c>
      <c r="D342" s="708">
        <v>870</v>
      </c>
      <c r="E342" s="708">
        <v>850</v>
      </c>
      <c r="F342" s="726">
        <v>370</v>
      </c>
      <c r="H342" s="673"/>
    </row>
    <row r="343" spans="1:8" s="702" customFormat="1" ht="14.25" customHeight="1" thickBot="1">
      <c r="A343" s="714" t="s">
        <v>288</v>
      </c>
      <c r="B343" s="708" t="s">
        <v>196</v>
      </c>
      <c r="C343" s="708">
        <v>800</v>
      </c>
      <c r="D343" s="708">
        <v>760</v>
      </c>
      <c r="E343" s="708">
        <v>730</v>
      </c>
      <c r="F343" s="726">
        <v>340</v>
      </c>
      <c r="H343" s="673"/>
    </row>
    <row r="344" spans="1:8" s="702" customFormat="1" ht="14.25" customHeight="1" thickBot="1">
      <c r="A344" s="714" t="s">
        <v>288</v>
      </c>
      <c r="B344" s="724" t="s">
        <v>208</v>
      </c>
      <c r="C344" s="724">
        <v>720</v>
      </c>
      <c r="D344" s="724">
        <v>690</v>
      </c>
      <c r="E344" s="724">
        <v>660</v>
      </c>
      <c r="F344" s="734">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2802</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2803</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2804</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2805</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2806</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2807</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2477</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2808</v>
      </c>
      <c r="B19" s="3288" t="s">
        <v>2809</v>
      </c>
      <c r="C19" s="3315" t="s">
        <v>561</v>
      </c>
      <c r="D19" s="3287"/>
      <c r="E19" s="3283" t="s">
        <v>3026</v>
      </c>
      <c r="F19" s="3316"/>
      <c r="G19" s="3316"/>
    </row>
    <row r="20" spans="1:13" ht="19.5" customHeight="1">
      <c r="A20" s="3715" t="s">
        <v>2802</v>
      </c>
      <c r="B20" s="3718" t="s">
        <v>2810</v>
      </c>
      <c r="C20" s="3289" t="s">
        <v>2811</v>
      </c>
      <c r="D20" s="3290"/>
      <c r="E20" s="3291">
        <v>1</v>
      </c>
      <c r="F20" s="3292" t="s">
        <v>2812</v>
      </c>
      <c r="G20" s="3292"/>
    </row>
    <row r="21" spans="1:13" ht="19.5" customHeight="1">
      <c r="A21" s="3716"/>
      <c r="B21" s="3714"/>
      <c r="C21" s="739" t="s">
        <v>2813</v>
      </c>
      <c r="D21" s="740"/>
      <c r="E21" s="3293">
        <v>1</v>
      </c>
      <c r="F21" s="3292" t="s">
        <v>2814</v>
      </c>
      <c r="G21" s="3292"/>
    </row>
    <row r="22" spans="1:13" ht="19.5" customHeight="1">
      <c r="A22" s="3716"/>
      <c r="B22" s="3714"/>
      <c r="C22" s="739" t="s">
        <v>2815</v>
      </c>
      <c r="D22" s="740"/>
      <c r="E22" s="3293">
        <v>0.9</v>
      </c>
      <c r="F22" s="3292" t="s">
        <v>2816</v>
      </c>
      <c r="G22" s="3292"/>
    </row>
    <row r="23" spans="1:13" ht="19.5" customHeight="1">
      <c r="A23" s="3716"/>
      <c r="B23" s="3714"/>
      <c r="C23" s="739" t="s">
        <v>2817</v>
      </c>
      <c r="D23" s="740"/>
      <c r="E23" s="3293">
        <v>0.9</v>
      </c>
      <c r="F23" s="3292" t="s">
        <v>2818</v>
      </c>
      <c r="G23" s="3292"/>
    </row>
    <row r="24" spans="1:13" ht="19.5" customHeight="1">
      <c r="A24" s="3716"/>
      <c r="B24" s="3714"/>
      <c r="C24" s="739" t="s">
        <v>2819</v>
      </c>
      <c r="D24" s="740"/>
      <c r="E24" s="3293">
        <v>0.8</v>
      </c>
      <c r="F24" s="3292" t="s">
        <v>2820</v>
      </c>
      <c r="G24" s="3292"/>
    </row>
    <row r="25" spans="1:13" ht="19.5" customHeight="1" thickBot="1">
      <c r="A25" s="3717"/>
      <c r="B25" s="3719"/>
      <c r="C25" s="3294" t="s">
        <v>2821</v>
      </c>
      <c r="D25" s="3295"/>
      <c r="E25" s="3296">
        <v>0.8</v>
      </c>
      <c r="F25" s="3292" t="s">
        <v>2822</v>
      </c>
      <c r="G25" s="3292"/>
    </row>
    <row r="26" spans="1:13" ht="19.5" customHeight="1" thickBot="1">
      <c r="A26" s="3297" t="s">
        <v>2803</v>
      </c>
      <c r="B26" s="3298" t="s">
        <v>2810</v>
      </c>
      <c r="C26" s="3299" t="s">
        <v>2823</v>
      </c>
      <c r="D26" s="3300"/>
      <c r="E26" s="3301">
        <v>1</v>
      </c>
      <c r="F26" s="3292" t="s">
        <v>2864</v>
      </c>
      <c r="G26" s="3292"/>
    </row>
    <row r="27" spans="1:13" ht="19.5" customHeight="1">
      <c r="A27" s="3720" t="s">
        <v>2807</v>
      </c>
      <c r="B27" s="3718" t="s">
        <v>2807</v>
      </c>
      <c r="C27" s="3289" t="s">
        <v>2824</v>
      </c>
      <c r="D27" s="3290"/>
      <c r="E27" s="3291">
        <v>1</v>
      </c>
      <c r="F27" s="3292" t="s">
        <v>2865</v>
      </c>
      <c r="G27" s="3292"/>
    </row>
    <row r="28" spans="1:13" ht="19.5" customHeight="1">
      <c r="A28" s="3721"/>
      <c r="B28" s="3714"/>
      <c r="C28" s="739" t="s">
        <v>2825</v>
      </c>
      <c r="D28" s="740"/>
      <c r="E28" s="3293">
        <v>1</v>
      </c>
      <c r="F28" s="3292" t="s">
        <v>2866</v>
      </c>
      <c r="G28" s="3292"/>
    </row>
    <row r="29" spans="1:13" ht="19.5" customHeight="1">
      <c r="A29" s="3721"/>
      <c r="B29" s="3714"/>
      <c r="C29" s="739" t="s">
        <v>2826</v>
      </c>
      <c r="D29" s="740"/>
      <c r="E29" s="3293">
        <v>0.8</v>
      </c>
      <c r="F29" s="3292" t="s">
        <v>2867</v>
      </c>
      <c r="G29" s="3292"/>
    </row>
    <row r="30" spans="1:13" ht="19.5" customHeight="1">
      <c r="A30" s="3721"/>
      <c r="B30" s="3714"/>
      <c r="C30" s="739" t="s">
        <v>2827</v>
      </c>
      <c r="D30" s="740"/>
      <c r="E30" s="3293">
        <v>0.8</v>
      </c>
      <c r="F30" s="3292" t="s">
        <v>2868</v>
      </c>
      <c r="G30" s="3292"/>
    </row>
    <row r="31" spans="1:13" ht="19.5" customHeight="1">
      <c r="A31" s="3721"/>
      <c r="B31" s="3714"/>
      <c r="C31" s="739" t="s">
        <v>2828</v>
      </c>
      <c r="D31" s="740"/>
      <c r="E31" s="3293">
        <v>0.8</v>
      </c>
      <c r="F31" s="3292" t="s">
        <v>2869</v>
      </c>
      <c r="G31" s="3292"/>
    </row>
    <row r="32" spans="1:13" ht="19.5" customHeight="1">
      <c r="A32" s="3721"/>
      <c r="B32" s="3714"/>
      <c r="C32" s="739" t="s">
        <v>2829</v>
      </c>
      <c r="D32" s="740"/>
      <c r="E32" s="3293">
        <v>0.7</v>
      </c>
      <c r="F32" s="3292" t="s">
        <v>2870</v>
      </c>
      <c r="G32" s="3292"/>
    </row>
    <row r="33" spans="1:7" ht="19.5" customHeight="1">
      <c r="A33" s="3721"/>
      <c r="B33" s="3714"/>
      <c r="C33" s="739" t="s">
        <v>2830</v>
      </c>
      <c r="D33" s="740"/>
      <c r="E33" s="3293">
        <v>0.8</v>
      </c>
      <c r="F33" s="3292" t="s">
        <v>2871</v>
      </c>
      <c r="G33" s="3292"/>
    </row>
    <row r="34" spans="1:7" ht="19.5" customHeight="1">
      <c r="A34" s="3721"/>
      <c r="B34" s="3714"/>
      <c r="C34" s="739" t="s">
        <v>2831</v>
      </c>
      <c r="D34" s="740"/>
      <c r="E34" s="3293">
        <v>0.6</v>
      </c>
      <c r="F34" s="3292" t="s">
        <v>2872</v>
      </c>
      <c r="G34" s="3292"/>
    </row>
    <row r="35" spans="1:7" ht="19.5" customHeight="1">
      <c r="A35" s="3721"/>
      <c r="B35" s="3714"/>
      <c r="C35" s="739" t="s">
        <v>2832</v>
      </c>
      <c r="D35" s="740"/>
      <c r="E35" s="3293">
        <v>0.2</v>
      </c>
      <c r="F35" s="3292" t="s">
        <v>2873</v>
      </c>
      <c r="G35" s="3292"/>
    </row>
    <row r="36" spans="1:7" ht="19.5" customHeight="1">
      <c r="A36" s="3721"/>
      <c r="B36" s="3714"/>
      <c r="C36" s="739" t="s">
        <v>2833</v>
      </c>
      <c r="D36" s="740"/>
      <c r="E36" s="3293">
        <v>0.2</v>
      </c>
      <c r="F36" s="3292" t="s">
        <v>2874</v>
      </c>
      <c r="G36" s="3292"/>
    </row>
    <row r="37" spans="1:7" ht="19.5" customHeight="1">
      <c r="A37" s="3721"/>
      <c r="B37" s="3712" t="s">
        <v>2834</v>
      </c>
      <c r="C37" s="739" t="s">
        <v>2835</v>
      </c>
      <c r="D37" s="740"/>
      <c r="E37" s="3293">
        <v>0.6</v>
      </c>
      <c r="F37" s="3292" t="s">
        <v>2875</v>
      </c>
      <c r="G37" s="3292"/>
    </row>
    <row r="38" spans="1:7" ht="19.5" customHeight="1">
      <c r="A38" s="3721"/>
      <c r="B38" s="3714"/>
      <c r="C38" s="739" t="s">
        <v>2836</v>
      </c>
      <c r="D38" s="740"/>
      <c r="E38" s="3293">
        <v>0.6</v>
      </c>
      <c r="F38" s="3292" t="s">
        <v>2876</v>
      </c>
      <c r="G38" s="3292"/>
    </row>
    <row r="39" spans="1:7" ht="19.5" customHeight="1" thickBot="1">
      <c r="A39" s="3722"/>
      <c r="B39" s="3719"/>
      <c r="C39" s="3294" t="s">
        <v>2837</v>
      </c>
      <c r="D39" s="3295"/>
      <c r="E39" s="3296">
        <v>0.6</v>
      </c>
      <c r="F39" s="3292" t="s">
        <v>2877</v>
      </c>
      <c r="G39" s="3292"/>
    </row>
    <row r="40" spans="1:7" ht="19.5" customHeight="1" thickBot="1">
      <c r="A40" s="3297" t="s">
        <v>2838</v>
      </c>
      <c r="B40" s="3298" t="s">
        <v>2838</v>
      </c>
      <c r="C40" s="3299" t="s">
        <v>2839</v>
      </c>
      <c r="D40" s="3300"/>
      <c r="E40" s="3301">
        <v>1</v>
      </c>
      <c r="F40" s="3292" t="s">
        <v>2878</v>
      </c>
      <c r="G40" s="3292"/>
    </row>
    <row r="41" spans="1:7" ht="19.5" customHeight="1">
      <c r="A41" s="3715" t="s">
        <v>2840</v>
      </c>
      <c r="B41" s="3718" t="s">
        <v>2841</v>
      </c>
      <c r="C41" s="3289" t="s">
        <v>2842</v>
      </c>
      <c r="D41" s="3290"/>
      <c r="E41" s="3291">
        <v>1</v>
      </c>
      <c r="F41" s="3292" t="s">
        <v>2843</v>
      </c>
      <c r="G41" s="3292"/>
    </row>
    <row r="42" spans="1:7" ht="19.5" customHeight="1">
      <c r="A42" s="3716"/>
      <c r="B42" s="3714"/>
      <c r="C42" s="739" t="s">
        <v>2844</v>
      </c>
      <c r="D42" s="740"/>
      <c r="E42" s="3293">
        <v>1</v>
      </c>
      <c r="F42" s="3292" t="s">
        <v>2845</v>
      </c>
      <c r="G42" s="3292"/>
    </row>
    <row r="43" spans="1:7" ht="19.5" customHeight="1">
      <c r="A43" s="3716"/>
      <c r="B43" s="3713"/>
      <c r="C43" s="739" t="s">
        <v>2846</v>
      </c>
      <c r="D43" s="740"/>
      <c r="E43" s="3293">
        <v>1.5</v>
      </c>
      <c r="F43" s="3292" t="s">
        <v>2847</v>
      </c>
      <c r="G43" s="3292"/>
    </row>
    <row r="44" spans="1:7" ht="19.5" customHeight="1">
      <c r="A44" s="3716"/>
      <c r="B44" s="3302" t="s">
        <v>2807</v>
      </c>
      <c r="C44" s="739" t="s">
        <v>2806</v>
      </c>
      <c r="D44" s="740"/>
      <c r="E44" s="3293">
        <v>2</v>
      </c>
      <c r="F44" s="3292" t="s">
        <v>2848</v>
      </c>
      <c r="G44" s="3292"/>
    </row>
    <row r="45" spans="1:7" ht="19.5" customHeight="1">
      <c r="A45" s="3716"/>
      <c r="B45" s="3712" t="s">
        <v>2849</v>
      </c>
      <c r="C45" s="739" t="s">
        <v>2850</v>
      </c>
      <c r="D45" s="740"/>
      <c r="E45" s="3293">
        <v>1</v>
      </c>
      <c r="F45" s="3292" t="s">
        <v>2851</v>
      </c>
      <c r="G45" s="3292"/>
    </row>
    <row r="46" spans="1:7" ht="19.5" customHeight="1">
      <c r="A46" s="3716"/>
      <c r="B46" s="3714"/>
      <c r="C46" s="739" t="s">
        <v>2852</v>
      </c>
      <c r="D46" s="740"/>
      <c r="E46" s="3293">
        <v>1</v>
      </c>
      <c r="F46" s="3292" t="s">
        <v>2853</v>
      </c>
      <c r="G46" s="3292"/>
    </row>
    <row r="47" spans="1:7" ht="19.5" customHeight="1">
      <c r="A47" s="3716"/>
      <c r="B47" s="3714"/>
      <c r="C47" s="739" t="s">
        <v>2854</v>
      </c>
      <c r="D47" s="740"/>
      <c r="E47" s="3293">
        <v>1</v>
      </c>
      <c r="F47" s="3292" t="s">
        <v>2855</v>
      </c>
      <c r="G47" s="3292"/>
    </row>
    <row r="48" spans="1:7" ht="19.5" customHeight="1">
      <c r="A48" s="3716"/>
      <c r="B48" s="3714"/>
      <c r="C48" s="739" t="s">
        <v>2856</v>
      </c>
      <c r="D48" s="740"/>
      <c r="E48" s="3293">
        <v>1</v>
      </c>
      <c r="F48" s="3292" t="s">
        <v>2857</v>
      </c>
      <c r="G48" s="3292"/>
    </row>
    <row r="49" spans="1:7" ht="19.5" customHeight="1">
      <c r="A49" s="3716"/>
      <c r="B49" s="3714"/>
      <c r="C49" s="739" t="s">
        <v>2858</v>
      </c>
      <c r="D49" s="740"/>
      <c r="E49" s="3293">
        <v>1</v>
      </c>
      <c r="F49" s="3292" t="s">
        <v>2859</v>
      </c>
      <c r="G49" s="3292"/>
    </row>
    <row r="50" spans="1:7" ht="19.5" customHeight="1">
      <c r="A50" s="3716"/>
      <c r="B50" s="3714"/>
      <c r="C50" s="739" t="s">
        <v>2860</v>
      </c>
      <c r="D50" s="740"/>
      <c r="E50" s="3293">
        <v>1</v>
      </c>
      <c r="F50" s="3292" t="s">
        <v>2861</v>
      </c>
      <c r="G50" s="3292"/>
    </row>
    <row r="51" spans="1:7" ht="19.5" customHeight="1" thickBot="1">
      <c r="A51" s="3717"/>
      <c r="B51" s="3719"/>
      <c r="C51" s="3294" t="s">
        <v>2862</v>
      </c>
      <c r="D51" s="3295"/>
      <c r="E51" s="3296">
        <v>1</v>
      </c>
      <c r="F51" s="3292" t="s">
        <v>2863</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2879</v>
      </c>
      <c r="D72" s="3302"/>
      <c r="E72" s="3308" t="s">
        <v>1</v>
      </c>
      <c r="F72" s="3302" t="s">
        <v>1</v>
      </c>
    </row>
    <row r="73" spans="1:7" ht="13.5">
      <c r="A73" s="3302">
        <v>1</v>
      </c>
      <c r="B73" s="3712" t="s">
        <v>2880</v>
      </c>
      <c r="C73" s="3283" t="s">
        <v>2881</v>
      </c>
      <c r="D73" s="3283" t="s">
        <v>2882</v>
      </c>
      <c r="E73" s="3308">
        <v>0.2</v>
      </c>
      <c r="F73" s="3302">
        <v>25</v>
      </c>
    </row>
    <row r="74" spans="1:7" ht="24">
      <c r="A74" s="3302">
        <v>2</v>
      </c>
      <c r="B74" s="3714"/>
      <c r="C74" s="3283" t="s">
        <v>2883</v>
      </c>
      <c r="D74" s="3283" t="s">
        <v>2884</v>
      </c>
      <c r="E74" s="3308">
        <v>0.2</v>
      </c>
      <c r="F74" s="3302">
        <v>25</v>
      </c>
    </row>
    <row r="75" spans="1:7" ht="24">
      <c r="A75" s="3302">
        <v>3</v>
      </c>
      <c r="B75" s="3714"/>
      <c r="C75" s="3283" t="s">
        <v>2885</v>
      </c>
      <c r="D75" s="3283" t="s">
        <v>2886</v>
      </c>
      <c r="E75" s="3308">
        <v>0.2</v>
      </c>
      <c r="F75" s="3302">
        <v>25</v>
      </c>
    </row>
    <row r="76" spans="1:7" ht="13.5">
      <c r="A76" s="3302">
        <v>4</v>
      </c>
      <c r="B76" s="3714"/>
      <c r="C76" s="3283" t="s">
        <v>2887</v>
      </c>
      <c r="D76" s="3283" t="s">
        <v>2888</v>
      </c>
      <c r="E76" s="3308">
        <v>0.15</v>
      </c>
      <c r="F76" s="3302">
        <v>20</v>
      </c>
    </row>
    <row r="77" spans="1:7" ht="24">
      <c r="A77" s="3302">
        <v>5</v>
      </c>
      <c r="B77" s="3714"/>
      <c r="C77" s="3283" t="s">
        <v>2889</v>
      </c>
      <c r="D77" s="3283" t="s">
        <v>2890</v>
      </c>
      <c r="E77" s="3308">
        <v>0.15</v>
      </c>
      <c r="F77" s="3302">
        <v>20</v>
      </c>
    </row>
    <row r="78" spans="1:7" ht="24">
      <c r="A78" s="3302">
        <v>6</v>
      </c>
      <c r="B78" s="3714"/>
      <c r="C78" s="3283" t="s">
        <v>2891</v>
      </c>
      <c r="D78" s="3283" t="s">
        <v>2892</v>
      </c>
      <c r="E78" s="3308">
        <v>0.15</v>
      </c>
      <c r="F78" s="3302">
        <v>20</v>
      </c>
    </row>
    <row r="79" spans="1:7" ht="24">
      <c r="A79" s="3302">
        <v>7</v>
      </c>
      <c r="B79" s="3714"/>
      <c r="C79" s="3283" t="s">
        <v>2893</v>
      </c>
      <c r="D79" s="3283" t="s">
        <v>2894</v>
      </c>
      <c r="E79" s="3308">
        <v>0.15</v>
      </c>
      <c r="F79" s="3302">
        <v>20</v>
      </c>
    </row>
    <row r="80" spans="1:7" ht="24">
      <c r="A80" s="3302">
        <v>8</v>
      </c>
      <c r="B80" s="3714"/>
      <c r="C80" s="3283" t="s">
        <v>2895</v>
      </c>
      <c r="D80" s="3283" t="s">
        <v>2896</v>
      </c>
      <c r="E80" s="3308">
        <v>0.1</v>
      </c>
      <c r="F80" s="3302">
        <v>15</v>
      </c>
    </row>
    <row r="81" spans="1:6" ht="24">
      <c r="A81" s="3302">
        <v>9</v>
      </c>
      <c r="B81" s="3714"/>
      <c r="C81" s="3283" t="s">
        <v>2897</v>
      </c>
      <c r="D81" s="3283" t="s">
        <v>2898</v>
      </c>
      <c r="E81" s="3308">
        <v>0.1</v>
      </c>
      <c r="F81" s="3302">
        <v>15</v>
      </c>
    </row>
    <row r="82" spans="1:6" ht="24">
      <c r="A82" s="3302">
        <v>10</v>
      </c>
      <c r="B82" s="3714"/>
      <c r="C82" s="3283" t="s">
        <v>2899</v>
      </c>
      <c r="D82" s="3283" t="s">
        <v>2900</v>
      </c>
      <c r="E82" s="3308">
        <v>0.1</v>
      </c>
      <c r="F82" s="3302">
        <v>15</v>
      </c>
    </row>
    <row r="83" spans="1:6" ht="24">
      <c r="A83" s="3302">
        <v>11</v>
      </c>
      <c r="B83" s="3714"/>
      <c r="C83" s="3283" t="s">
        <v>2901</v>
      </c>
      <c r="D83" s="3283" t="s">
        <v>2902</v>
      </c>
      <c r="E83" s="3308">
        <v>0.1</v>
      </c>
      <c r="F83" s="3302">
        <v>15</v>
      </c>
    </row>
    <row r="84" spans="1:6" ht="24">
      <c r="A84" s="3302">
        <v>12</v>
      </c>
      <c r="B84" s="3714"/>
      <c r="C84" s="3283" t="s">
        <v>2903</v>
      </c>
      <c r="D84" s="3283" t="s">
        <v>2904</v>
      </c>
      <c r="E84" s="3308">
        <v>0.1</v>
      </c>
      <c r="F84" s="3302">
        <v>15</v>
      </c>
    </row>
    <row r="85" spans="1:6" ht="13.5">
      <c r="A85" s="3302">
        <v>13</v>
      </c>
      <c r="B85" s="3714"/>
      <c r="C85" s="3283" t="s">
        <v>2905</v>
      </c>
      <c r="D85" s="3283" t="s">
        <v>2906</v>
      </c>
      <c r="E85" s="3308">
        <v>0.1</v>
      </c>
      <c r="F85" s="3302">
        <v>15</v>
      </c>
    </row>
    <row r="86" spans="1:6" ht="13.5">
      <c r="A86" s="3302">
        <v>14</v>
      </c>
      <c r="B86" s="3714"/>
      <c r="C86" s="3283" t="s">
        <v>2907</v>
      </c>
      <c r="D86" s="3283" t="s">
        <v>2908</v>
      </c>
      <c r="E86" s="3308">
        <v>0.1</v>
      </c>
      <c r="F86" s="3302">
        <v>15</v>
      </c>
    </row>
    <row r="87" spans="1:6" ht="13.5">
      <c r="A87" s="3302">
        <v>15</v>
      </c>
      <c r="B87" s="3714"/>
      <c r="C87" s="3283" t="s">
        <v>2909</v>
      </c>
      <c r="D87" s="3283" t="s">
        <v>2910</v>
      </c>
      <c r="E87" s="3308">
        <v>0.1</v>
      </c>
      <c r="F87" s="3302">
        <v>15</v>
      </c>
    </row>
    <row r="88" spans="1:6" ht="24">
      <c r="A88" s="3302">
        <v>16</v>
      </c>
      <c r="B88" s="3714"/>
      <c r="C88" s="3283" t="s">
        <v>2911</v>
      </c>
      <c r="D88" s="3283" t="s">
        <v>2912</v>
      </c>
      <c r="E88" s="3308">
        <v>0.1</v>
      </c>
      <c r="F88" s="3302">
        <v>15</v>
      </c>
    </row>
    <row r="89" spans="1:6" ht="24">
      <c r="A89" s="3302">
        <v>17</v>
      </c>
      <c r="B89" s="3713"/>
      <c r="C89" s="3283" t="s">
        <v>2913</v>
      </c>
      <c r="D89" s="3283" t="s">
        <v>2914</v>
      </c>
      <c r="E89" s="3308">
        <v>0.1</v>
      </c>
      <c r="F89" s="3302">
        <v>15</v>
      </c>
    </row>
    <row r="90" spans="1:6" ht="13.5">
      <c r="A90" s="3302">
        <v>18</v>
      </c>
      <c r="B90" s="3712" t="s">
        <v>2915</v>
      </c>
      <c r="C90" s="3283" t="s">
        <v>2916</v>
      </c>
      <c r="D90" s="3283" t="s">
        <v>2917</v>
      </c>
      <c r="E90" s="3308">
        <v>0.2</v>
      </c>
      <c r="F90" s="3302">
        <v>25</v>
      </c>
    </row>
    <row r="91" spans="1:6" ht="24">
      <c r="A91" s="3302">
        <v>19</v>
      </c>
      <c r="B91" s="3714"/>
      <c r="C91" s="3283" t="s">
        <v>2918</v>
      </c>
      <c r="D91" s="3283" t="s">
        <v>2919</v>
      </c>
      <c r="E91" s="3308">
        <v>0.2</v>
      </c>
      <c r="F91" s="3302">
        <v>25</v>
      </c>
    </row>
    <row r="92" spans="1:6" ht="13.5">
      <c r="A92" s="3302">
        <v>20</v>
      </c>
      <c r="B92" s="3714"/>
      <c r="C92" s="3283" t="s">
        <v>2920</v>
      </c>
      <c r="D92" s="3283" t="s">
        <v>2921</v>
      </c>
      <c r="E92" s="3308">
        <v>0.15</v>
      </c>
      <c r="F92" s="3302">
        <v>20</v>
      </c>
    </row>
    <row r="93" spans="1:6" ht="24">
      <c r="A93" s="3302">
        <v>21</v>
      </c>
      <c r="B93" s="3714"/>
      <c r="C93" s="3283" t="s">
        <v>2922</v>
      </c>
      <c r="D93" s="3283" t="s">
        <v>2923</v>
      </c>
      <c r="E93" s="3308">
        <v>0.15</v>
      </c>
      <c r="F93" s="3302">
        <v>20</v>
      </c>
    </row>
    <row r="94" spans="1:6" ht="24">
      <c r="A94" s="3302">
        <v>22</v>
      </c>
      <c r="B94" s="3714"/>
      <c r="C94" s="3283" t="s">
        <v>2924</v>
      </c>
      <c r="D94" s="3283" t="s">
        <v>2925</v>
      </c>
      <c r="E94" s="3308">
        <v>0.15</v>
      </c>
      <c r="F94" s="3302">
        <v>20</v>
      </c>
    </row>
    <row r="95" spans="1:6" ht="36">
      <c r="A95" s="3302">
        <v>23</v>
      </c>
      <c r="B95" s="3714"/>
      <c r="C95" s="3283" t="s">
        <v>2926</v>
      </c>
      <c r="D95" s="3283" t="s">
        <v>2927</v>
      </c>
      <c r="E95" s="3308">
        <v>0.15</v>
      </c>
      <c r="F95" s="3302">
        <v>20</v>
      </c>
    </row>
    <row r="96" spans="1:6" ht="13.5">
      <c r="A96" s="3302">
        <v>24</v>
      </c>
      <c r="B96" s="3714"/>
      <c r="C96" s="3283" t="s">
        <v>2928</v>
      </c>
      <c r="D96" s="3283" t="s">
        <v>2929</v>
      </c>
      <c r="E96" s="3308">
        <v>0.1</v>
      </c>
      <c r="F96" s="3302">
        <v>15</v>
      </c>
    </row>
    <row r="97" spans="1:6" ht="24">
      <c r="A97" s="3302">
        <v>25</v>
      </c>
      <c r="B97" s="3714"/>
      <c r="C97" s="3283" t="s">
        <v>2930</v>
      </c>
      <c r="D97" s="3283" t="s">
        <v>2931</v>
      </c>
      <c r="E97" s="3308">
        <v>0.1</v>
      </c>
      <c r="F97" s="3302">
        <v>15</v>
      </c>
    </row>
    <row r="98" spans="1:6" ht="24">
      <c r="A98" s="3302">
        <v>26</v>
      </c>
      <c r="B98" s="3714"/>
      <c r="C98" s="3283" t="s">
        <v>2932</v>
      </c>
      <c r="D98" s="3283" t="s">
        <v>2933</v>
      </c>
      <c r="E98" s="3308">
        <v>0.1</v>
      </c>
      <c r="F98" s="3302">
        <v>15</v>
      </c>
    </row>
    <row r="99" spans="1:6" ht="24">
      <c r="A99" s="3302">
        <v>27</v>
      </c>
      <c r="B99" s="3714"/>
      <c r="C99" s="3283" t="s">
        <v>2934</v>
      </c>
      <c r="D99" s="3283" t="s">
        <v>2935</v>
      </c>
      <c r="E99" s="3308">
        <v>0.1</v>
      </c>
      <c r="F99" s="3302">
        <v>15</v>
      </c>
    </row>
    <row r="100" spans="1:6" ht="24">
      <c r="A100" s="3302">
        <v>28</v>
      </c>
      <c r="B100" s="3714"/>
      <c r="C100" s="3283" t="s">
        <v>2936</v>
      </c>
      <c r="D100" s="3283" t="s">
        <v>2937</v>
      </c>
      <c r="E100" s="3308">
        <v>0.1</v>
      </c>
      <c r="F100" s="3302">
        <v>15</v>
      </c>
    </row>
    <row r="101" spans="1:6" ht="24">
      <c r="A101" s="3302">
        <v>29</v>
      </c>
      <c r="B101" s="3714"/>
      <c r="C101" s="3283" t="s">
        <v>2938</v>
      </c>
      <c r="D101" s="3283" t="s">
        <v>2939</v>
      </c>
      <c r="E101" s="3308">
        <v>0.1</v>
      </c>
      <c r="F101" s="3302">
        <v>15</v>
      </c>
    </row>
    <row r="102" spans="1:6" ht="24">
      <c r="A102" s="3302">
        <v>30</v>
      </c>
      <c r="B102" s="3714"/>
      <c r="C102" s="3283" t="s">
        <v>2940</v>
      </c>
      <c r="D102" s="3283" t="s">
        <v>2941</v>
      </c>
      <c r="E102" s="3308">
        <v>0.1</v>
      </c>
      <c r="F102" s="3302">
        <v>15</v>
      </c>
    </row>
    <row r="103" spans="1:6" ht="24">
      <c r="A103" s="3302">
        <v>31</v>
      </c>
      <c r="B103" s="3714"/>
      <c r="C103" s="3283" t="s">
        <v>2942</v>
      </c>
      <c r="D103" s="3283" t="s">
        <v>2943</v>
      </c>
      <c r="E103" s="3308">
        <v>0.1</v>
      </c>
      <c r="F103" s="3302">
        <v>15</v>
      </c>
    </row>
    <row r="104" spans="1:6" ht="24">
      <c r="A104" s="3302">
        <v>32</v>
      </c>
      <c r="B104" s="3714"/>
      <c r="C104" s="3283" t="s">
        <v>2944</v>
      </c>
      <c r="D104" s="3283" t="s">
        <v>2945</v>
      </c>
      <c r="E104" s="3308">
        <v>0.1</v>
      </c>
      <c r="F104" s="3302">
        <v>15</v>
      </c>
    </row>
    <row r="105" spans="1:6" ht="24">
      <c r="A105" s="3302">
        <v>33</v>
      </c>
      <c r="B105" s="3714"/>
      <c r="C105" s="3283" t="s">
        <v>2946</v>
      </c>
      <c r="D105" s="3283" t="s">
        <v>2947</v>
      </c>
      <c r="E105" s="3308">
        <v>0.1</v>
      </c>
      <c r="F105" s="3302">
        <v>15</v>
      </c>
    </row>
    <row r="106" spans="1:6" ht="24">
      <c r="A106" s="3302">
        <v>34</v>
      </c>
      <c r="B106" s="3713"/>
      <c r="C106" s="3283" t="s">
        <v>2948</v>
      </c>
      <c r="D106" s="3283" t="s">
        <v>2949</v>
      </c>
      <c r="E106" s="3308">
        <v>0.1</v>
      </c>
      <c r="F106" s="3302">
        <v>15</v>
      </c>
    </row>
    <row r="107" spans="1:6" ht="24">
      <c r="A107" s="3302">
        <v>35</v>
      </c>
      <c r="B107" s="3712" t="s">
        <v>2950</v>
      </c>
      <c r="C107" s="3302" t="s">
        <v>2951</v>
      </c>
      <c r="D107" s="3283" t="s">
        <v>2952</v>
      </c>
      <c r="E107" s="3308">
        <v>0.15</v>
      </c>
      <c r="F107" s="3302">
        <v>20</v>
      </c>
    </row>
    <row r="108" spans="1:6" ht="24">
      <c r="A108" s="3302">
        <v>36</v>
      </c>
      <c r="B108" s="3714"/>
      <c r="C108" s="3302" t="s">
        <v>2953</v>
      </c>
      <c r="D108" s="3283" t="s">
        <v>2954</v>
      </c>
      <c r="E108" s="3308">
        <v>0.15</v>
      </c>
      <c r="F108" s="3302">
        <v>20</v>
      </c>
    </row>
    <row r="109" spans="1:6" ht="24">
      <c r="A109" s="3302">
        <v>37</v>
      </c>
      <c r="B109" s="3714"/>
      <c r="C109" s="3302" t="s">
        <v>2955</v>
      </c>
      <c r="D109" s="3283" t="s">
        <v>2956</v>
      </c>
      <c r="E109" s="3308">
        <v>0.15</v>
      </c>
      <c r="F109" s="3302">
        <v>20</v>
      </c>
    </row>
    <row r="110" spans="1:6" ht="13.5">
      <c r="A110" s="3302">
        <v>38</v>
      </c>
      <c r="B110" s="3714"/>
      <c r="C110" s="3302" t="s">
        <v>2957</v>
      </c>
      <c r="D110" s="3283" t="s">
        <v>2958</v>
      </c>
      <c r="E110" s="3308">
        <v>0.1</v>
      </c>
      <c r="F110" s="3302">
        <v>15</v>
      </c>
    </row>
    <row r="111" spans="1:6" ht="24">
      <c r="A111" s="3302">
        <v>39</v>
      </c>
      <c r="B111" s="3714"/>
      <c r="C111" s="3302" t="s">
        <v>2959</v>
      </c>
      <c r="D111" s="3283" t="s">
        <v>2960</v>
      </c>
      <c r="E111" s="3308">
        <v>0.1</v>
      </c>
      <c r="F111" s="3302">
        <v>15</v>
      </c>
    </row>
    <row r="112" spans="1:6" ht="24">
      <c r="A112" s="3302">
        <v>40</v>
      </c>
      <c r="B112" s="3713"/>
      <c r="C112" s="3302" t="s">
        <v>2961</v>
      </c>
      <c r="D112" s="3283" t="s">
        <v>2962</v>
      </c>
      <c r="E112" s="3308">
        <v>0.1</v>
      </c>
      <c r="F112" s="3302">
        <v>15</v>
      </c>
    </row>
    <row r="113" spans="1:6" ht="24">
      <c r="A113" s="3302">
        <v>41</v>
      </c>
      <c r="B113" s="3711" t="s">
        <v>2963</v>
      </c>
      <c r="C113" s="3302" t="s">
        <v>2964</v>
      </c>
      <c r="D113" s="3283" t="s">
        <v>2965</v>
      </c>
      <c r="E113" s="3308">
        <v>0.1</v>
      </c>
      <c r="F113" s="3302">
        <v>15</v>
      </c>
    </row>
    <row r="114" spans="1:6" ht="13.5">
      <c r="A114" s="3302">
        <v>42</v>
      </c>
      <c r="B114" s="3711"/>
      <c r="C114" s="3302" t="s">
        <v>2966</v>
      </c>
      <c r="D114" s="3283" t="s">
        <v>2967</v>
      </c>
      <c r="E114" s="3308">
        <v>0.1</v>
      </c>
      <c r="F114" s="3302">
        <v>15</v>
      </c>
    </row>
    <row r="115" spans="1:6" ht="24">
      <c r="A115" s="3302">
        <v>43</v>
      </c>
      <c r="B115" s="3711"/>
      <c r="C115" s="3302" t="s">
        <v>2968</v>
      </c>
      <c r="D115" s="3283" t="s">
        <v>2969</v>
      </c>
      <c r="E115" s="3308">
        <v>0.1</v>
      </c>
      <c r="F115" s="3302">
        <v>15</v>
      </c>
    </row>
    <row r="116" spans="1:6" ht="24">
      <c r="A116" s="3302">
        <v>44</v>
      </c>
      <c r="B116" s="3712" t="s">
        <v>2970</v>
      </c>
      <c r="C116" s="3302" t="s">
        <v>2971</v>
      </c>
      <c r="D116" s="3283" t="s">
        <v>2972</v>
      </c>
      <c r="E116" s="3308">
        <v>0.1</v>
      </c>
      <c r="F116" s="3302">
        <v>15</v>
      </c>
    </row>
    <row r="117" spans="1:6" ht="24">
      <c r="A117" s="3302">
        <v>45</v>
      </c>
      <c r="B117" s="3713"/>
      <c r="C117" s="3283" t="s">
        <v>2973</v>
      </c>
      <c r="D117" s="3283" t="s">
        <v>2974</v>
      </c>
      <c r="E117" s="3308">
        <v>0.1</v>
      </c>
      <c r="F117" s="3302">
        <v>15</v>
      </c>
    </row>
    <row r="118" spans="1:6" ht="24">
      <c r="A118" s="3302">
        <v>46</v>
      </c>
      <c r="B118" s="3712" t="s">
        <v>2975</v>
      </c>
      <c r="C118" s="3302" t="s">
        <v>2976</v>
      </c>
      <c r="D118" s="3283" t="s">
        <v>2977</v>
      </c>
      <c r="E118" s="3308">
        <v>0.1</v>
      </c>
      <c r="F118" s="3302">
        <v>15</v>
      </c>
    </row>
    <row r="119" spans="1:6" ht="24">
      <c r="A119" s="3302">
        <v>47</v>
      </c>
      <c r="B119" s="3713"/>
      <c r="C119" s="3302" t="s">
        <v>2978</v>
      </c>
      <c r="D119" s="3283" t="s">
        <v>2979</v>
      </c>
      <c r="E119" s="3308">
        <v>0.1</v>
      </c>
      <c r="F119" s="3302">
        <v>15</v>
      </c>
    </row>
    <row r="120" spans="1:6" ht="24">
      <c r="A120" s="3302">
        <v>48</v>
      </c>
      <c r="B120" s="3712" t="s">
        <v>2980</v>
      </c>
      <c r="C120" s="3302" t="s">
        <v>2981</v>
      </c>
      <c r="D120" s="3283" t="s">
        <v>2982</v>
      </c>
      <c r="E120" s="3308">
        <v>0.1</v>
      </c>
      <c r="F120" s="3302">
        <v>15</v>
      </c>
    </row>
    <row r="121" spans="1:6" ht="13.5">
      <c r="A121" s="3302">
        <v>49</v>
      </c>
      <c r="B121" s="3713"/>
      <c r="C121" s="3302" t="s">
        <v>2983</v>
      </c>
      <c r="D121" s="3283" t="s">
        <v>2984</v>
      </c>
      <c r="E121" s="3308">
        <v>0.1</v>
      </c>
      <c r="F121" s="3302">
        <v>15</v>
      </c>
    </row>
    <row r="122" spans="1:6" ht="24">
      <c r="A122" s="3302">
        <v>50</v>
      </c>
      <c r="B122" s="3711" t="s">
        <v>2985</v>
      </c>
      <c r="C122" s="3302" t="s">
        <v>2986</v>
      </c>
      <c r="D122" s="3283" t="s">
        <v>2987</v>
      </c>
      <c r="E122" s="3308">
        <v>0.1</v>
      </c>
      <c r="F122" s="3302">
        <v>15</v>
      </c>
    </row>
    <row r="123" spans="1:6" ht="24">
      <c r="A123" s="3302">
        <v>51</v>
      </c>
      <c r="B123" s="3711"/>
      <c r="C123" s="3302" t="s">
        <v>2988</v>
      </c>
      <c r="D123" s="3283" t="s">
        <v>2989</v>
      </c>
      <c r="E123" s="3308">
        <v>0.1</v>
      </c>
      <c r="F123" s="3302">
        <v>15</v>
      </c>
    </row>
    <row r="124" spans="1:6" ht="24">
      <c r="A124" s="3302">
        <v>52</v>
      </c>
      <c r="B124" s="3711" t="s">
        <v>2990</v>
      </c>
      <c r="C124" s="3302" t="s">
        <v>2991</v>
      </c>
      <c r="D124" s="3283" t="s">
        <v>2992</v>
      </c>
      <c r="E124" s="3308">
        <v>0.1</v>
      </c>
      <c r="F124" s="3302">
        <v>15</v>
      </c>
    </row>
    <row r="125" spans="1:6" ht="24">
      <c r="A125" s="3302">
        <v>53</v>
      </c>
      <c r="B125" s="3711"/>
      <c r="C125" s="3302" t="s">
        <v>2993</v>
      </c>
      <c r="D125" s="3283" t="s">
        <v>2994</v>
      </c>
      <c r="E125" s="3308">
        <v>0.1</v>
      </c>
      <c r="F125" s="3302">
        <v>15</v>
      </c>
    </row>
    <row r="126" spans="1:6" ht="24">
      <c r="A126" s="3302">
        <v>54</v>
      </c>
      <c r="B126" s="3302" t="s">
        <v>2995</v>
      </c>
      <c r="C126" s="3302" t="s">
        <v>2996</v>
      </c>
      <c r="D126" s="3283" t="s">
        <v>2997</v>
      </c>
      <c r="E126" s="3308">
        <v>0.1</v>
      </c>
      <c r="F126" s="3302">
        <v>15</v>
      </c>
    </row>
    <row r="127" spans="1:6" ht="13.5">
      <c r="A127" s="3302">
        <v>55</v>
      </c>
      <c r="B127" s="3711" t="s">
        <v>2998</v>
      </c>
      <c r="C127" s="3302" t="s">
        <v>2999</v>
      </c>
      <c r="D127" s="3283" t="s">
        <v>3000</v>
      </c>
      <c r="E127" s="3308">
        <v>0.1</v>
      </c>
      <c r="F127" s="3302">
        <v>15</v>
      </c>
    </row>
    <row r="128" spans="1:6" ht="13.5">
      <c r="A128" s="3302">
        <v>56</v>
      </c>
      <c r="B128" s="3711"/>
      <c r="C128" s="3302" t="s">
        <v>3001</v>
      </c>
      <c r="D128" s="3283" t="s">
        <v>3002</v>
      </c>
      <c r="E128" s="3308">
        <v>0.1</v>
      </c>
      <c r="F128" s="3302">
        <v>15</v>
      </c>
    </row>
    <row r="129" spans="1:6" ht="24">
      <c r="A129" s="3302">
        <v>57</v>
      </c>
      <c r="B129" s="3711"/>
      <c r="C129" s="3302" t="s">
        <v>3003</v>
      </c>
      <c r="D129" s="3283" t="s">
        <v>3004</v>
      </c>
      <c r="E129" s="3308">
        <v>0.1</v>
      </c>
      <c r="F129" s="3302">
        <v>15</v>
      </c>
    </row>
    <row r="130" spans="1:6" ht="24">
      <c r="A130" s="3302">
        <v>58</v>
      </c>
      <c r="B130" s="3711" t="s">
        <v>3005</v>
      </c>
      <c r="C130" s="3302" t="s">
        <v>3006</v>
      </c>
      <c r="D130" s="3283" t="s">
        <v>3007</v>
      </c>
      <c r="E130" s="3308">
        <v>0.1</v>
      </c>
      <c r="F130" s="3302">
        <v>15</v>
      </c>
    </row>
    <row r="131" spans="1:6" ht="24">
      <c r="A131" s="3302">
        <v>59</v>
      </c>
      <c r="B131" s="3711"/>
      <c r="C131" s="3302" t="s">
        <v>3008</v>
      </c>
      <c r="D131" s="3283" t="s">
        <v>3009</v>
      </c>
      <c r="E131" s="3308">
        <v>0.1</v>
      </c>
      <c r="F131" s="3302">
        <v>15</v>
      </c>
    </row>
    <row r="132" spans="1:6" ht="24">
      <c r="A132" s="3302">
        <v>60</v>
      </c>
      <c r="B132" s="3712" t="s">
        <v>3010</v>
      </c>
      <c r="C132" s="3302" t="s">
        <v>3011</v>
      </c>
      <c r="D132" s="3283" t="s">
        <v>3012</v>
      </c>
      <c r="E132" s="3308">
        <v>0.1</v>
      </c>
      <c r="F132" s="3302">
        <v>15</v>
      </c>
    </row>
    <row r="133" spans="1:6" ht="24">
      <c r="A133" s="3302">
        <v>61</v>
      </c>
      <c r="B133" s="3713"/>
      <c r="C133" s="3302" t="s">
        <v>3013</v>
      </c>
      <c r="D133" s="3283" t="s">
        <v>3014</v>
      </c>
      <c r="E133" s="3308">
        <v>0.1</v>
      </c>
      <c r="F133" s="3302">
        <v>15</v>
      </c>
    </row>
    <row r="134" spans="1:6" ht="24">
      <c r="A134" s="3302">
        <v>62</v>
      </c>
      <c r="B134" s="3302" t="s">
        <v>3015</v>
      </c>
      <c r="C134" s="3302" t="s">
        <v>3016</v>
      </c>
      <c r="D134" s="3283" t="s">
        <v>3017</v>
      </c>
      <c r="E134" s="3308">
        <v>0.1</v>
      </c>
      <c r="F134" s="3302">
        <v>15</v>
      </c>
    </row>
    <row r="135" spans="1:6" ht="24">
      <c r="A135" s="3302">
        <v>63</v>
      </c>
      <c r="B135" s="3711" t="s">
        <v>3018</v>
      </c>
      <c r="C135" s="3302" t="s">
        <v>3019</v>
      </c>
      <c r="D135" s="3283" t="s">
        <v>3020</v>
      </c>
      <c r="E135" s="3308">
        <v>0.1</v>
      </c>
      <c r="F135" s="3302">
        <v>15</v>
      </c>
    </row>
    <row r="136" spans="1:6" ht="13.5">
      <c r="A136" s="3302">
        <v>64</v>
      </c>
      <c r="B136" s="3711"/>
      <c r="C136" s="3302" t="s">
        <v>3021</v>
      </c>
      <c r="D136" s="3283" t="s">
        <v>3022</v>
      </c>
      <c r="E136" s="3308">
        <v>0.1</v>
      </c>
      <c r="F136" s="3302">
        <v>15</v>
      </c>
    </row>
    <row r="137" spans="1:6" ht="24">
      <c r="A137" s="3302">
        <v>65</v>
      </c>
      <c r="B137" s="3302" t="s">
        <v>3023</v>
      </c>
      <c r="C137" s="3302" t="s">
        <v>3024</v>
      </c>
      <c r="D137" s="3283" t="s">
        <v>3025</v>
      </c>
      <c r="E137" s="3308">
        <v>0.1</v>
      </c>
      <c r="F137" s="3302">
        <v>15</v>
      </c>
    </row>
    <row r="138" spans="1:6" ht="13.5">
      <c r="A138" s="3302"/>
      <c r="B138" s="3302"/>
      <c r="C138" s="3302"/>
      <c r="D138" s="3302"/>
      <c r="E138" s="3308"/>
      <c r="F138" s="3302"/>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1"/>
    <col min="2" max="16384" width="9" style="743"/>
  </cols>
  <sheetData>
    <row r="1" spans="1:14" ht="14.25">
      <c r="A1" s="741" t="s">
        <v>525</v>
      </c>
      <c r="B1" s="742"/>
      <c r="C1" s="742"/>
      <c r="D1" s="742"/>
      <c r="E1" s="742"/>
      <c r="F1" s="742"/>
      <c r="G1" s="742"/>
      <c r="H1" s="742"/>
      <c r="I1" s="742"/>
      <c r="J1" s="742"/>
      <c r="K1" s="742"/>
      <c r="L1" s="742"/>
      <c r="M1" s="742"/>
      <c r="N1" s="742"/>
    </row>
    <row r="2" spans="1:14">
      <c r="A2" s="744" t="s">
        <v>524</v>
      </c>
      <c r="B2" s="745" t="s">
        <v>106</v>
      </c>
      <c r="C2" s="745" t="s">
        <v>107</v>
      </c>
      <c r="D2" s="745" t="s">
        <v>108</v>
      </c>
      <c r="E2" s="745" t="s">
        <v>109</v>
      </c>
      <c r="F2" s="745" t="s">
        <v>110</v>
      </c>
      <c r="G2" s="745" t="s">
        <v>111</v>
      </c>
      <c r="H2" s="746" t="s">
        <v>112</v>
      </c>
      <c r="I2" s="746" t="s">
        <v>113</v>
      </c>
      <c r="J2" s="747" t="s">
        <v>114</v>
      </c>
      <c r="K2" s="747" t="s">
        <v>115</v>
      </c>
      <c r="L2" s="747" t="s">
        <v>116</v>
      </c>
      <c r="M2" s="747" t="s">
        <v>117</v>
      </c>
    </row>
    <row r="3" spans="1:14">
      <c r="A3" s="744">
        <v>0.1</v>
      </c>
      <c r="B3" s="748">
        <v>15.052</v>
      </c>
      <c r="C3" s="748">
        <v>15.052</v>
      </c>
      <c r="D3" s="748">
        <v>14.263</v>
      </c>
      <c r="E3" s="748">
        <v>14.263</v>
      </c>
      <c r="F3" s="748">
        <v>14.263</v>
      </c>
      <c r="G3" s="748">
        <v>14.263</v>
      </c>
      <c r="H3" s="748">
        <v>14.263</v>
      </c>
      <c r="I3" s="748">
        <v>14.097</v>
      </c>
      <c r="J3" s="748">
        <v>14.097</v>
      </c>
      <c r="K3" s="748">
        <v>14.097</v>
      </c>
      <c r="L3" s="748">
        <v>14.097</v>
      </c>
      <c r="M3" s="748">
        <v>14.097</v>
      </c>
      <c r="N3" s="749"/>
    </row>
    <row r="4" spans="1:14">
      <c r="A4" s="744">
        <v>0.2</v>
      </c>
      <c r="B4" s="748">
        <v>7.5259999999999998</v>
      </c>
      <c r="C4" s="748">
        <v>7.5259999999999998</v>
      </c>
      <c r="D4" s="748">
        <v>7.1315</v>
      </c>
      <c r="E4" s="748">
        <v>7.1315</v>
      </c>
      <c r="F4" s="748">
        <v>7.1315</v>
      </c>
      <c r="G4" s="748">
        <v>7.1315</v>
      </c>
      <c r="H4" s="748">
        <v>7.1315</v>
      </c>
      <c r="I4" s="748">
        <v>7.0484999999999998</v>
      </c>
      <c r="J4" s="748">
        <v>7.0484999999999998</v>
      </c>
      <c r="K4" s="748">
        <v>7.0484999999999998</v>
      </c>
      <c r="L4" s="748">
        <v>7.0484999999999998</v>
      </c>
      <c r="M4" s="748">
        <v>7.0484999999999998</v>
      </c>
    </row>
    <row r="5" spans="1:14">
      <c r="A5" s="744">
        <v>0.3</v>
      </c>
      <c r="B5" s="748">
        <v>5.0172999999999996</v>
      </c>
      <c r="C5" s="748">
        <v>5.0172999999999996</v>
      </c>
      <c r="D5" s="748">
        <v>4.7542999999999997</v>
      </c>
      <c r="E5" s="748">
        <v>4.7542999999999997</v>
      </c>
      <c r="F5" s="748">
        <v>4.7542999999999997</v>
      </c>
      <c r="G5" s="748">
        <v>4.7542999999999997</v>
      </c>
      <c r="H5" s="748">
        <v>4.7542999999999997</v>
      </c>
      <c r="I5" s="748">
        <v>4.6989999999999998</v>
      </c>
      <c r="J5" s="748">
        <v>4.6989999999999998</v>
      </c>
      <c r="K5" s="748">
        <v>4.6989999999999998</v>
      </c>
      <c r="L5" s="748">
        <v>4.6989999999999998</v>
      </c>
      <c r="M5" s="748">
        <v>4.6989999999999998</v>
      </c>
    </row>
    <row r="6" spans="1:14">
      <c r="A6" s="744">
        <v>0.4</v>
      </c>
      <c r="B6" s="748">
        <v>3.7629999999999999</v>
      </c>
      <c r="C6" s="748">
        <v>3.7629999999999999</v>
      </c>
      <c r="D6" s="748">
        <v>3.5657999999999999</v>
      </c>
      <c r="E6" s="748">
        <v>3.5657999999999999</v>
      </c>
      <c r="F6" s="748">
        <v>3.5657999999999999</v>
      </c>
      <c r="G6" s="748">
        <v>3.5657999999999999</v>
      </c>
      <c r="H6" s="748">
        <v>3.5657999999999999</v>
      </c>
      <c r="I6" s="748">
        <v>3.5243000000000002</v>
      </c>
      <c r="J6" s="748">
        <v>3.5243000000000002</v>
      </c>
      <c r="K6" s="748">
        <v>3.5243000000000002</v>
      </c>
      <c r="L6" s="748">
        <v>3.5243000000000002</v>
      </c>
      <c r="M6" s="748">
        <v>3.5243000000000002</v>
      </c>
    </row>
    <row r="7" spans="1:14">
      <c r="A7" s="744">
        <v>0.5</v>
      </c>
      <c r="B7" s="748">
        <v>3.0104000000000002</v>
      </c>
      <c r="C7" s="748">
        <v>3.0104000000000002</v>
      </c>
      <c r="D7" s="748">
        <v>2.8525999999999998</v>
      </c>
      <c r="E7" s="748">
        <v>2.8525999999999998</v>
      </c>
      <c r="F7" s="748">
        <v>2.8525999999999998</v>
      </c>
      <c r="G7" s="748">
        <v>2.8525999999999998</v>
      </c>
      <c r="H7" s="748">
        <v>2.8525999999999998</v>
      </c>
      <c r="I7" s="748">
        <v>2.8193999999999999</v>
      </c>
      <c r="J7" s="748">
        <v>2.8193999999999999</v>
      </c>
      <c r="K7" s="748">
        <v>2.8193999999999999</v>
      </c>
      <c r="L7" s="748">
        <v>2.8193999999999999</v>
      </c>
      <c r="M7" s="748">
        <v>2.8193999999999999</v>
      </c>
    </row>
    <row r="8" spans="1:14">
      <c r="A8" s="744">
        <v>0.6</v>
      </c>
      <c r="B8" s="748">
        <v>2.5087000000000002</v>
      </c>
      <c r="C8" s="748">
        <v>2.5087000000000002</v>
      </c>
      <c r="D8" s="748">
        <v>2.3772000000000002</v>
      </c>
      <c r="E8" s="748">
        <v>2.3772000000000002</v>
      </c>
      <c r="F8" s="748">
        <v>2.3772000000000002</v>
      </c>
      <c r="G8" s="748">
        <v>2.3772000000000002</v>
      </c>
      <c r="H8" s="748">
        <v>2.3772000000000002</v>
      </c>
      <c r="I8" s="748">
        <v>2.3494999999999999</v>
      </c>
      <c r="J8" s="748">
        <v>2.3494999999999999</v>
      </c>
      <c r="K8" s="748">
        <v>2.3494999999999999</v>
      </c>
      <c r="L8" s="748">
        <v>2.3494999999999999</v>
      </c>
      <c r="M8" s="748">
        <v>2.3494999999999999</v>
      </c>
    </row>
    <row r="9" spans="1:14">
      <c r="A9" s="744">
        <v>0.7</v>
      </c>
      <c r="B9" s="748">
        <v>2.1503000000000001</v>
      </c>
      <c r="C9" s="748">
        <v>2.1503000000000001</v>
      </c>
      <c r="D9" s="748">
        <v>2.0375999999999999</v>
      </c>
      <c r="E9" s="748">
        <v>2.0375999999999999</v>
      </c>
      <c r="F9" s="748">
        <v>2.0375999999999999</v>
      </c>
      <c r="G9" s="748">
        <v>2.0375999999999999</v>
      </c>
      <c r="H9" s="748">
        <v>2.0375999999999999</v>
      </c>
      <c r="I9" s="748">
        <v>2.0139</v>
      </c>
      <c r="J9" s="748">
        <v>2.0139</v>
      </c>
      <c r="K9" s="748">
        <v>2.0139</v>
      </c>
      <c r="L9" s="748">
        <v>2.0139</v>
      </c>
      <c r="M9" s="748">
        <v>2.0139</v>
      </c>
    </row>
    <row r="10" spans="1:14">
      <c r="A10" s="744">
        <v>0.8</v>
      </c>
      <c r="B10" s="748">
        <v>1.8815</v>
      </c>
      <c r="C10" s="748">
        <v>1.8815</v>
      </c>
      <c r="D10" s="748">
        <v>1.7828999999999999</v>
      </c>
      <c r="E10" s="748">
        <v>1.7828999999999999</v>
      </c>
      <c r="F10" s="748">
        <v>1.7828999999999999</v>
      </c>
      <c r="G10" s="748">
        <v>1.7828999999999999</v>
      </c>
      <c r="H10" s="748">
        <v>1.7828999999999999</v>
      </c>
      <c r="I10" s="748">
        <v>1.7621</v>
      </c>
      <c r="J10" s="748">
        <v>1.7621</v>
      </c>
      <c r="K10" s="748">
        <v>1.7621</v>
      </c>
      <c r="L10" s="748">
        <v>1.7621</v>
      </c>
      <c r="M10" s="748">
        <v>1.7621</v>
      </c>
    </row>
    <row r="11" spans="1:14">
      <c r="A11" s="744">
        <v>0.9</v>
      </c>
      <c r="B11" s="748">
        <v>1.6724000000000001</v>
      </c>
      <c r="C11" s="748">
        <v>1.6724000000000001</v>
      </c>
      <c r="D11" s="748">
        <v>1.5848</v>
      </c>
      <c r="E11" s="748">
        <v>1.5848</v>
      </c>
      <c r="F11" s="748">
        <v>1.5848</v>
      </c>
      <c r="G11" s="748">
        <v>1.5848</v>
      </c>
      <c r="H11" s="748">
        <v>1.5848</v>
      </c>
      <c r="I11" s="748">
        <v>1.5663</v>
      </c>
      <c r="J11" s="748">
        <v>1.5663</v>
      </c>
      <c r="K11" s="748">
        <v>1.5663</v>
      </c>
      <c r="L11" s="748">
        <v>1.5663</v>
      </c>
      <c r="M11" s="748">
        <v>1.5663</v>
      </c>
    </row>
    <row r="12" spans="1:14">
      <c r="A12" s="744">
        <v>1</v>
      </c>
      <c r="B12" s="748">
        <v>1.5052000000000001</v>
      </c>
      <c r="C12" s="748">
        <v>1.5052000000000001</v>
      </c>
      <c r="D12" s="748">
        <v>1.4262999999999999</v>
      </c>
      <c r="E12" s="748">
        <v>1.4262999999999999</v>
      </c>
      <c r="F12" s="748">
        <v>1.4262999999999999</v>
      </c>
      <c r="G12" s="748">
        <v>1.4262999999999999</v>
      </c>
      <c r="H12" s="748">
        <v>1.4262999999999999</v>
      </c>
      <c r="I12" s="748">
        <v>1.4097</v>
      </c>
      <c r="J12" s="748">
        <v>1.4097</v>
      </c>
      <c r="K12" s="748">
        <v>1.4097</v>
      </c>
      <c r="L12" s="748">
        <v>1.4097</v>
      </c>
      <c r="M12" s="748">
        <v>1.4097</v>
      </c>
    </row>
    <row r="13" spans="1:14">
      <c r="A13" s="744">
        <v>1.1000000000000001</v>
      </c>
      <c r="B13" s="748">
        <v>1.4509000000000001</v>
      </c>
      <c r="C13" s="748">
        <v>1.4509000000000001</v>
      </c>
      <c r="D13" s="748">
        <v>1.3697999999999999</v>
      </c>
      <c r="E13" s="748">
        <v>1.3697999999999999</v>
      </c>
      <c r="F13" s="748">
        <v>1.3697999999999999</v>
      </c>
      <c r="G13" s="748">
        <v>1.3697999999999999</v>
      </c>
      <c r="H13" s="748">
        <v>1.3697999999999999</v>
      </c>
      <c r="I13" s="748">
        <v>1.343</v>
      </c>
      <c r="J13" s="748">
        <v>1.343</v>
      </c>
      <c r="K13" s="748">
        <v>1.343</v>
      </c>
      <c r="L13" s="748">
        <v>1.343</v>
      </c>
      <c r="M13" s="748">
        <v>1.343</v>
      </c>
    </row>
    <row r="14" spans="1:14">
      <c r="A14" s="744">
        <v>1.2</v>
      </c>
      <c r="B14" s="748">
        <v>1.4035</v>
      </c>
      <c r="C14" s="748">
        <v>1.4035</v>
      </c>
      <c r="D14" s="748">
        <v>1.3205</v>
      </c>
      <c r="E14" s="748">
        <v>1.3205</v>
      </c>
      <c r="F14" s="748">
        <v>1.3205</v>
      </c>
      <c r="G14" s="748">
        <v>1.3205</v>
      </c>
      <c r="H14" s="748">
        <v>1.3205</v>
      </c>
      <c r="I14" s="748">
        <v>1.2845</v>
      </c>
      <c r="J14" s="748">
        <v>1.2845</v>
      </c>
      <c r="K14" s="748">
        <v>1.2845</v>
      </c>
      <c r="L14" s="748">
        <v>1.2845</v>
      </c>
      <c r="M14" s="748">
        <v>1.2845</v>
      </c>
    </row>
    <row r="15" spans="1:14">
      <c r="A15" s="744">
        <v>1.3</v>
      </c>
      <c r="B15" s="748">
        <v>1.3622000000000001</v>
      </c>
      <c r="C15" s="748">
        <v>1.3622000000000001</v>
      </c>
      <c r="D15" s="748">
        <v>1.2775000000000001</v>
      </c>
      <c r="E15" s="748">
        <v>1.2775000000000001</v>
      </c>
      <c r="F15" s="748">
        <v>1.2775000000000001</v>
      </c>
      <c r="G15" s="748">
        <v>1.2775000000000001</v>
      </c>
      <c r="H15" s="748">
        <v>1.2775000000000001</v>
      </c>
      <c r="I15" s="748">
        <v>1.2332000000000001</v>
      </c>
      <c r="J15" s="748">
        <v>1.2332000000000001</v>
      </c>
      <c r="K15" s="748">
        <v>1.2332000000000001</v>
      </c>
      <c r="L15" s="748">
        <v>1.2332000000000001</v>
      </c>
      <c r="M15" s="748">
        <v>1.2332000000000001</v>
      </c>
    </row>
    <row r="16" spans="1:14">
      <c r="A16" s="744">
        <v>1.4</v>
      </c>
      <c r="B16" s="748">
        <v>1.3262</v>
      </c>
      <c r="C16" s="748">
        <v>1.3262</v>
      </c>
      <c r="D16" s="748">
        <v>1.2402</v>
      </c>
      <c r="E16" s="748">
        <v>1.2402</v>
      </c>
      <c r="F16" s="748">
        <v>1.2402</v>
      </c>
      <c r="G16" s="748">
        <v>1.2402</v>
      </c>
      <c r="H16" s="748">
        <v>1.2402</v>
      </c>
      <c r="I16" s="748">
        <v>1.1881999999999999</v>
      </c>
      <c r="J16" s="748">
        <v>1.1881999999999999</v>
      </c>
      <c r="K16" s="748">
        <v>1.1881999999999999</v>
      </c>
      <c r="L16" s="748">
        <v>1.1881999999999999</v>
      </c>
      <c r="M16" s="748">
        <v>1.1881999999999999</v>
      </c>
      <c r="N16" s="749"/>
    </row>
    <row r="17" spans="1:14">
      <c r="A17" s="744">
        <v>1.5</v>
      </c>
      <c r="B17" s="748">
        <v>1.2948</v>
      </c>
      <c r="C17" s="748">
        <v>1.2948</v>
      </c>
      <c r="D17" s="748">
        <v>1.2075</v>
      </c>
      <c r="E17" s="748">
        <v>1.2075</v>
      </c>
      <c r="F17" s="748">
        <v>1.2075</v>
      </c>
      <c r="G17" s="748">
        <v>1.2075</v>
      </c>
      <c r="H17" s="748">
        <v>1.2075</v>
      </c>
      <c r="I17" s="748">
        <v>1.1486000000000001</v>
      </c>
      <c r="J17" s="748">
        <v>1.1486000000000001</v>
      </c>
      <c r="K17" s="748">
        <v>1.1486000000000001</v>
      </c>
      <c r="L17" s="748">
        <v>1.1486000000000001</v>
      </c>
      <c r="M17" s="748">
        <v>1.1486000000000001</v>
      </c>
      <c r="N17" s="749"/>
    </row>
    <row r="18" spans="1:14">
      <c r="A18" s="744">
        <v>1.6</v>
      </c>
      <c r="B18" s="748">
        <v>1.2673000000000001</v>
      </c>
      <c r="C18" s="748">
        <v>1.2673000000000001</v>
      </c>
      <c r="D18" s="748">
        <v>1.1789000000000001</v>
      </c>
      <c r="E18" s="748">
        <v>1.1789000000000001</v>
      </c>
      <c r="F18" s="748">
        <v>1.1789000000000001</v>
      </c>
      <c r="G18" s="748">
        <v>1.1789000000000001</v>
      </c>
      <c r="H18" s="748">
        <v>1.1789000000000001</v>
      </c>
      <c r="I18" s="748">
        <v>1.1134999999999999</v>
      </c>
      <c r="J18" s="748">
        <v>1.1134999999999999</v>
      </c>
      <c r="K18" s="748">
        <v>1.1134999999999999</v>
      </c>
      <c r="L18" s="748">
        <v>1.1134999999999999</v>
      </c>
      <c r="M18" s="748">
        <v>1.1134999999999999</v>
      </c>
    </row>
    <row r="19" spans="1:14">
      <c r="A19" s="744">
        <v>1.7</v>
      </c>
      <c r="B19" s="748">
        <v>1.2428999999999999</v>
      </c>
      <c r="C19" s="748">
        <v>1.2428999999999999</v>
      </c>
      <c r="D19" s="748">
        <v>1.1534</v>
      </c>
      <c r="E19" s="748">
        <v>1.1534</v>
      </c>
      <c r="F19" s="748">
        <v>1.1534</v>
      </c>
      <c r="G19" s="748">
        <v>1.1534</v>
      </c>
      <c r="H19" s="748">
        <v>1.1534</v>
      </c>
      <c r="I19" s="748">
        <v>1.0820000000000001</v>
      </c>
      <c r="J19" s="748">
        <v>1.0820000000000001</v>
      </c>
      <c r="K19" s="748">
        <v>1.0820000000000001</v>
      </c>
      <c r="L19" s="748">
        <v>1.0820000000000001</v>
      </c>
      <c r="M19" s="748">
        <v>1.0820000000000001</v>
      </c>
    </row>
    <row r="20" spans="1:14">
      <c r="A20" s="744">
        <v>1.8</v>
      </c>
      <c r="B20" s="748">
        <v>1.2206999999999999</v>
      </c>
      <c r="C20" s="748">
        <v>1.2206999999999999</v>
      </c>
      <c r="D20" s="748">
        <v>1.1304000000000001</v>
      </c>
      <c r="E20" s="748">
        <v>1.1304000000000001</v>
      </c>
      <c r="F20" s="748">
        <v>1.1304000000000001</v>
      </c>
      <c r="G20" s="748">
        <v>1.1304000000000001</v>
      </c>
      <c r="H20" s="748">
        <v>1.1304000000000001</v>
      </c>
      <c r="I20" s="748">
        <v>1.0531999999999999</v>
      </c>
      <c r="J20" s="748">
        <v>1.0531999999999999</v>
      </c>
      <c r="K20" s="748">
        <v>1.0531999999999999</v>
      </c>
      <c r="L20" s="748">
        <v>1.0531999999999999</v>
      </c>
      <c r="M20" s="748">
        <v>1.0531999999999999</v>
      </c>
    </row>
    <row r="21" spans="1:14">
      <c r="A21" s="744">
        <v>1.9</v>
      </c>
      <c r="B21" s="748">
        <v>1.2</v>
      </c>
      <c r="C21" s="748">
        <v>1.2</v>
      </c>
      <c r="D21" s="748">
        <v>1.1089</v>
      </c>
      <c r="E21" s="748">
        <v>1.1089</v>
      </c>
      <c r="F21" s="748">
        <v>1.1089</v>
      </c>
      <c r="G21" s="748">
        <v>1.1089</v>
      </c>
      <c r="H21" s="748">
        <v>1.1089</v>
      </c>
      <c r="I21" s="748">
        <v>1.0261</v>
      </c>
      <c r="J21" s="748">
        <v>1.0261</v>
      </c>
      <c r="K21" s="748">
        <v>1.0261</v>
      </c>
      <c r="L21" s="748">
        <v>1.0261</v>
      </c>
      <c r="M21" s="748">
        <v>1.0261</v>
      </c>
    </row>
    <row r="22" spans="1:14">
      <c r="A22" s="744">
        <v>2</v>
      </c>
      <c r="B22" s="748">
        <v>1.1800999999999999</v>
      </c>
      <c r="C22" s="748">
        <v>1.1800999999999999</v>
      </c>
      <c r="D22" s="748">
        <v>1.0883</v>
      </c>
      <c r="E22" s="748">
        <v>1.0883</v>
      </c>
      <c r="F22" s="748">
        <v>1.0883</v>
      </c>
      <c r="G22" s="748">
        <v>1.0883</v>
      </c>
      <c r="H22" s="748">
        <v>1.0883</v>
      </c>
      <c r="I22" s="748">
        <v>1</v>
      </c>
      <c r="J22" s="748">
        <v>1</v>
      </c>
      <c r="K22" s="748">
        <v>1</v>
      </c>
      <c r="L22" s="748">
        <v>1</v>
      </c>
      <c r="M22" s="748">
        <v>1</v>
      </c>
    </row>
    <row r="23" spans="1:14">
      <c r="A23" s="750">
        <v>2.1</v>
      </c>
      <c r="B23" s="748">
        <v>1.1616</v>
      </c>
      <c r="C23" s="748">
        <v>1.1616</v>
      </c>
      <c r="D23" s="748">
        <v>1.0685</v>
      </c>
      <c r="E23" s="748">
        <v>1.0685</v>
      </c>
      <c r="F23" s="748">
        <v>1.0685</v>
      </c>
      <c r="G23" s="748">
        <v>1.0685</v>
      </c>
      <c r="H23" s="748">
        <v>1.0685</v>
      </c>
      <c r="I23" s="748">
        <v>0.97550000000000003</v>
      </c>
      <c r="J23" s="748">
        <v>0.97550000000000003</v>
      </c>
      <c r="K23" s="748">
        <v>0.97550000000000003</v>
      </c>
      <c r="L23" s="748">
        <v>0.97550000000000003</v>
      </c>
      <c r="M23" s="748">
        <v>0.97550000000000003</v>
      </c>
    </row>
    <row r="24" spans="1:14">
      <c r="A24" s="750">
        <v>2.2000000000000002</v>
      </c>
      <c r="B24" s="748">
        <v>1.1440999999999999</v>
      </c>
      <c r="C24" s="748">
        <v>1.1440999999999999</v>
      </c>
      <c r="D24" s="748">
        <v>1.0497000000000001</v>
      </c>
      <c r="E24" s="748">
        <v>1.0497000000000001</v>
      </c>
      <c r="F24" s="748">
        <v>1.0497000000000001</v>
      </c>
      <c r="G24" s="748">
        <v>1.0497000000000001</v>
      </c>
      <c r="H24" s="748">
        <v>1.0497000000000001</v>
      </c>
      <c r="I24" s="748">
        <v>0.95230000000000004</v>
      </c>
      <c r="J24" s="748">
        <v>0.95230000000000004</v>
      </c>
      <c r="K24" s="748">
        <v>0.95230000000000004</v>
      </c>
      <c r="L24" s="748">
        <v>0.95230000000000004</v>
      </c>
      <c r="M24" s="748">
        <v>0.95230000000000004</v>
      </c>
    </row>
    <row r="25" spans="1:14">
      <c r="A25" s="750">
        <v>2.2999999999999998</v>
      </c>
      <c r="B25" s="748">
        <v>1.1275999999999999</v>
      </c>
      <c r="C25" s="748">
        <v>1.1275999999999999</v>
      </c>
      <c r="D25" s="748">
        <v>1.032</v>
      </c>
      <c r="E25" s="748">
        <v>1.032</v>
      </c>
      <c r="F25" s="748">
        <v>1.032</v>
      </c>
      <c r="G25" s="748">
        <v>1.032</v>
      </c>
      <c r="H25" s="748">
        <v>1.032</v>
      </c>
      <c r="I25" s="748">
        <v>0.9304</v>
      </c>
      <c r="J25" s="748">
        <v>0.9304</v>
      </c>
      <c r="K25" s="748">
        <v>0.9304</v>
      </c>
      <c r="L25" s="748">
        <v>0.9304</v>
      </c>
      <c r="M25" s="748">
        <v>0.9304</v>
      </c>
    </row>
    <row r="26" spans="1:14">
      <c r="A26" s="750">
        <v>2.4</v>
      </c>
      <c r="B26" s="748">
        <v>1.1121000000000001</v>
      </c>
      <c r="C26" s="748">
        <v>1.1121000000000001</v>
      </c>
      <c r="D26" s="748">
        <v>1.0155000000000001</v>
      </c>
      <c r="E26" s="748">
        <v>1.0155000000000001</v>
      </c>
      <c r="F26" s="748">
        <v>1.0155000000000001</v>
      </c>
      <c r="G26" s="748">
        <v>1.0155000000000001</v>
      </c>
      <c r="H26" s="748">
        <v>1.0155000000000001</v>
      </c>
      <c r="I26" s="748">
        <v>0.91</v>
      </c>
      <c r="J26" s="748">
        <v>0.91</v>
      </c>
      <c r="K26" s="748">
        <v>0.91</v>
      </c>
      <c r="L26" s="748">
        <v>0.91</v>
      </c>
      <c r="M26" s="748">
        <v>0.91</v>
      </c>
    </row>
    <row r="27" spans="1:14">
      <c r="A27" s="750">
        <v>2.5</v>
      </c>
      <c r="B27" s="748">
        <v>1.0975999999999999</v>
      </c>
      <c r="C27" s="748">
        <v>1.0975999999999999</v>
      </c>
      <c r="D27" s="748">
        <v>1</v>
      </c>
      <c r="E27" s="748">
        <v>1</v>
      </c>
      <c r="F27" s="748">
        <v>1</v>
      </c>
      <c r="G27" s="748">
        <v>1</v>
      </c>
      <c r="H27" s="748">
        <v>1</v>
      </c>
      <c r="I27" s="748">
        <v>0.89080000000000004</v>
      </c>
      <c r="J27" s="748">
        <v>0.89080000000000004</v>
      </c>
      <c r="K27" s="748">
        <v>0.89080000000000004</v>
      </c>
      <c r="L27" s="748">
        <v>0.89080000000000004</v>
      </c>
      <c r="M27" s="748">
        <v>0.89080000000000004</v>
      </c>
    </row>
    <row r="28" spans="1:14">
      <c r="A28" s="750">
        <v>2.6</v>
      </c>
      <c r="B28" s="748">
        <v>1.0841000000000001</v>
      </c>
      <c r="C28" s="748">
        <v>1.0841000000000001</v>
      </c>
      <c r="D28" s="748">
        <v>0.98619999999999997</v>
      </c>
      <c r="E28" s="748">
        <v>0.98619999999999997</v>
      </c>
      <c r="F28" s="748">
        <v>0.98619999999999997</v>
      </c>
      <c r="G28" s="748">
        <v>0.98619999999999997</v>
      </c>
      <c r="H28" s="748">
        <v>0.98619999999999997</v>
      </c>
      <c r="I28" s="748">
        <v>0.873</v>
      </c>
      <c r="J28" s="748">
        <v>0.873</v>
      </c>
      <c r="K28" s="748">
        <v>0.873</v>
      </c>
      <c r="L28" s="748">
        <v>0.873</v>
      </c>
      <c r="M28" s="748">
        <v>0.873</v>
      </c>
    </row>
    <row r="29" spans="1:14">
      <c r="A29" s="750">
        <v>2.7</v>
      </c>
      <c r="B29" s="748">
        <v>1.0716000000000001</v>
      </c>
      <c r="C29" s="748">
        <v>1.0716000000000001</v>
      </c>
      <c r="D29" s="748">
        <v>0.97330000000000005</v>
      </c>
      <c r="E29" s="748">
        <v>0.97330000000000005</v>
      </c>
      <c r="F29" s="748">
        <v>0.97330000000000005</v>
      </c>
      <c r="G29" s="748">
        <v>0.97330000000000005</v>
      </c>
      <c r="H29" s="748">
        <v>0.97330000000000005</v>
      </c>
      <c r="I29" s="748">
        <v>0.85670000000000002</v>
      </c>
      <c r="J29" s="748">
        <v>0.85670000000000002</v>
      </c>
      <c r="K29" s="748">
        <v>0.85670000000000002</v>
      </c>
      <c r="L29" s="748">
        <v>0.85670000000000002</v>
      </c>
      <c r="M29" s="748">
        <v>0.85670000000000002</v>
      </c>
    </row>
    <row r="30" spans="1:14">
      <c r="A30" s="750">
        <v>2.8</v>
      </c>
      <c r="B30" s="748">
        <v>1.0602</v>
      </c>
      <c r="C30" s="748">
        <v>1.0602</v>
      </c>
      <c r="D30" s="748">
        <v>0.96160000000000001</v>
      </c>
      <c r="E30" s="748">
        <v>0.96160000000000001</v>
      </c>
      <c r="F30" s="748">
        <v>0.96160000000000001</v>
      </c>
      <c r="G30" s="748">
        <v>0.96160000000000001</v>
      </c>
      <c r="H30" s="748">
        <v>0.96160000000000001</v>
      </c>
      <c r="I30" s="748">
        <v>0.8417</v>
      </c>
      <c r="J30" s="748">
        <v>0.8417</v>
      </c>
      <c r="K30" s="748">
        <v>0.8417</v>
      </c>
      <c r="L30" s="748">
        <v>0.8417</v>
      </c>
      <c r="M30" s="748">
        <v>0.8417</v>
      </c>
    </row>
    <row r="31" spans="1:14">
      <c r="A31" s="750">
        <v>2.9</v>
      </c>
      <c r="B31" s="748">
        <v>1.0497000000000001</v>
      </c>
      <c r="C31" s="748">
        <v>1.0497000000000001</v>
      </c>
      <c r="D31" s="748">
        <v>0.95089999999999997</v>
      </c>
      <c r="E31" s="748">
        <v>0.95089999999999997</v>
      </c>
      <c r="F31" s="748">
        <v>0.95089999999999997</v>
      </c>
      <c r="G31" s="748">
        <v>0.95089999999999997</v>
      </c>
      <c r="H31" s="748">
        <v>0.95089999999999997</v>
      </c>
      <c r="I31" s="748">
        <v>0.82809999999999995</v>
      </c>
      <c r="J31" s="748">
        <v>0.82809999999999995</v>
      </c>
      <c r="K31" s="748">
        <v>0.82809999999999995</v>
      </c>
      <c r="L31" s="748">
        <v>0.82809999999999995</v>
      </c>
      <c r="M31" s="748">
        <v>0.82809999999999995</v>
      </c>
    </row>
    <row r="32" spans="1:14">
      <c r="A32" s="750">
        <v>3</v>
      </c>
      <c r="B32" s="748">
        <v>1.0401</v>
      </c>
      <c r="C32" s="748">
        <v>1.0401</v>
      </c>
      <c r="D32" s="748">
        <v>0.94089999999999996</v>
      </c>
      <c r="E32" s="748">
        <v>0.94089999999999996</v>
      </c>
      <c r="F32" s="748">
        <v>0.94089999999999996</v>
      </c>
      <c r="G32" s="748">
        <v>0.94089999999999996</v>
      </c>
      <c r="H32" s="748">
        <v>0.94089999999999996</v>
      </c>
      <c r="I32" s="748">
        <v>0.81579999999999997</v>
      </c>
      <c r="J32" s="748">
        <v>0.81579999999999997</v>
      </c>
      <c r="K32" s="748">
        <v>0.81579999999999997</v>
      </c>
      <c r="L32" s="748">
        <v>0.81579999999999997</v>
      </c>
      <c r="M32" s="748">
        <v>0.81579999999999997</v>
      </c>
    </row>
    <row r="33" spans="1:13">
      <c r="A33" s="750">
        <v>3.1</v>
      </c>
      <c r="B33" s="748">
        <v>1.0314000000000001</v>
      </c>
      <c r="C33" s="748">
        <v>1.0314000000000001</v>
      </c>
      <c r="D33" s="748">
        <v>0.93169999999999997</v>
      </c>
      <c r="E33" s="748">
        <v>0.93169999999999997</v>
      </c>
      <c r="F33" s="748">
        <v>0.93169999999999997</v>
      </c>
      <c r="G33" s="748">
        <v>0.93169999999999997</v>
      </c>
      <c r="H33" s="748">
        <v>0.93169999999999997</v>
      </c>
      <c r="I33" s="748">
        <v>0.80410000000000004</v>
      </c>
      <c r="J33" s="748">
        <v>0.80410000000000004</v>
      </c>
      <c r="K33" s="748">
        <v>0.80410000000000004</v>
      </c>
      <c r="L33" s="748">
        <v>0.80410000000000004</v>
      </c>
      <c r="M33" s="748">
        <v>0.80410000000000004</v>
      </c>
    </row>
    <row r="34" spans="1:13">
      <c r="A34" s="750">
        <v>3.2</v>
      </c>
      <c r="B34" s="748">
        <v>1.0229999999999999</v>
      </c>
      <c r="C34" s="748">
        <v>1.0229999999999999</v>
      </c>
      <c r="D34" s="748">
        <v>0.92279999999999995</v>
      </c>
      <c r="E34" s="748">
        <v>0.92279999999999995</v>
      </c>
      <c r="F34" s="748">
        <v>0.92279999999999995</v>
      </c>
      <c r="G34" s="748">
        <v>0.92279999999999995</v>
      </c>
      <c r="H34" s="748">
        <v>0.92279999999999995</v>
      </c>
      <c r="I34" s="748">
        <v>0.79300000000000004</v>
      </c>
      <c r="J34" s="748">
        <v>0.79300000000000004</v>
      </c>
      <c r="K34" s="748">
        <v>0.79300000000000004</v>
      </c>
      <c r="L34" s="748">
        <v>0.79300000000000004</v>
      </c>
      <c r="M34" s="748">
        <v>0.79300000000000004</v>
      </c>
    </row>
    <row r="35" spans="1:13">
      <c r="A35" s="750">
        <v>3.3</v>
      </c>
      <c r="B35" s="748">
        <v>1.0149999999999999</v>
      </c>
      <c r="C35" s="748">
        <v>1.0149999999999999</v>
      </c>
      <c r="D35" s="748">
        <v>0.91439999999999999</v>
      </c>
      <c r="E35" s="748">
        <v>0.91439999999999999</v>
      </c>
      <c r="F35" s="748">
        <v>0.91439999999999999</v>
      </c>
      <c r="G35" s="748">
        <v>0.91439999999999999</v>
      </c>
      <c r="H35" s="748">
        <v>0.91439999999999999</v>
      </c>
      <c r="I35" s="748">
        <v>0.78220000000000001</v>
      </c>
      <c r="J35" s="748">
        <v>0.78220000000000001</v>
      </c>
      <c r="K35" s="748">
        <v>0.78220000000000001</v>
      </c>
      <c r="L35" s="748">
        <v>0.78220000000000001</v>
      </c>
      <c r="M35" s="748">
        <v>0.78220000000000001</v>
      </c>
    </row>
    <row r="36" spans="1:13">
      <c r="A36" s="750">
        <v>3.4</v>
      </c>
      <c r="B36" s="748">
        <v>1.0073000000000001</v>
      </c>
      <c r="C36" s="748">
        <v>1.0073000000000001</v>
      </c>
      <c r="D36" s="748">
        <v>0.90629999999999999</v>
      </c>
      <c r="E36" s="748">
        <v>0.90629999999999999</v>
      </c>
      <c r="F36" s="748">
        <v>0.90629999999999999</v>
      </c>
      <c r="G36" s="748">
        <v>0.90629999999999999</v>
      </c>
      <c r="H36" s="748">
        <v>0.90629999999999999</v>
      </c>
      <c r="I36" s="748">
        <v>0.77210000000000001</v>
      </c>
      <c r="J36" s="748">
        <v>0.77210000000000001</v>
      </c>
      <c r="K36" s="748">
        <v>0.77210000000000001</v>
      </c>
      <c r="L36" s="748">
        <v>0.77210000000000001</v>
      </c>
      <c r="M36" s="748">
        <v>0.77210000000000001</v>
      </c>
    </row>
    <row r="37" spans="1:13">
      <c r="A37" s="750">
        <v>3.5</v>
      </c>
      <c r="B37" s="748">
        <v>1</v>
      </c>
      <c r="C37" s="748">
        <v>1</v>
      </c>
      <c r="D37" s="748">
        <v>0.89870000000000005</v>
      </c>
      <c r="E37" s="748">
        <v>0.89870000000000005</v>
      </c>
      <c r="F37" s="748">
        <v>0.89870000000000005</v>
      </c>
      <c r="G37" s="748">
        <v>0.89870000000000005</v>
      </c>
      <c r="H37" s="748">
        <v>0.89870000000000005</v>
      </c>
      <c r="I37" s="748">
        <v>0.76239999999999997</v>
      </c>
      <c r="J37" s="748">
        <v>0.76239999999999997</v>
      </c>
      <c r="K37" s="748">
        <v>0.76239999999999997</v>
      </c>
      <c r="L37" s="748">
        <v>0.76239999999999997</v>
      </c>
      <c r="M37" s="748">
        <v>0.76239999999999997</v>
      </c>
    </row>
    <row r="38" spans="1:13">
      <c r="A38" s="750">
        <v>3.6</v>
      </c>
      <c r="B38" s="748">
        <v>0.99329999999999996</v>
      </c>
      <c r="C38" s="748">
        <v>0.99329999999999996</v>
      </c>
      <c r="D38" s="748">
        <v>0.89139999999999997</v>
      </c>
      <c r="E38" s="748">
        <v>0.89139999999999997</v>
      </c>
      <c r="F38" s="748">
        <v>0.89139999999999997</v>
      </c>
      <c r="G38" s="748">
        <v>0.89139999999999997</v>
      </c>
      <c r="H38" s="748">
        <v>0.89139999999999997</v>
      </c>
      <c r="I38" s="748">
        <v>0.75319999999999998</v>
      </c>
      <c r="J38" s="748">
        <v>0.75319999999999998</v>
      </c>
      <c r="K38" s="748">
        <v>0.75319999999999998</v>
      </c>
      <c r="L38" s="748">
        <v>0.75319999999999998</v>
      </c>
      <c r="M38" s="748">
        <v>0.75319999999999998</v>
      </c>
    </row>
    <row r="39" spans="1:13">
      <c r="A39" s="750">
        <v>3.7</v>
      </c>
      <c r="B39" s="748">
        <v>0.9869</v>
      </c>
      <c r="C39" s="748">
        <v>0.9869</v>
      </c>
      <c r="D39" s="748">
        <v>0.88449999999999995</v>
      </c>
      <c r="E39" s="748">
        <v>0.88449999999999995</v>
      </c>
      <c r="F39" s="748">
        <v>0.88449999999999995</v>
      </c>
      <c r="G39" s="748">
        <v>0.88449999999999995</v>
      </c>
      <c r="H39" s="748">
        <v>0.88449999999999995</v>
      </c>
      <c r="I39" s="748">
        <v>0.74460000000000004</v>
      </c>
      <c r="J39" s="748">
        <v>0.74460000000000004</v>
      </c>
      <c r="K39" s="748">
        <v>0.74460000000000004</v>
      </c>
      <c r="L39" s="748">
        <v>0.74460000000000004</v>
      </c>
      <c r="M39" s="748">
        <v>0.74460000000000004</v>
      </c>
    </row>
    <row r="40" spans="1:13">
      <c r="A40" s="750">
        <v>3.8</v>
      </c>
      <c r="B40" s="748">
        <v>0.98080000000000001</v>
      </c>
      <c r="C40" s="748">
        <v>0.98080000000000001</v>
      </c>
      <c r="D40" s="748">
        <v>0.87809999999999999</v>
      </c>
      <c r="E40" s="748">
        <v>0.87809999999999999</v>
      </c>
      <c r="F40" s="748">
        <v>0.87809999999999999</v>
      </c>
      <c r="G40" s="748">
        <v>0.87809999999999999</v>
      </c>
      <c r="H40" s="748">
        <v>0.87809999999999999</v>
      </c>
      <c r="I40" s="748">
        <v>0.73640000000000005</v>
      </c>
      <c r="J40" s="748">
        <v>0.73640000000000005</v>
      </c>
      <c r="K40" s="748">
        <v>0.73640000000000005</v>
      </c>
      <c r="L40" s="748">
        <v>0.73640000000000005</v>
      </c>
      <c r="M40" s="748">
        <v>0.73640000000000005</v>
      </c>
    </row>
    <row r="41" spans="1:13">
      <c r="A41" s="750">
        <v>3.9</v>
      </c>
      <c r="B41" s="748">
        <v>0.97509999999999997</v>
      </c>
      <c r="C41" s="748">
        <v>0.97509999999999997</v>
      </c>
      <c r="D41" s="748">
        <v>0.87209999999999999</v>
      </c>
      <c r="E41" s="748">
        <v>0.87209999999999999</v>
      </c>
      <c r="F41" s="748">
        <v>0.87209999999999999</v>
      </c>
      <c r="G41" s="748">
        <v>0.87209999999999999</v>
      </c>
      <c r="H41" s="748">
        <v>0.87209999999999999</v>
      </c>
      <c r="I41" s="748">
        <v>0.7288</v>
      </c>
      <c r="J41" s="748">
        <v>0.7288</v>
      </c>
      <c r="K41" s="748">
        <v>0.7288</v>
      </c>
      <c r="L41" s="748">
        <v>0.7288</v>
      </c>
      <c r="M41" s="748">
        <v>0.7288</v>
      </c>
    </row>
    <row r="42" spans="1:13">
      <c r="A42" s="750">
        <v>4</v>
      </c>
      <c r="B42" s="748">
        <v>0.96989999999999998</v>
      </c>
      <c r="C42" s="748">
        <v>0.96989999999999998</v>
      </c>
      <c r="D42" s="748">
        <v>0.86650000000000005</v>
      </c>
      <c r="E42" s="748">
        <v>0.86650000000000005</v>
      </c>
      <c r="F42" s="748">
        <v>0.86650000000000005</v>
      </c>
      <c r="G42" s="748">
        <v>0.86650000000000005</v>
      </c>
      <c r="H42" s="748">
        <v>0.86650000000000005</v>
      </c>
      <c r="I42" s="748">
        <v>0.7218</v>
      </c>
      <c r="J42" s="748">
        <v>0.7218</v>
      </c>
      <c r="K42" s="748">
        <v>0.7218</v>
      </c>
      <c r="L42" s="748">
        <v>0.7218</v>
      </c>
      <c r="M42" s="748">
        <v>0.7218</v>
      </c>
    </row>
    <row r="43" spans="1:13">
      <c r="A43" s="750">
        <v>4.0999999999999996</v>
      </c>
      <c r="B43" s="748">
        <v>0.96479999999999999</v>
      </c>
      <c r="C43" s="748">
        <v>0.96479999999999999</v>
      </c>
      <c r="D43" s="748">
        <v>0.86109999999999998</v>
      </c>
      <c r="E43" s="748">
        <v>0.86109999999999998</v>
      </c>
      <c r="F43" s="748">
        <v>0.86109999999999998</v>
      </c>
      <c r="G43" s="748">
        <v>0.86109999999999998</v>
      </c>
      <c r="H43" s="748">
        <v>0.86109999999999998</v>
      </c>
      <c r="I43" s="748">
        <v>0.71499999999999997</v>
      </c>
      <c r="J43" s="748">
        <v>0.71499999999999997</v>
      </c>
      <c r="K43" s="748">
        <v>0.71499999999999997</v>
      </c>
      <c r="L43" s="748">
        <v>0.71499999999999997</v>
      </c>
      <c r="M43" s="748">
        <v>0.71499999999999997</v>
      </c>
    </row>
    <row r="44" spans="1:13">
      <c r="A44" s="750">
        <v>4.2</v>
      </c>
      <c r="B44" s="748">
        <v>0.96</v>
      </c>
      <c r="C44" s="748">
        <v>0.96</v>
      </c>
      <c r="D44" s="748">
        <v>0.85599999999999998</v>
      </c>
      <c r="E44" s="748">
        <v>0.85599999999999998</v>
      </c>
      <c r="F44" s="748">
        <v>0.85599999999999998</v>
      </c>
      <c r="G44" s="748">
        <v>0.85599999999999998</v>
      </c>
      <c r="H44" s="748">
        <v>0.85599999999999998</v>
      </c>
      <c r="I44" s="748">
        <v>0.70840000000000003</v>
      </c>
      <c r="J44" s="748">
        <v>0.70840000000000003</v>
      </c>
      <c r="K44" s="748">
        <v>0.70840000000000003</v>
      </c>
      <c r="L44" s="748">
        <v>0.70840000000000003</v>
      </c>
      <c r="M44" s="748">
        <v>0.70840000000000003</v>
      </c>
    </row>
    <row r="45" spans="1:13">
      <c r="A45" s="750">
        <v>4.3</v>
      </c>
      <c r="B45" s="748">
        <v>0.95530000000000004</v>
      </c>
      <c r="C45" s="748">
        <v>0.95530000000000004</v>
      </c>
      <c r="D45" s="748">
        <v>0.85099999999999998</v>
      </c>
      <c r="E45" s="748">
        <v>0.85099999999999998</v>
      </c>
      <c r="F45" s="748">
        <v>0.85099999999999998</v>
      </c>
      <c r="G45" s="748">
        <v>0.85099999999999998</v>
      </c>
      <c r="H45" s="748">
        <v>0.85099999999999998</v>
      </c>
      <c r="I45" s="748">
        <v>0.70199999999999996</v>
      </c>
      <c r="J45" s="748">
        <v>0.70199999999999996</v>
      </c>
      <c r="K45" s="748">
        <v>0.70199999999999996</v>
      </c>
      <c r="L45" s="748">
        <v>0.70199999999999996</v>
      </c>
      <c r="M45" s="748">
        <v>0.70199999999999996</v>
      </c>
    </row>
    <row r="46" spans="1:13">
      <c r="A46" s="750">
        <v>4.4000000000000004</v>
      </c>
      <c r="B46" s="748">
        <v>0.95079999999999998</v>
      </c>
      <c r="C46" s="748">
        <v>0.95079999999999998</v>
      </c>
      <c r="D46" s="748">
        <v>0.84619999999999995</v>
      </c>
      <c r="E46" s="748">
        <v>0.84619999999999995</v>
      </c>
      <c r="F46" s="748">
        <v>0.84619999999999995</v>
      </c>
      <c r="G46" s="748">
        <v>0.84619999999999995</v>
      </c>
      <c r="H46" s="748">
        <v>0.84619999999999995</v>
      </c>
      <c r="I46" s="748">
        <v>0.69579999999999997</v>
      </c>
      <c r="J46" s="748">
        <v>0.69579999999999997</v>
      </c>
      <c r="K46" s="748">
        <v>0.69579999999999997</v>
      </c>
      <c r="L46" s="748">
        <v>0.69579999999999997</v>
      </c>
      <c r="M46" s="748">
        <v>0.69579999999999997</v>
      </c>
    </row>
    <row r="47" spans="1:13">
      <c r="A47" s="750">
        <v>4.5</v>
      </c>
      <c r="B47" s="748">
        <v>0.94640000000000002</v>
      </c>
      <c r="C47" s="748">
        <v>0.94640000000000002</v>
      </c>
      <c r="D47" s="748">
        <v>0.84150000000000003</v>
      </c>
      <c r="E47" s="748">
        <v>0.84150000000000003</v>
      </c>
      <c r="F47" s="748">
        <v>0.84150000000000003</v>
      </c>
      <c r="G47" s="748">
        <v>0.84150000000000003</v>
      </c>
      <c r="H47" s="748">
        <v>0.84150000000000003</v>
      </c>
      <c r="I47" s="748">
        <v>0.68989999999999996</v>
      </c>
      <c r="J47" s="748">
        <v>0.68989999999999996</v>
      </c>
      <c r="K47" s="748">
        <v>0.68989999999999996</v>
      </c>
      <c r="L47" s="748">
        <v>0.68989999999999996</v>
      </c>
      <c r="M47" s="748">
        <v>0.68989999999999996</v>
      </c>
    </row>
    <row r="48" spans="1:13">
      <c r="A48" s="750">
        <v>4.5999999999999996</v>
      </c>
      <c r="B48" s="748">
        <v>0.94230000000000003</v>
      </c>
      <c r="C48" s="748">
        <v>0.94230000000000003</v>
      </c>
      <c r="D48" s="748">
        <v>0.83709999999999996</v>
      </c>
      <c r="E48" s="748">
        <v>0.83709999999999996</v>
      </c>
      <c r="F48" s="748">
        <v>0.83709999999999996</v>
      </c>
      <c r="G48" s="748">
        <v>0.83709999999999996</v>
      </c>
      <c r="H48" s="748">
        <v>0.83709999999999996</v>
      </c>
      <c r="I48" s="748">
        <v>0.68430000000000002</v>
      </c>
      <c r="J48" s="748">
        <v>0.68430000000000002</v>
      </c>
      <c r="K48" s="748">
        <v>0.68430000000000002</v>
      </c>
      <c r="L48" s="748">
        <v>0.68430000000000002</v>
      </c>
      <c r="M48" s="748">
        <v>0.68430000000000002</v>
      </c>
    </row>
    <row r="49" spans="1:13">
      <c r="A49" s="750">
        <v>4.7</v>
      </c>
      <c r="B49" s="748">
        <v>0.93830000000000002</v>
      </c>
      <c r="C49" s="748">
        <v>0.93830000000000002</v>
      </c>
      <c r="D49" s="748">
        <v>0.83279999999999998</v>
      </c>
      <c r="E49" s="748">
        <v>0.83279999999999998</v>
      </c>
      <c r="F49" s="748">
        <v>0.83279999999999998</v>
      </c>
      <c r="G49" s="748">
        <v>0.83279999999999998</v>
      </c>
      <c r="H49" s="748">
        <v>0.83279999999999998</v>
      </c>
      <c r="I49" s="748">
        <v>0.67879999999999996</v>
      </c>
      <c r="J49" s="748">
        <v>0.67879999999999996</v>
      </c>
      <c r="K49" s="748">
        <v>0.67879999999999996</v>
      </c>
      <c r="L49" s="748">
        <v>0.67879999999999996</v>
      </c>
      <c r="M49" s="748">
        <v>0.67879999999999996</v>
      </c>
    </row>
    <row r="50" spans="1:13">
      <c r="A50" s="750">
        <v>4.8</v>
      </c>
      <c r="B50" s="748">
        <v>0.9345</v>
      </c>
      <c r="C50" s="748">
        <v>0.9345</v>
      </c>
      <c r="D50" s="748">
        <v>0.82869999999999999</v>
      </c>
      <c r="E50" s="748">
        <v>0.82869999999999999</v>
      </c>
      <c r="F50" s="748">
        <v>0.82869999999999999</v>
      </c>
      <c r="G50" s="748">
        <v>0.82869999999999999</v>
      </c>
      <c r="H50" s="748">
        <v>0.82869999999999999</v>
      </c>
      <c r="I50" s="748">
        <v>0.67359999999999998</v>
      </c>
      <c r="J50" s="748">
        <v>0.67359999999999998</v>
      </c>
      <c r="K50" s="748">
        <v>0.67359999999999998</v>
      </c>
      <c r="L50" s="748">
        <v>0.67359999999999998</v>
      </c>
      <c r="M50" s="748">
        <v>0.67359999999999998</v>
      </c>
    </row>
    <row r="51" spans="1:13">
      <c r="A51" s="750">
        <v>4.9000000000000004</v>
      </c>
      <c r="B51" s="748">
        <v>0.93079999999999996</v>
      </c>
      <c r="C51" s="748">
        <v>0.93079999999999996</v>
      </c>
      <c r="D51" s="748">
        <v>0.82479999999999998</v>
      </c>
      <c r="E51" s="748">
        <v>0.82479999999999998</v>
      </c>
      <c r="F51" s="748">
        <v>0.82479999999999998</v>
      </c>
      <c r="G51" s="748">
        <v>0.82479999999999998</v>
      </c>
      <c r="H51" s="748">
        <v>0.82479999999999998</v>
      </c>
      <c r="I51" s="748">
        <v>0.66849999999999998</v>
      </c>
      <c r="J51" s="748">
        <v>0.66849999999999998</v>
      </c>
      <c r="K51" s="748">
        <v>0.66849999999999998</v>
      </c>
      <c r="L51" s="748">
        <v>0.66849999999999998</v>
      </c>
      <c r="M51" s="748">
        <v>0.66849999999999998</v>
      </c>
    </row>
    <row r="52" spans="1:13">
      <c r="A52" s="750">
        <v>5</v>
      </c>
      <c r="B52" s="748">
        <v>0.9274</v>
      </c>
      <c r="C52" s="748">
        <v>0.9274</v>
      </c>
      <c r="D52" s="748">
        <v>0.82110000000000005</v>
      </c>
      <c r="E52" s="748">
        <v>0.82110000000000005</v>
      </c>
      <c r="F52" s="748">
        <v>0.82110000000000005</v>
      </c>
      <c r="G52" s="748">
        <v>0.82110000000000005</v>
      </c>
      <c r="H52" s="748">
        <v>0.82110000000000005</v>
      </c>
      <c r="I52" s="748">
        <v>0.66369999999999996</v>
      </c>
      <c r="J52" s="748">
        <v>0.66369999999999996</v>
      </c>
      <c r="K52" s="748">
        <v>0.66369999999999996</v>
      </c>
      <c r="L52" s="748">
        <v>0.66369999999999996</v>
      </c>
      <c r="M52" s="748">
        <v>0.66369999999999996</v>
      </c>
    </row>
    <row r="53" spans="1:13">
      <c r="A53" s="744">
        <v>5.0999999999999996</v>
      </c>
      <c r="B53" s="748">
        <v>0.92410000000000003</v>
      </c>
      <c r="C53" s="748">
        <v>0.92410000000000003</v>
      </c>
      <c r="D53" s="748">
        <v>0.8175</v>
      </c>
      <c r="E53" s="748">
        <v>0.8175</v>
      </c>
      <c r="F53" s="748">
        <v>0.8175</v>
      </c>
      <c r="G53" s="748">
        <v>0.8175</v>
      </c>
      <c r="H53" s="748">
        <v>0.8175</v>
      </c>
      <c r="I53" s="748">
        <v>0.65900000000000003</v>
      </c>
      <c r="J53" s="748">
        <v>0.65900000000000003</v>
      </c>
      <c r="K53" s="748">
        <v>0.65900000000000003</v>
      </c>
      <c r="L53" s="748">
        <v>0.65900000000000003</v>
      </c>
      <c r="M53" s="748">
        <v>0.65900000000000003</v>
      </c>
    </row>
    <row r="54" spans="1:13">
      <c r="A54" s="744">
        <v>5.2</v>
      </c>
      <c r="B54" s="748">
        <v>0.92090000000000005</v>
      </c>
      <c r="C54" s="748">
        <v>0.92090000000000005</v>
      </c>
      <c r="D54" s="748">
        <v>0.81399999999999995</v>
      </c>
      <c r="E54" s="748">
        <v>0.81399999999999995</v>
      </c>
      <c r="F54" s="748">
        <v>0.81399999999999995</v>
      </c>
      <c r="G54" s="748">
        <v>0.81399999999999995</v>
      </c>
      <c r="H54" s="748">
        <v>0.81399999999999995</v>
      </c>
      <c r="I54" s="748">
        <v>0.65449999999999997</v>
      </c>
      <c r="J54" s="748">
        <v>0.65449999999999997</v>
      </c>
      <c r="K54" s="748">
        <v>0.65449999999999997</v>
      </c>
      <c r="L54" s="748">
        <v>0.65449999999999997</v>
      </c>
      <c r="M54" s="748">
        <v>0.65449999999999997</v>
      </c>
    </row>
    <row r="55" spans="1:13">
      <c r="A55" s="744">
        <v>5.3</v>
      </c>
      <c r="B55" s="748">
        <v>0.91790000000000005</v>
      </c>
      <c r="C55" s="748">
        <v>0.91790000000000005</v>
      </c>
      <c r="D55" s="748">
        <v>0.81059999999999999</v>
      </c>
      <c r="E55" s="748">
        <v>0.81059999999999999</v>
      </c>
      <c r="F55" s="748">
        <v>0.81059999999999999</v>
      </c>
      <c r="G55" s="748">
        <v>0.81059999999999999</v>
      </c>
      <c r="H55" s="748">
        <v>0.81059999999999999</v>
      </c>
      <c r="I55" s="748">
        <v>0.6502</v>
      </c>
      <c r="J55" s="748">
        <v>0.6502</v>
      </c>
      <c r="K55" s="748">
        <v>0.6502</v>
      </c>
      <c r="L55" s="748">
        <v>0.6502</v>
      </c>
      <c r="M55" s="748">
        <v>0.6502</v>
      </c>
    </row>
    <row r="56" spans="1:13">
      <c r="A56" s="744">
        <v>5.4</v>
      </c>
      <c r="B56" s="748">
        <v>0.91490000000000005</v>
      </c>
      <c r="C56" s="748">
        <v>0.91490000000000005</v>
      </c>
      <c r="D56" s="748">
        <v>0.80740000000000001</v>
      </c>
      <c r="E56" s="748">
        <v>0.80740000000000001</v>
      </c>
      <c r="F56" s="748">
        <v>0.80740000000000001</v>
      </c>
      <c r="G56" s="748">
        <v>0.80740000000000001</v>
      </c>
      <c r="H56" s="748">
        <v>0.80740000000000001</v>
      </c>
      <c r="I56" s="748">
        <v>0.64590000000000003</v>
      </c>
      <c r="J56" s="748">
        <v>0.64590000000000003</v>
      </c>
      <c r="K56" s="748">
        <v>0.64590000000000003</v>
      </c>
      <c r="L56" s="748">
        <v>0.64590000000000003</v>
      </c>
      <c r="M56" s="748">
        <v>0.64590000000000003</v>
      </c>
    </row>
    <row r="57" spans="1:13">
      <c r="A57" s="744">
        <v>5.5</v>
      </c>
      <c r="B57" s="748">
        <v>0.91200000000000003</v>
      </c>
      <c r="C57" s="748">
        <v>0.91200000000000003</v>
      </c>
      <c r="D57" s="748">
        <v>0.80420000000000003</v>
      </c>
      <c r="E57" s="748">
        <v>0.80420000000000003</v>
      </c>
      <c r="F57" s="748">
        <v>0.80420000000000003</v>
      </c>
      <c r="G57" s="748">
        <v>0.80420000000000003</v>
      </c>
      <c r="H57" s="748">
        <v>0.80420000000000003</v>
      </c>
      <c r="I57" s="748">
        <v>0.64180000000000004</v>
      </c>
      <c r="J57" s="748">
        <v>0.64180000000000004</v>
      </c>
      <c r="K57" s="748">
        <v>0.64180000000000004</v>
      </c>
      <c r="L57" s="748">
        <v>0.64180000000000004</v>
      </c>
      <c r="M57" s="748">
        <v>0.64180000000000004</v>
      </c>
    </row>
    <row r="58" spans="1:13">
      <c r="A58" s="744">
        <v>5.6</v>
      </c>
      <c r="B58" s="748">
        <v>0.90910000000000002</v>
      </c>
      <c r="C58" s="748">
        <v>0.90910000000000002</v>
      </c>
      <c r="D58" s="748">
        <v>0.80120000000000002</v>
      </c>
      <c r="E58" s="748">
        <v>0.80120000000000002</v>
      </c>
      <c r="F58" s="748">
        <v>0.80120000000000002</v>
      </c>
      <c r="G58" s="748">
        <v>0.80120000000000002</v>
      </c>
      <c r="H58" s="748">
        <v>0.80120000000000002</v>
      </c>
      <c r="I58" s="748">
        <v>0.63790000000000002</v>
      </c>
      <c r="J58" s="748">
        <v>0.63790000000000002</v>
      </c>
      <c r="K58" s="748">
        <v>0.63790000000000002</v>
      </c>
      <c r="L58" s="748">
        <v>0.63790000000000002</v>
      </c>
      <c r="M58" s="748">
        <v>0.63790000000000002</v>
      </c>
    </row>
    <row r="59" spans="1:13">
      <c r="A59" s="750">
        <v>5.7</v>
      </c>
      <c r="B59" s="748">
        <v>0.90639999999999998</v>
      </c>
      <c r="C59" s="748">
        <v>0.90639999999999998</v>
      </c>
      <c r="D59" s="748">
        <v>0.79820000000000002</v>
      </c>
      <c r="E59" s="748">
        <v>0.79820000000000002</v>
      </c>
      <c r="F59" s="748">
        <v>0.79820000000000002</v>
      </c>
      <c r="G59" s="748">
        <v>0.79820000000000002</v>
      </c>
      <c r="H59" s="748">
        <v>0.79820000000000002</v>
      </c>
      <c r="I59" s="748">
        <v>0.6341</v>
      </c>
      <c r="J59" s="748">
        <v>0.6341</v>
      </c>
      <c r="K59" s="748">
        <v>0.6341</v>
      </c>
      <c r="L59" s="748">
        <v>0.6341</v>
      </c>
      <c r="M59" s="748">
        <v>0.6341</v>
      </c>
    </row>
    <row r="60" spans="1:13">
      <c r="A60" s="744">
        <v>5.8</v>
      </c>
      <c r="B60" s="748">
        <v>0.90380000000000005</v>
      </c>
      <c r="C60" s="748">
        <v>0.90380000000000005</v>
      </c>
      <c r="D60" s="748">
        <v>0.7954</v>
      </c>
      <c r="E60" s="748">
        <v>0.7954</v>
      </c>
      <c r="F60" s="748">
        <v>0.7954</v>
      </c>
      <c r="G60" s="748">
        <v>0.7954</v>
      </c>
      <c r="H60" s="748">
        <v>0.7954</v>
      </c>
      <c r="I60" s="748">
        <v>0.63039999999999996</v>
      </c>
      <c r="J60" s="748">
        <v>0.63039999999999996</v>
      </c>
      <c r="K60" s="748">
        <v>0.63039999999999996</v>
      </c>
      <c r="L60" s="748">
        <v>0.63039999999999996</v>
      </c>
      <c r="M60" s="748">
        <v>0.63039999999999996</v>
      </c>
    </row>
    <row r="61" spans="1:13">
      <c r="A61" s="744">
        <v>5.9</v>
      </c>
      <c r="B61" s="748">
        <v>0.90129999999999999</v>
      </c>
      <c r="C61" s="748">
        <v>0.90129999999999999</v>
      </c>
      <c r="D61" s="748">
        <v>0.79269999999999996</v>
      </c>
      <c r="E61" s="748">
        <v>0.79269999999999996</v>
      </c>
      <c r="F61" s="748">
        <v>0.79269999999999996</v>
      </c>
      <c r="G61" s="748">
        <v>0.79269999999999996</v>
      </c>
      <c r="H61" s="748">
        <v>0.79269999999999996</v>
      </c>
      <c r="I61" s="748">
        <v>0.62690000000000001</v>
      </c>
      <c r="J61" s="748">
        <v>0.62690000000000001</v>
      </c>
      <c r="K61" s="748">
        <v>0.62690000000000001</v>
      </c>
      <c r="L61" s="748">
        <v>0.62690000000000001</v>
      </c>
      <c r="M61" s="748">
        <v>0.62690000000000001</v>
      </c>
    </row>
    <row r="62" spans="1:13">
      <c r="A62" s="744">
        <v>6</v>
      </c>
      <c r="B62" s="748">
        <v>0.89890000000000003</v>
      </c>
      <c r="C62" s="748">
        <v>0.89890000000000003</v>
      </c>
      <c r="D62" s="748">
        <v>0.79020000000000001</v>
      </c>
      <c r="E62" s="748">
        <v>0.79020000000000001</v>
      </c>
      <c r="F62" s="748">
        <v>0.79020000000000001</v>
      </c>
      <c r="G62" s="748">
        <v>0.79020000000000001</v>
      </c>
      <c r="H62" s="748">
        <v>0.79020000000000001</v>
      </c>
      <c r="I62" s="748">
        <v>0.62350000000000005</v>
      </c>
      <c r="J62" s="748">
        <v>0.62350000000000005</v>
      </c>
      <c r="K62" s="748">
        <v>0.62350000000000005</v>
      </c>
      <c r="L62" s="748">
        <v>0.62350000000000005</v>
      </c>
      <c r="M62" s="748">
        <v>0.62350000000000005</v>
      </c>
    </row>
    <row r="63" spans="1:13">
      <c r="A63" s="744">
        <v>6.1</v>
      </c>
      <c r="B63" s="748">
        <v>0.89649999999999996</v>
      </c>
      <c r="C63" s="748">
        <v>0.89649999999999996</v>
      </c>
      <c r="D63" s="748">
        <v>0.78769999999999996</v>
      </c>
      <c r="E63" s="748">
        <v>0.78769999999999996</v>
      </c>
      <c r="F63" s="748">
        <v>0.78769999999999996</v>
      </c>
      <c r="G63" s="748">
        <v>0.78769999999999996</v>
      </c>
      <c r="H63" s="748">
        <v>0.78769999999999996</v>
      </c>
      <c r="I63" s="748">
        <v>0.62029999999999996</v>
      </c>
      <c r="J63" s="748">
        <v>0.62029999999999996</v>
      </c>
      <c r="K63" s="748">
        <v>0.62029999999999996</v>
      </c>
      <c r="L63" s="748">
        <v>0.62029999999999996</v>
      </c>
      <c r="M63" s="748">
        <v>0.62029999999999996</v>
      </c>
    </row>
    <row r="64" spans="1:13">
      <c r="A64" s="744">
        <v>6.2</v>
      </c>
      <c r="B64" s="748">
        <v>0.89429999999999998</v>
      </c>
      <c r="C64" s="748">
        <v>0.89429999999999998</v>
      </c>
      <c r="D64" s="748">
        <v>0.78520000000000001</v>
      </c>
      <c r="E64" s="748">
        <v>0.78520000000000001</v>
      </c>
      <c r="F64" s="748">
        <v>0.78520000000000001</v>
      </c>
      <c r="G64" s="748">
        <v>0.78520000000000001</v>
      </c>
      <c r="H64" s="748">
        <v>0.78520000000000001</v>
      </c>
      <c r="I64" s="748">
        <v>0.61719999999999997</v>
      </c>
      <c r="J64" s="748">
        <v>0.61719999999999997</v>
      </c>
      <c r="K64" s="748">
        <v>0.61719999999999997</v>
      </c>
      <c r="L64" s="748">
        <v>0.61719999999999997</v>
      </c>
      <c r="M64" s="748">
        <v>0.61719999999999997</v>
      </c>
    </row>
    <row r="65" spans="1:13">
      <c r="A65" s="744">
        <v>6.3</v>
      </c>
      <c r="B65" s="748">
        <v>0.89200000000000002</v>
      </c>
      <c r="C65" s="748">
        <v>0.89200000000000002</v>
      </c>
      <c r="D65" s="748">
        <v>0.78280000000000005</v>
      </c>
      <c r="E65" s="748">
        <v>0.78280000000000005</v>
      </c>
      <c r="F65" s="748">
        <v>0.78280000000000005</v>
      </c>
      <c r="G65" s="748">
        <v>0.78280000000000005</v>
      </c>
      <c r="H65" s="748">
        <v>0.78280000000000005</v>
      </c>
      <c r="I65" s="748">
        <v>0.61409999999999998</v>
      </c>
      <c r="J65" s="748">
        <v>0.61409999999999998</v>
      </c>
      <c r="K65" s="748">
        <v>0.61409999999999998</v>
      </c>
      <c r="L65" s="748">
        <v>0.61409999999999998</v>
      </c>
      <c r="M65" s="748">
        <v>0.61409999999999998</v>
      </c>
    </row>
    <row r="66" spans="1:13">
      <c r="A66" s="744">
        <v>6.4</v>
      </c>
      <c r="B66" s="748">
        <v>0.88990000000000002</v>
      </c>
      <c r="C66" s="748">
        <v>0.88990000000000002</v>
      </c>
      <c r="D66" s="748">
        <v>0.78039999999999998</v>
      </c>
      <c r="E66" s="748">
        <v>0.78039999999999998</v>
      </c>
      <c r="F66" s="748">
        <v>0.78039999999999998</v>
      </c>
      <c r="G66" s="748">
        <v>0.78039999999999998</v>
      </c>
      <c r="H66" s="748">
        <v>0.78039999999999998</v>
      </c>
      <c r="I66" s="748">
        <v>0.61099999999999999</v>
      </c>
      <c r="J66" s="748">
        <v>0.61099999999999999</v>
      </c>
      <c r="K66" s="748">
        <v>0.61099999999999999</v>
      </c>
      <c r="L66" s="748">
        <v>0.61099999999999999</v>
      </c>
      <c r="M66" s="748">
        <v>0.61099999999999999</v>
      </c>
    </row>
    <row r="67" spans="1:13">
      <c r="A67" s="744">
        <v>6.5</v>
      </c>
      <c r="B67" s="748">
        <v>0.88780000000000003</v>
      </c>
      <c r="C67" s="748">
        <v>0.88780000000000003</v>
      </c>
      <c r="D67" s="748">
        <v>0.77810000000000001</v>
      </c>
      <c r="E67" s="748">
        <v>0.77810000000000001</v>
      </c>
      <c r="F67" s="748">
        <v>0.77810000000000001</v>
      </c>
      <c r="G67" s="748">
        <v>0.77810000000000001</v>
      </c>
      <c r="H67" s="748">
        <v>0.77810000000000001</v>
      </c>
      <c r="I67" s="748">
        <v>0.60799999999999998</v>
      </c>
      <c r="J67" s="748">
        <v>0.60799999999999998</v>
      </c>
      <c r="K67" s="748">
        <v>0.60799999999999998</v>
      </c>
      <c r="L67" s="748">
        <v>0.60799999999999998</v>
      </c>
      <c r="M67" s="748">
        <v>0.60799999999999998</v>
      </c>
    </row>
    <row r="68" spans="1:13">
      <c r="A68" s="744">
        <v>6.6</v>
      </c>
      <c r="B68" s="748">
        <v>0.88580000000000003</v>
      </c>
      <c r="C68" s="748">
        <v>0.88580000000000003</v>
      </c>
      <c r="D68" s="748">
        <v>0.77580000000000005</v>
      </c>
      <c r="E68" s="748">
        <v>0.77580000000000005</v>
      </c>
      <c r="F68" s="748">
        <v>0.77580000000000005</v>
      </c>
      <c r="G68" s="748">
        <v>0.77580000000000005</v>
      </c>
      <c r="H68" s="748">
        <v>0.77580000000000005</v>
      </c>
      <c r="I68" s="748">
        <v>0.60499999999999998</v>
      </c>
      <c r="J68" s="748">
        <v>0.60499999999999998</v>
      </c>
      <c r="K68" s="748">
        <v>0.60499999999999998</v>
      </c>
      <c r="L68" s="748">
        <v>0.60499999999999998</v>
      </c>
      <c r="M68" s="748">
        <v>0.60499999999999998</v>
      </c>
    </row>
    <row r="69" spans="1:13">
      <c r="A69" s="744">
        <v>6.7</v>
      </c>
      <c r="B69" s="748">
        <v>0.88380000000000003</v>
      </c>
      <c r="C69" s="748">
        <v>0.88380000000000003</v>
      </c>
      <c r="D69" s="748">
        <v>0.77359999999999995</v>
      </c>
      <c r="E69" s="748">
        <v>0.77359999999999995</v>
      </c>
      <c r="F69" s="748">
        <v>0.77359999999999995</v>
      </c>
      <c r="G69" s="748">
        <v>0.77359999999999995</v>
      </c>
      <c r="H69" s="748">
        <v>0.77359999999999995</v>
      </c>
      <c r="I69" s="748">
        <v>0.60209999999999997</v>
      </c>
      <c r="J69" s="748">
        <v>0.60209999999999997</v>
      </c>
      <c r="K69" s="748">
        <v>0.60209999999999997</v>
      </c>
      <c r="L69" s="748">
        <v>0.60209999999999997</v>
      </c>
      <c r="M69" s="748">
        <v>0.60209999999999997</v>
      </c>
    </row>
    <row r="70" spans="1:13">
      <c r="A70" s="744">
        <v>6.8</v>
      </c>
      <c r="B70" s="748">
        <v>0.88190000000000002</v>
      </c>
      <c r="C70" s="748">
        <v>0.88190000000000002</v>
      </c>
      <c r="D70" s="748">
        <v>0.77159999999999995</v>
      </c>
      <c r="E70" s="748">
        <v>0.77159999999999995</v>
      </c>
      <c r="F70" s="748">
        <v>0.77159999999999995</v>
      </c>
      <c r="G70" s="748">
        <v>0.77159999999999995</v>
      </c>
      <c r="H70" s="748">
        <v>0.77159999999999995</v>
      </c>
      <c r="I70" s="748">
        <v>0.59930000000000005</v>
      </c>
      <c r="J70" s="748">
        <v>0.59930000000000005</v>
      </c>
      <c r="K70" s="748">
        <v>0.59930000000000005</v>
      </c>
      <c r="L70" s="748">
        <v>0.59930000000000005</v>
      </c>
      <c r="M70" s="748">
        <v>0.59930000000000005</v>
      </c>
    </row>
    <row r="71" spans="1:13">
      <c r="A71" s="744">
        <v>6.9</v>
      </c>
      <c r="B71" s="748">
        <v>0.88</v>
      </c>
      <c r="C71" s="748">
        <v>0.88</v>
      </c>
      <c r="D71" s="748">
        <v>0.76949999999999996</v>
      </c>
      <c r="E71" s="748">
        <v>0.76949999999999996</v>
      </c>
      <c r="F71" s="748">
        <v>0.76949999999999996</v>
      </c>
      <c r="G71" s="748">
        <v>0.76949999999999996</v>
      </c>
      <c r="H71" s="748">
        <v>0.76949999999999996</v>
      </c>
      <c r="I71" s="748">
        <v>0.59640000000000004</v>
      </c>
      <c r="J71" s="748">
        <v>0.59640000000000004</v>
      </c>
      <c r="K71" s="748">
        <v>0.59640000000000004</v>
      </c>
      <c r="L71" s="748">
        <v>0.59640000000000004</v>
      </c>
      <c r="M71" s="748">
        <v>0.59640000000000004</v>
      </c>
    </row>
    <row r="72" spans="1:13">
      <c r="A72" s="744">
        <v>7</v>
      </c>
      <c r="B72" s="748">
        <v>0.87819999999999998</v>
      </c>
      <c r="C72" s="748">
        <v>0.87819999999999998</v>
      </c>
      <c r="D72" s="748">
        <v>0.76749999999999996</v>
      </c>
      <c r="E72" s="748">
        <v>0.76749999999999996</v>
      </c>
      <c r="F72" s="748">
        <v>0.76749999999999996</v>
      </c>
      <c r="G72" s="748">
        <v>0.76749999999999996</v>
      </c>
      <c r="H72" s="748">
        <v>0.76749999999999996</v>
      </c>
      <c r="I72" s="748">
        <v>0.59360000000000002</v>
      </c>
      <c r="J72" s="748">
        <v>0.59360000000000002</v>
      </c>
      <c r="K72" s="748">
        <v>0.59360000000000002</v>
      </c>
      <c r="L72" s="748">
        <v>0.59360000000000002</v>
      </c>
      <c r="M72" s="748">
        <v>0.59360000000000002</v>
      </c>
    </row>
    <row r="73" spans="1:13">
      <c r="A73" s="744">
        <v>7.1</v>
      </c>
      <c r="B73" s="748">
        <v>0.87660000000000005</v>
      </c>
      <c r="C73" s="748">
        <v>0.87660000000000005</v>
      </c>
      <c r="D73" s="748">
        <v>0.76570000000000005</v>
      </c>
      <c r="E73" s="748">
        <v>0.76570000000000005</v>
      </c>
      <c r="F73" s="748">
        <v>0.76570000000000005</v>
      </c>
      <c r="G73" s="748">
        <v>0.76570000000000005</v>
      </c>
      <c r="H73" s="748">
        <v>0.76570000000000005</v>
      </c>
      <c r="I73" s="748">
        <v>0.59109999999999996</v>
      </c>
      <c r="J73" s="748">
        <v>0.59109999999999996</v>
      </c>
      <c r="K73" s="748">
        <v>0.59109999999999996</v>
      </c>
      <c r="L73" s="748">
        <v>0.59109999999999996</v>
      </c>
      <c r="M73" s="748">
        <v>0.59109999999999996</v>
      </c>
    </row>
    <row r="74" spans="1:13">
      <c r="A74" s="744">
        <v>7.2</v>
      </c>
      <c r="B74" s="748">
        <v>0.87490000000000001</v>
      </c>
      <c r="C74" s="748">
        <v>0.87490000000000001</v>
      </c>
      <c r="D74" s="748">
        <v>0.76380000000000003</v>
      </c>
      <c r="E74" s="748">
        <v>0.76380000000000003</v>
      </c>
      <c r="F74" s="748">
        <v>0.76380000000000003</v>
      </c>
      <c r="G74" s="748">
        <v>0.76380000000000003</v>
      </c>
      <c r="H74" s="748">
        <v>0.76380000000000003</v>
      </c>
      <c r="I74" s="748">
        <v>0.58860000000000001</v>
      </c>
      <c r="J74" s="748">
        <v>0.58860000000000001</v>
      </c>
      <c r="K74" s="748">
        <v>0.58860000000000001</v>
      </c>
      <c r="L74" s="748">
        <v>0.58860000000000001</v>
      </c>
      <c r="M74" s="748">
        <v>0.58860000000000001</v>
      </c>
    </row>
    <row r="75" spans="1:13">
      <c r="A75" s="744">
        <v>7.3</v>
      </c>
      <c r="B75" s="748">
        <v>0.87329999999999997</v>
      </c>
      <c r="C75" s="748">
        <v>0.87329999999999997</v>
      </c>
      <c r="D75" s="748">
        <v>0.76200000000000001</v>
      </c>
      <c r="E75" s="748">
        <v>0.76200000000000001</v>
      </c>
      <c r="F75" s="748">
        <v>0.76200000000000001</v>
      </c>
      <c r="G75" s="748">
        <v>0.76200000000000001</v>
      </c>
      <c r="H75" s="748">
        <v>0.76200000000000001</v>
      </c>
      <c r="I75" s="748">
        <v>0.58620000000000005</v>
      </c>
      <c r="J75" s="748">
        <v>0.58620000000000005</v>
      </c>
      <c r="K75" s="748">
        <v>0.58620000000000005</v>
      </c>
      <c r="L75" s="748">
        <v>0.58620000000000005</v>
      </c>
      <c r="M75" s="748">
        <v>0.58620000000000005</v>
      </c>
    </row>
    <row r="76" spans="1:13">
      <c r="A76" s="744">
        <v>7.4</v>
      </c>
      <c r="B76" s="748">
        <v>0.87160000000000004</v>
      </c>
      <c r="C76" s="748">
        <v>0.87160000000000004</v>
      </c>
      <c r="D76" s="748">
        <v>0.76029999999999998</v>
      </c>
      <c r="E76" s="748">
        <v>0.76029999999999998</v>
      </c>
      <c r="F76" s="748">
        <v>0.76029999999999998</v>
      </c>
      <c r="G76" s="748">
        <v>0.76029999999999998</v>
      </c>
      <c r="H76" s="748">
        <v>0.76029999999999998</v>
      </c>
      <c r="I76" s="748">
        <v>0.58379999999999999</v>
      </c>
      <c r="J76" s="748">
        <v>0.58379999999999999</v>
      </c>
      <c r="K76" s="748">
        <v>0.58379999999999999</v>
      </c>
      <c r="L76" s="748">
        <v>0.58379999999999999</v>
      </c>
      <c r="M76" s="748">
        <v>0.58379999999999999</v>
      </c>
    </row>
    <row r="77" spans="1:13">
      <c r="A77" s="744">
        <v>7.5</v>
      </c>
      <c r="B77" s="748">
        <v>0.87</v>
      </c>
      <c r="C77" s="748">
        <v>0.87</v>
      </c>
      <c r="D77" s="748">
        <v>0.75849999999999995</v>
      </c>
      <c r="E77" s="748">
        <v>0.75849999999999995</v>
      </c>
      <c r="F77" s="748">
        <v>0.75849999999999995</v>
      </c>
      <c r="G77" s="748">
        <v>0.75849999999999995</v>
      </c>
      <c r="H77" s="748">
        <v>0.75849999999999995</v>
      </c>
      <c r="I77" s="748">
        <v>0.58140000000000003</v>
      </c>
      <c r="J77" s="748">
        <v>0.58140000000000003</v>
      </c>
      <c r="K77" s="748">
        <v>0.58140000000000003</v>
      </c>
      <c r="L77" s="748">
        <v>0.58140000000000003</v>
      </c>
      <c r="M77" s="748">
        <v>0.58140000000000003</v>
      </c>
    </row>
    <row r="78" spans="1:13">
      <c r="A78" s="744">
        <v>7.6</v>
      </c>
      <c r="B78" s="748">
        <v>0.86839999999999995</v>
      </c>
      <c r="C78" s="748">
        <v>0.86839999999999995</v>
      </c>
      <c r="D78" s="748">
        <v>0.75680000000000003</v>
      </c>
      <c r="E78" s="748">
        <v>0.75680000000000003</v>
      </c>
      <c r="F78" s="748">
        <v>0.75680000000000003</v>
      </c>
      <c r="G78" s="748">
        <v>0.75680000000000003</v>
      </c>
      <c r="H78" s="748">
        <v>0.75680000000000003</v>
      </c>
      <c r="I78" s="748">
        <v>0.57899999999999996</v>
      </c>
      <c r="J78" s="748">
        <v>0.57899999999999996</v>
      </c>
      <c r="K78" s="748">
        <v>0.57899999999999996</v>
      </c>
      <c r="L78" s="748">
        <v>0.57899999999999996</v>
      </c>
      <c r="M78" s="748">
        <v>0.57899999999999996</v>
      </c>
    </row>
    <row r="79" spans="1:13">
      <c r="A79" s="744">
        <v>7.7</v>
      </c>
      <c r="B79" s="748">
        <v>0.8669</v>
      </c>
      <c r="C79" s="748">
        <v>0.8669</v>
      </c>
      <c r="D79" s="748">
        <v>0.755</v>
      </c>
      <c r="E79" s="748">
        <v>0.755</v>
      </c>
      <c r="F79" s="748">
        <v>0.755</v>
      </c>
      <c r="G79" s="748">
        <v>0.755</v>
      </c>
      <c r="H79" s="748">
        <v>0.755</v>
      </c>
      <c r="I79" s="748">
        <v>0.57669999999999999</v>
      </c>
      <c r="J79" s="748">
        <v>0.57669999999999999</v>
      </c>
      <c r="K79" s="748">
        <v>0.57669999999999999</v>
      </c>
      <c r="L79" s="748">
        <v>0.57669999999999999</v>
      </c>
      <c r="M79" s="748">
        <v>0.57669999999999999</v>
      </c>
    </row>
    <row r="80" spans="1:13">
      <c r="A80" s="744">
        <v>7.8</v>
      </c>
      <c r="B80" s="748">
        <v>0.86539999999999995</v>
      </c>
      <c r="C80" s="748">
        <v>0.86539999999999995</v>
      </c>
      <c r="D80" s="748">
        <v>0.75329999999999997</v>
      </c>
      <c r="E80" s="748">
        <v>0.75329999999999997</v>
      </c>
      <c r="F80" s="748">
        <v>0.75329999999999997</v>
      </c>
      <c r="G80" s="748">
        <v>0.75329999999999997</v>
      </c>
      <c r="H80" s="748">
        <v>0.75329999999999997</v>
      </c>
      <c r="I80" s="748">
        <v>0.57450000000000001</v>
      </c>
      <c r="J80" s="748">
        <v>0.57450000000000001</v>
      </c>
      <c r="K80" s="748">
        <v>0.57450000000000001</v>
      </c>
      <c r="L80" s="748">
        <v>0.57450000000000001</v>
      </c>
      <c r="M80" s="748">
        <v>0.57450000000000001</v>
      </c>
    </row>
    <row r="81" spans="1:13">
      <c r="A81" s="744">
        <v>7.9</v>
      </c>
      <c r="B81" s="748">
        <v>0.86380000000000001</v>
      </c>
      <c r="C81" s="748">
        <v>0.86380000000000001</v>
      </c>
      <c r="D81" s="748">
        <v>0.75170000000000003</v>
      </c>
      <c r="E81" s="748">
        <v>0.75170000000000003</v>
      </c>
      <c r="F81" s="748">
        <v>0.75170000000000003</v>
      </c>
      <c r="G81" s="748">
        <v>0.75170000000000003</v>
      </c>
      <c r="H81" s="748">
        <v>0.75170000000000003</v>
      </c>
      <c r="I81" s="748">
        <v>0.57220000000000004</v>
      </c>
      <c r="J81" s="748">
        <v>0.57220000000000004</v>
      </c>
      <c r="K81" s="748">
        <v>0.57220000000000004</v>
      </c>
      <c r="L81" s="748">
        <v>0.57220000000000004</v>
      </c>
      <c r="M81" s="748">
        <v>0.57220000000000004</v>
      </c>
    </row>
    <row r="82" spans="1:13">
      <c r="A82" s="744">
        <v>8</v>
      </c>
      <c r="B82" s="748">
        <v>0.86240000000000006</v>
      </c>
      <c r="C82" s="748">
        <v>0.86240000000000006</v>
      </c>
      <c r="D82" s="748">
        <v>0.75</v>
      </c>
      <c r="E82" s="748">
        <v>0.75</v>
      </c>
      <c r="F82" s="748">
        <v>0.75</v>
      </c>
      <c r="G82" s="748">
        <v>0.75</v>
      </c>
      <c r="H82" s="748">
        <v>0.75</v>
      </c>
      <c r="I82" s="748">
        <v>0.56989999999999996</v>
      </c>
      <c r="J82" s="748">
        <v>0.56989999999999996</v>
      </c>
      <c r="K82" s="748">
        <v>0.56989999999999996</v>
      </c>
      <c r="L82" s="748">
        <v>0.56989999999999996</v>
      </c>
      <c r="M82" s="748">
        <v>0.56989999999999996</v>
      </c>
    </row>
    <row r="83" spans="1:13">
      <c r="A83" s="744">
        <v>8.1</v>
      </c>
      <c r="B83" s="748">
        <v>0.86099999999999999</v>
      </c>
      <c r="C83" s="748">
        <v>0.86099999999999999</v>
      </c>
      <c r="D83" s="748">
        <v>0.74850000000000005</v>
      </c>
      <c r="E83" s="748">
        <v>0.74850000000000005</v>
      </c>
      <c r="F83" s="748">
        <v>0.74850000000000005</v>
      </c>
      <c r="G83" s="748">
        <v>0.74850000000000005</v>
      </c>
      <c r="H83" s="748">
        <v>0.74850000000000005</v>
      </c>
      <c r="I83" s="748">
        <v>0.56779999999999997</v>
      </c>
      <c r="J83" s="748">
        <v>0.56779999999999997</v>
      </c>
      <c r="K83" s="748">
        <v>0.56779999999999997</v>
      </c>
      <c r="L83" s="748">
        <v>0.56779999999999997</v>
      </c>
      <c r="M83" s="748">
        <v>0.56779999999999997</v>
      </c>
    </row>
    <row r="84" spans="1:13">
      <c r="A84" s="744">
        <v>8.1999999999999993</v>
      </c>
      <c r="B84" s="748">
        <v>0.85970000000000002</v>
      </c>
      <c r="C84" s="748">
        <v>0.85970000000000002</v>
      </c>
      <c r="D84" s="748">
        <v>0.747</v>
      </c>
      <c r="E84" s="748">
        <v>0.747</v>
      </c>
      <c r="F84" s="748">
        <v>0.747</v>
      </c>
      <c r="G84" s="748">
        <v>0.747</v>
      </c>
      <c r="H84" s="748">
        <v>0.747</v>
      </c>
      <c r="I84" s="748">
        <v>0.56589999999999996</v>
      </c>
      <c r="J84" s="748">
        <v>0.56589999999999996</v>
      </c>
      <c r="K84" s="748">
        <v>0.56589999999999996</v>
      </c>
      <c r="L84" s="748">
        <v>0.56589999999999996</v>
      </c>
      <c r="M84" s="748">
        <v>0.56589999999999996</v>
      </c>
    </row>
    <row r="85" spans="1:13">
      <c r="A85" s="744">
        <v>8.3000000000000007</v>
      </c>
      <c r="B85" s="748">
        <v>0.85840000000000005</v>
      </c>
      <c r="C85" s="748">
        <v>0.85840000000000005</v>
      </c>
      <c r="D85" s="748">
        <v>0.74560000000000004</v>
      </c>
      <c r="E85" s="748">
        <v>0.74560000000000004</v>
      </c>
      <c r="F85" s="748">
        <v>0.74560000000000004</v>
      </c>
      <c r="G85" s="748">
        <v>0.74560000000000004</v>
      </c>
      <c r="H85" s="748">
        <v>0.74560000000000004</v>
      </c>
      <c r="I85" s="748">
        <v>0.56389999999999996</v>
      </c>
      <c r="J85" s="748">
        <v>0.56389999999999996</v>
      </c>
      <c r="K85" s="748">
        <v>0.56389999999999996</v>
      </c>
      <c r="L85" s="748">
        <v>0.56389999999999996</v>
      </c>
      <c r="M85" s="748">
        <v>0.56389999999999996</v>
      </c>
    </row>
    <row r="86" spans="1:13">
      <c r="A86" s="744">
        <v>8.4</v>
      </c>
      <c r="B86" s="748">
        <v>0.85709999999999997</v>
      </c>
      <c r="C86" s="748">
        <v>0.85709999999999997</v>
      </c>
      <c r="D86" s="748">
        <v>0.74419999999999997</v>
      </c>
      <c r="E86" s="748">
        <v>0.74419999999999997</v>
      </c>
      <c r="F86" s="748">
        <v>0.74419999999999997</v>
      </c>
      <c r="G86" s="748">
        <v>0.74419999999999997</v>
      </c>
      <c r="H86" s="748">
        <v>0.74419999999999997</v>
      </c>
      <c r="I86" s="748">
        <v>0.56189999999999996</v>
      </c>
      <c r="J86" s="748">
        <v>0.56189999999999996</v>
      </c>
      <c r="K86" s="748">
        <v>0.56189999999999996</v>
      </c>
      <c r="L86" s="748">
        <v>0.56189999999999996</v>
      </c>
      <c r="M86" s="748">
        <v>0.56189999999999996</v>
      </c>
    </row>
    <row r="87" spans="1:13">
      <c r="A87" s="744">
        <v>8.5</v>
      </c>
      <c r="B87" s="748">
        <v>0.85580000000000001</v>
      </c>
      <c r="C87" s="748">
        <v>0.85580000000000001</v>
      </c>
      <c r="D87" s="748">
        <v>0.74270000000000003</v>
      </c>
      <c r="E87" s="748">
        <v>0.74270000000000003</v>
      </c>
      <c r="F87" s="748">
        <v>0.74270000000000003</v>
      </c>
      <c r="G87" s="748">
        <v>0.74270000000000003</v>
      </c>
      <c r="H87" s="748">
        <v>0.74270000000000003</v>
      </c>
      <c r="I87" s="748">
        <v>0.55989999999999995</v>
      </c>
      <c r="J87" s="748">
        <v>0.55989999999999995</v>
      </c>
      <c r="K87" s="748">
        <v>0.55989999999999995</v>
      </c>
      <c r="L87" s="748">
        <v>0.55989999999999995</v>
      </c>
      <c r="M87" s="748">
        <v>0.55989999999999995</v>
      </c>
    </row>
    <row r="88" spans="1:13">
      <c r="A88" s="744">
        <v>8.6</v>
      </c>
      <c r="B88" s="748">
        <v>0.85450000000000004</v>
      </c>
      <c r="C88" s="748">
        <v>0.85450000000000004</v>
      </c>
      <c r="D88" s="748">
        <v>0.74129999999999996</v>
      </c>
      <c r="E88" s="748">
        <v>0.74129999999999996</v>
      </c>
      <c r="F88" s="748">
        <v>0.74129999999999996</v>
      </c>
      <c r="G88" s="748">
        <v>0.74129999999999996</v>
      </c>
      <c r="H88" s="748">
        <v>0.74129999999999996</v>
      </c>
      <c r="I88" s="748">
        <v>0.55800000000000005</v>
      </c>
      <c r="J88" s="748">
        <v>0.55800000000000005</v>
      </c>
      <c r="K88" s="748">
        <v>0.55800000000000005</v>
      </c>
      <c r="L88" s="748">
        <v>0.55800000000000005</v>
      </c>
      <c r="M88" s="748">
        <v>0.55800000000000005</v>
      </c>
    </row>
    <row r="89" spans="1:13">
      <c r="A89" s="744">
        <v>8.6999999999999993</v>
      </c>
      <c r="B89" s="748">
        <v>0.85329999999999995</v>
      </c>
      <c r="C89" s="748">
        <v>0.85329999999999995</v>
      </c>
      <c r="D89" s="748">
        <v>0.7399</v>
      </c>
      <c r="E89" s="748">
        <v>0.7399</v>
      </c>
      <c r="F89" s="748">
        <v>0.7399</v>
      </c>
      <c r="G89" s="748">
        <v>0.7399</v>
      </c>
      <c r="H89" s="748">
        <v>0.7399</v>
      </c>
      <c r="I89" s="748">
        <v>0.55600000000000005</v>
      </c>
      <c r="J89" s="748">
        <v>0.55600000000000005</v>
      </c>
      <c r="K89" s="748">
        <v>0.55600000000000005</v>
      </c>
      <c r="L89" s="748">
        <v>0.55600000000000005</v>
      </c>
      <c r="M89" s="748">
        <v>0.55600000000000005</v>
      </c>
    </row>
    <row r="90" spans="1:13">
      <c r="A90" s="744">
        <v>8.8000000000000007</v>
      </c>
      <c r="B90" s="748">
        <v>0.85209999999999997</v>
      </c>
      <c r="C90" s="748">
        <v>0.85209999999999997</v>
      </c>
      <c r="D90" s="748">
        <v>0.73850000000000005</v>
      </c>
      <c r="E90" s="748">
        <v>0.73850000000000005</v>
      </c>
      <c r="F90" s="748">
        <v>0.73850000000000005</v>
      </c>
      <c r="G90" s="748">
        <v>0.73850000000000005</v>
      </c>
      <c r="H90" s="748">
        <v>0.73850000000000005</v>
      </c>
      <c r="I90" s="748">
        <v>0.55420000000000003</v>
      </c>
      <c r="J90" s="748">
        <v>0.55420000000000003</v>
      </c>
      <c r="K90" s="748">
        <v>0.55420000000000003</v>
      </c>
      <c r="L90" s="748">
        <v>0.55420000000000003</v>
      </c>
      <c r="M90" s="748">
        <v>0.55420000000000003</v>
      </c>
    </row>
    <row r="91" spans="1:13">
      <c r="A91" s="744">
        <v>8.9</v>
      </c>
      <c r="B91" s="748">
        <v>0.85099999999999998</v>
      </c>
      <c r="C91" s="748">
        <v>0.85099999999999998</v>
      </c>
      <c r="D91" s="748">
        <v>0.73719999999999997</v>
      </c>
      <c r="E91" s="748">
        <v>0.73719999999999997</v>
      </c>
      <c r="F91" s="748">
        <v>0.73719999999999997</v>
      </c>
      <c r="G91" s="748">
        <v>0.73719999999999997</v>
      </c>
      <c r="H91" s="748">
        <v>0.73719999999999997</v>
      </c>
      <c r="I91" s="748">
        <v>0.55230000000000001</v>
      </c>
      <c r="J91" s="748">
        <v>0.55230000000000001</v>
      </c>
      <c r="K91" s="748">
        <v>0.55230000000000001</v>
      </c>
      <c r="L91" s="748">
        <v>0.55230000000000001</v>
      </c>
      <c r="M91" s="748">
        <v>0.55230000000000001</v>
      </c>
    </row>
    <row r="92" spans="1:13">
      <c r="A92" s="750">
        <v>9</v>
      </c>
      <c r="B92" s="748">
        <v>0.8498</v>
      </c>
      <c r="C92" s="748">
        <v>0.8498</v>
      </c>
      <c r="D92" s="748">
        <v>0.7359</v>
      </c>
      <c r="E92" s="748">
        <v>0.7359</v>
      </c>
      <c r="F92" s="748">
        <v>0.7359</v>
      </c>
      <c r="G92" s="748">
        <v>0.7359</v>
      </c>
      <c r="H92" s="748">
        <v>0.7359</v>
      </c>
      <c r="I92" s="748">
        <v>0.55049999999999999</v>
      </c>
      <c r="J92" s="748">
        <v>0.55049999999999999</v>
      </c>
      <c r="K92" s="748">
        <v>0.55049999999999999</v>
      </c>
      <c r="L92" s="748">
        <v>0.55049999999999999</v>
      </c>
      <c r="M92" s="748">
        <v>0.55049999999999999</v>
      </c>
    </row>
    <row r="93" spans="1:13">
      <c r="A93" s="750">
        <v>9.1</v>
      </c>
      <c r="B93" s="748">
        <v>0.84870000000000001</v>
      </c>
      <c r="C93" s="748">
        <v>0.84870000000000001</v>
      </c>
      <c r="D93" s="748">
        <v>0.73470000000000002</v>
      </c>
      <c r="E93" s="748">
        <v>0.73470000000000002</v>
      </c>
      <c r="F93" s="748">
        <v>0.73470000000000002</v>
      </c>
      <c r="G93" s="748">
        <v>0.73470000000000002</v>
      </c>
      <c r="H93" s="748">
        <v>0.73470000000000002</v>
      </c>
      <c r="I93" s="748">
        <v>0.54879999999999995</v>
      </c>
      <c r="J93" s="748">
        <v>0.54879999999999995</v>
      </c>
      <c r="K93" s="748">
        <v>0.54879999999999995</v>
      </c>
      <c r="L93" s="748">
        <v>0.54879999999999995</v>
      </c>
      <c r="M93" s="748">
        <v>0.54879999999999995</v>
      </c>
    </row>
    <row r="94" spans="1:13">
      <c r="A94" s="750">
        <v>9.1999999999999993</v>
      </c>
      <c r="B94" s="748">
        <v>0.84770000000000001</v>
      </c>
      <c r="C94" s="748">
        <v>0.84770000000000001</v>
      </c>
      <c r="D94" s="748">
        <v>0.73350000000000004</v>
      </c>
      <c r="E94" s="748">
        <v>0.73350000000000004</v>
      </c>
      <c r="F94" s="748">
        <v>0.73350000000000004</v>
      </c>
      <c r="G94" s="748">
        <v>0.73350000000000004</v>
      </c>
      <c r="H94" s="748">
        <v>0.73350000000000004</v>
      </c>
      <c r="I94" s="748">
        <v>0.54710000000000003</v>
      </c>
      <c r="J94" s="748">
        <v>0.54710000000000003</v>
      </c>
      <c r="K94" s="748">
        <v>0.54710000000000003</v>
      </c>
      <c r="L94" s="748">
        <v>0.54710000000000003</v>
      </c>
      <c r="M94" s="748">
        <v>0.54710000000000003</v>
      </c>
    </row>
    <row r="95" spans="1:13">
      <c r="A95" s="750">
        <v>9.3000000000000007</v>
      </c>
      <c r="B95" s="748">
        <v>0.84660000000000002</v>
      </c>
      <c r="C95" s="748">
        <v>0.84660000000000002</v>
      </c>
      <c r="D95" s="748">
        <v>0.73229999999999995</v>
      </c>
      <c r="E95" s="748">
        <v>0.73229999999999995</v>
      </c>
      <c r="F95" s="748">
        <v>0.73229999999999995</v>
      </c>
      <c r="G95" s="748">
        <v>0.73229999999999995</v>
      </c>
      <c r="H95" s="748">
        <v>0.73229999999999995</v>
      </c>
      <c r="I95" s="748">
        <v>0.5454</v>
      </c>
      <c r="J95" s="748">
        <v>0.5454</v>
      </c>
      <c r="K95" s="748">
        <v>0.5454</v>
      </c>
      <c r="L95" s="748">
        <v>0.5454</v>
      </c>
      <c r="M95" s="748">
        <v>0.5454</v>
      </c>
    </row>
    <row r="96" spans="1:13">
      <c r="A96" s="750">
        <v>9.4</v>
      </c>
      <c r="B96" s="748">
        <v>0.84550000000000003</v>
      </c>
      <c r="C96" s="748">
        <v>0.84550000000000003</v>
      </c>
      <c r="D96" s="748">
        <v>0.73109999999999997</v>
      </c>
      <c r="E96" s="748">
        <v>0.73109999999999997</v>
      </c>
      <c r="F96" s="748">
        <v>0.73109999999999997</v>
      </c>
      <c r="G96" s="748">
        <v>0.73109999999999997</v>
      </c>
      <c r="H96" s="748">
        <v>0.73109999999999997</v>
      </c>
      <c r="I96" s="748">
        <v>0.54369999999999996</v>
      </c>
      <c r="J96" s="748">
        <v>0.54369999999999996</v>
      </c>
      <c r="K96" s="748">
        <v>0.54369999999999996</v>
      </c>
      <c r="L96" s="748">
        <v>0.54369999999999996</v>
      </c>
      <c r="M96" s="748">
        <v>0.54369999999999996</v>
      </c>
    </row>
    <row r="97" spans="1:14">
      <c r="A97" s="750">
        <v>9.5</v>
      </c>
      <c r="B97" s="748">
        <v>0.84450000000000003</v>
      </c>
      <c r="C97" s="748">
        <v>0.84450000000000003</v>
      </c>
      <c r="D97" s="748">
        <v>0.72989999999999999</v>
      </c>
      <c r="E97" s="748">
        <v>0.72989999999999999</v>
      </c>
      <c r="F97" s="748">
        <v>0.72989999999999999</v>
      </c>
      <c r="G97" s="748">
        <v>0.72989999999999999</v>
      </c>
      <c r="H97" s="748">
        <v>0.72989999999999999</v>
      </c>
      <c r="I97" s="748">
        <v>0.54200000000000004</v>
      </c>
      <c r="J97" s="748">
        <v>0.54200000000000004</v>
      </c>
      <c r="K97" s="748">
        <v>0.54200000000000004</v>
      </c>
      <c r="L97" s="748">
        <v>0.54200000000000004</v>
      </c>
      <c r="M97" s="748">
        <v>0.54200000000000004</v>
      </c>
    </row>
    <row r="98" spans="1:14">
      <c r="A98" s="750">
        <v>9.6</v>
      </c>
      <c r="B98" s="748">
        <v>0.84340000000000004</v>
      </c>
      <c r="C98" s="748">
        <v>0.84340000000000004</v>
      </c>
      <c r="D98" s="748">
        <v>0.72870000000000001</v>
      </c>
      <c r="E98" s="748">
        <v>0.72870000000000001</v>
      </c>
      <c r="F98" s="748">
        <v>0.72870000000000001</v>
      </c>
      <c r="G98" s="748">
        <v>0.72870000000000001</v>
      </c>
      <c r="H98" s="748">
        <v>0.72870000000000001</v>
      </c>
      <c r="I98" s="748">
        <v>0.5403</v>
      </c>
      <c r="J98" s="748">
        <v>0.5403</v>
      </c>
      <c r="K98" s="748">
        <v>0.5403</v>
      </c>
      <c r="L98" s="748">
        <v>0.5403</v>
      </c>
      <c r="M98" s="748">
        <v>0.5403</v>
      </c>
    </row>
    <row r="99" spans="1:14">
      <c r="A99" s="750">
        <v>9.6999999999999993</v>
      </c>
      <c r="B99" s="748">
        <v>0.84230000000000005</v>
      </c>
      <c r="C99" s="748">
        <v>0.84230000000000005</v>
      </c>
      <c r="D99" s="748">
        <v>0.72750000000000004</v>
      </c>
      <c r="E99" s="748">
        <v>0.72750000000000004</v>
      </c>
      <c r="F99" s="748">
        <v>0.72750000000000004</v>
      </c>
      <c r="G99" s="748">
        <v>0.72750000000000004</v>
      </c>
      <c r="H99" s="748">
        <v>0.72750000000000004</v>
      </c>
      <c r="I99" s="748">
        <v>0.53859999999999997</v>
      </c>
      <c r="J99" s="748">
        <v>0.53859999999999997</v>
      </c>
      <c r="K99" s="748">
        <v>0.53859999999999997</v>
      </c>
      <c r="L99" s="748">
        <v>0.53859999999999997</v>
      </c>
      <c r="M99" s="748">
        <v>0.53859999999999997</v>
      </c>
    </row>
    <row r="100" spans="1:14">
      <c r="A100" s="750">
        <v>9.8000000000000007</v>
      </c>
      <c r="B100" s="748">
        <v>0.84140000000000004</v>
      </c>
      <c r="C100" s="748">
        <v>0.84140000000000004</v>
      </c>
      <c r="D100" s="748">
        <v>0.72629999999999995</v>
      </c>
      <c r="E100" s="748">
        <v>0.72629999999999995</v>
      </c>
      <c r="F100" s="748">
        <v>0.72629999999999995</v>
      </c>
      <c r="G100" s="748">
        <v>0.72629999999999995</v>
      </c>
      <c r="H100" s="748">
        <v>0.72629999999999995</v>
      </c>
      <c r="I100" s="748">
        <v>0.53710000000000002</v>
      </c>
      <c r="J100" s="748">
        <v>0.53710000000000002</v>
      </c>
      <c r="K100" s="748">
        <v>0.53710000000000002</v>
      </c>
      <c r="L100" s="748">
        <v>0.53710000000000002</v>
      </c>
      <c r="M100" s="748">
        <v>0.53710000000000002</v>
      </c>
    </row>
    <row r="101" spans="1:14">
      <c r="A101" s="750">
        <v>9.9</v>
      </c>
      <c r="B101" s="748">
        <v>0.84050000000000002</v>
      </c>
      <c r="C101" s="748">
        <v>0.84050000000000002</v>
      </c>
      <c r="D101" s="748">
        <v>0.72519999999999996</v>
      </c>
      <c r="E101" s="748">
        <v>0.72519999999999996</v>
      </c>
      <c r="F101" s="748">
        <v>0.72519999999999996</v>
      </c>
      <c r="G101" s="748">
        <v>0.72519999999999996</v>
      </c>
      <c r="H101" s="748">
        <v>0.72519999999999996</v>
      </c>
      <c r="I101" s="748">
        <v>0.53549999999999998</v>
      </c>
      <c r="J101" s="748">
        <v>0.53549999999999998</v>
      </c>
      <c r="K101" s="748">
        <v>0.53549999999999998</v>
      </c>
      <c r="L101" s="748">
        <v>0.53549999999999998</v>
      </c>
      <c r="M101" s="748">
        <v>0.53549999999999998</v>
      </c>
    </row>
    <row r="102" spans="1:14">
      <c r="A102" s="750">
        <v>10</v>
      </c>
      <c r="B102" s="748">
        <v>0.83950000000000002</v>
      </c>
      <c r="C102" s="748">
        <v>0.83950000000000002</v>
      </c>
      <c r="D102" s="748">
        <v>0.72409999999999997</v>
      </c>
      <c r="E102" s="748">
        <v>0.72409999999999997</v>
      </c>
      <c r="F102" s="748">
        <v>0.72409999999999997</v>
      </c>
      <c r="G102" s="748">
        <v>0.72409999999999997</v>
      </c>
      <c r="H102" s="748">
        <v>0.72409999999999997</v>
      </c>
      <c r="I102" s="748">
        <v>0.53400000000000003</v>
      </c>
      <c r="J102" s="748">
        <v>0.53400000000000003</v>
      </c>
      <c r="K102" s="748">
        <v>0.53400000000000003</v>
      </c>
      <c r="L102" s="748">
        <v>0.53400000000000003</v>
      </c>
      <c r="M102" s="748">
        <v>0.53400000000000003</v>
      </c>
    </row>
    <row r="103" spans="1:14" ht="14.25">
      <c r="A103" s="741" t="s">
        <v>526</v>
      </c>
      <c r="B103" s="742"/>
      <c r="C103" s="742"/>
      <c r="D103" s="742"/>
      <c r="E103" s="742"/>
      <c r="F103" s="742"/>
      <c r="G103" s="742"/>
      <c r="H103" s="742"/>
      <c r="I103" s="742"/>
      <c r="J103" s="742"/>
      <c r="K103" s="742"/>
      <c r="L103" s="742"/>
      <c r="M103" s="742"/>
      <c r="N103" s="742"/>
    </row>
    <row r="104" spans="1:14" ht="14.25">
      <c r="A104" s="744" t="s">
        <v>524</v>
      </c>
      <c r="B104" s="745" t="s">
        <v>106</v>
      </c>
      <c r="C104" s="745" t="s">
        <v>107</v>
      </c>
      <c r="D104" s="745" t="s">
        <v>108</v>
      </c>
      <c r="E104" s="745" t="s">
        <v>109</v>
      </c>
      <c r="F104" s="745" t="s">
        <v>110</v>
      </c>
      <c r="G104" s="745" t="s">
        <v>111</v>
      </c>
      <c r="H104" s="746" t="s">
        <v>112</v>
      </c>
      <c r="I104" s="746" t="s">
        <v>113</v>
      </c>
      <c r="J104" s="747" t="s">
        <v>114</v>
      </c>
      <c r="K104" s="747" t="s">
        <v>115</v>
      </c>
      <c r="L104" s="747" t="s">
        <v>116</v>
      </c>
      <c r="M104" s="747" t="s">
        <v>117</v>
      </c>
      <c r="N104" s="742">
        <f>SUMPRODUCT((A105:A204=ROUNDDOWN(基准地价修正!G3,1))*(B104:M104=基准地价修正!G2)*(B105:M204))</f>
        <v>0</v>
      </c>
    </row>
    <row r="105" spans="1:14">
      <c r="A105" s="744">
        <v>0.1</v>
      </c>
      <c r="B105" s="748">
        <v>13.733000000000001</v>
      </c>
      <c r="C105" s="748">
        <v>13.733000000000001</v>
      </c>
      <c r="D105" s="748">
        <v>12.787000000000001</v>
      </c>
      <c r="E105" s="748">
        <v>12.787000000000001</v>
      </c>
      <c r="F105" s="748">
        <v>12.787000000000001</v>
      </c>
      <c r="G105" s="748">
        <v>12.787000000000001</v>
      </c>
      <c r="H105" s="748">
        <v>12.787000000000001</v>
      </c>
      <c r="I105" s="748">
        <v>12.384</v>
      </c>
      <c r="J105" s="748">
        <v>12.384</v>
      </c>
      <c r="K105" s="748">
        <v>12.384</v>
      </c>
      <c r="L105" s="748">
        <v>12.384</v>
      </c>
      <c r="M105" s="748">
        <v>12.384</v>
      </c>
    </row>
    <row r="106" spans="1:14">
      <c r="A106" s="744">
        <v>0.2</v>
      </c>
      <c r="B106" s="748">
        <v>6.8665000000000003</v>
      </c>
      <c r="C106" s="748">
        <v>6.8665000000000003</v>
      </c>
      <c r="D106" s="748">
        <v>6.3935000000000004</v>
      </c>
      <c r="E106" s="748">
        <v>6.3935000000000004</v>
      </c>
      <c r="F106" s="748">
        <v>6.3935000000000004</v>
      </c>
      <c r="G106" s="748">
        <v>6.3935000000000004</v>
      </c>
      <c r="H106" s="748">
        <v>6.3935000000000004</v>
      </c>
      <c r="I106" s="748">
        <v>6.1920000000000002</v>
      </c>
      <c r="J106" s="748">
        <v>6.1920000000000002</v>
      </c>
      <c r="K106" s="748">
        <v>6.1920000000000002</v>
      </c>
      <c r="L106" s="748">
        <v>6.1920000000000002</v>
      </c>
      <c r="M106" s="748">
        <v>6.1920000000000002</v>
      </c>
    </row>
    <row r="107" spans="1:14">
      <c r="A107" s="744">
        <v>0.3</v>
      </c>
      <c r="B107" s="748">
        <v>4.5777000000000001</v>
      </c>
      <c r="C107" s="748">
        <v>4.5777000000000001</v>
      </c>
      <c r="D107" s="748">
        <v>4.2622999999999998</v>
      </c>
      <c r="E107" s="748">
        <v>4.2622999999999998</v>
      </c>
      <c r="F107" s="748">
        <v>4.2622999999999998</v>
      </c>
      <c r="G107" s="748">
        <v>4.2622999999999998</v>
      </c>
      <c r="H107" s="748">
        <v>4.2622999999999998</v>
      </c>
      <c r="I107" s="748">
        <v>4.1280000000000001</v>
      </c>
      <c r="J107" s="748">
        <v>4.1280000000000001</v>
      </c>
      <c r="K107" s="748">
        <v>4.1280000000000001</v>
      </c>
      <c r="L107" s="748">
        <v>4.1280000000000001</v>
      </c>
      <c r="M107" s="748">
        <v>4.1280000000000001</v>
      </c>
    </row>
    <row r="108" spans="1:14">
      <c r="A108" s="744">
        <v>0.4</v>
      </c>
      <c r="B108" s="748">
        <v>3.4333</v>
      </c>
      <c r="C108" s="748">
        <v>3.4333</v>
      </c>
      <c r="D108" s="748">
        <v>3.1968000000000001</v>
      </c>
      <c r="E108" s="748">
        <v>3.1968000000000001</v>
      </c>
      <c r="F108" s="748">
        <v>3.1968000000000001</v>
      </c>
      <c r="G108" s="748">
        <v>3.1968000000000001</v>
      </c>
      <c r="H108" s="748">
        <v>3.1968000000000001</v>
      </c>
      <c r="I108" s="748">
        <v>3.0960000000000001</v>
      </c>
      <c r="J108" s="748">
        <v>3.0960000000000001</v>
      </c>
      <c r="K108" s="748">
        <v>3.0960000000000001</v>
      </c>
      <c r="L108" s="748">
        <v>3.0960000000000001</v>
      </c>
      <c r="M108" s="748">
        <v>3.0960000000000001</v>
      </c>
    </row>
    <row r="109" spans="1:14">
      <c r="A109" s="744">
        <v>0.5</v>
      </c>
      <c r="B109" s="748">
        <v>2.7465999999999999</v>
      </c>
      <c r="C109" s="748">
        <v>2.7465999999999999</v>
      </c>
      <c r="D109" s="748">
        <v>2.5573999999999999</v>
      </c>
      <c r="E109" s="748">
        <v>2.5573999999999999</v>
      </c>
      <c r="F109" s="748">
        <v>2.5573999999999999</v>
      </c>
      <c r="G109" s="748">
        <v>2.5573999999999999</v>
      </c>
      <c r="H109" s="748">
        <v>2.5573999999999999</v>
      </c>
      <c r="I109" s="748">
        <v>2.4767999999999999</v>
      </c>
      <c r="J109" s="748">
        <v>2.4767999999999999</v>
      </c>
      <c r="K109" s="748">
        <v>2.4767999999999999</v>
      </c>
      <c r="L109" s="748">
        <v>2.4767999999999999</v>
      </c>
      <c r="M109" s="748">
        <v>2.4767999999999999</v>
      </c>
    </row>
    <row r="110" spans="1:14">
      <c r="A110" s="744">
        <v>0.6</v>
      </c>
      <c r="B110" s="748">
        <v>2.2888000000000002</v>
      </c>
      <c r="C110" s="748">
        <v>2.2888000000000002</v>
      </c>
      <c r="D110" s="748">
        <v>2.1312000000000002</v>
      </c>
      <c r="E110" s="748">
        <v>2.1312000000000002</v>
      </c>
      <c r="F110" s="748">
        <v>2.1312000000000002</v>
      </c>
      <c r="G110" s="748">
        <v>2.1312000000000002</v>
      </c>
      <c r="H110" s="748">
        <v>2.1312000000000002</v>
      </c>
      <c r="I110" s="748">
        <v>2.0640000000000001</v>
      </c>
      <c r="J110" s="748">
        <v>2.0640000000000001</v>
      </c>
      <c r="K110" s="748">
        <v>2.0640000000000001</v>
      </c>
      <c r="L110" s="748">
        <v>2.0640000000000001</v>
      </c>
      <c r="M110" s="748">
        <v>2.0640000000000001</v>
      </c>
    </row>
    <row r="111" spans="1:14">
      <c r="A111" s="744">
        <v>0.7</v>
      </c>
      <c r="B111" s="748">
        <v>1.9619</v>
      </c>
      <c r="C111" s="748">
        <v>1.9619</v>
      </c>
      <c r="D111" s="748">
        <v>1.8267</v>
      </c>
      <c r="E111" s="748">
        <v>1.8267</v>
      </c>
      <c r="F111" s="748">
        <v>1.8267</v>
      </c>
      <c r="G111" s="748">
        <v>1.8267</v>
      </c>
      <c r="H111" s="748">
        <v>1.8267</v>
      </c>
      <c r="I111" s="748">
        <v>1.7690999999999999</v>
      </c>
      <c r="J111" s="748">
        <v>1.7690999999999999</v>
      </c>
      <c r="K111" s="748">
        <v>1.7690999999999999</v>
      </c>
      <c r="L111" s="748">
        <v>1.7690999999999999</v>
      </c>
      <c r="M111" s="748">
        <v>1.7690999999999999</v>
      </c>
    </row>
    <row r="112" spans="1:14">
      <c r="A112" s="744">
        <v>0.8</v>
      </c>
      <c r="B112" s="748">
        <v>1.7165999999999999</v>
      </c>
      <c r="C112" s="748">
        <v>1.7165999999999999</v>
      </c>
      <c r="D112" s="748">
        <v>1.5984</v>
      </c>
      <c r="E112" s="748">
        <v>1.5984</v>
      </c>
      <c r="F112" s="748">
        <v>1.5984</v>
      </c>
      <c r="G112" s="748">
        <v>1.5984</v>
      </c>
      <c r="H112" s="748">
        <v>1.5984</v>
      </c>
      <c r="I112" s="748">
        <v>1.548</v>
      </c>
      <c r="J112" s="748">
        <v>1.548</v>
      </c>
      <c r="K112" s="748">
        <v>1.548</v>
      </c>
      <c r="L112" s="748">
        <v>1.548</v>
      </c>
      <c r="M112" s="748">
        <v>1.548</v>
      </c>
    </row>
    <row r="113" spans="1:13">
      <c r="A113" s="744">
        <v>0.9</v>
      </c>
      <c r="B113" s="748">
        <v>1.5259</v>
      </c>
      <c r="C113" s="748">
        <v>1.5259</v>
      </c>
      <c r="D113" s="748">
        <v>1.4208000000000001</v>
      </c>
      <c r="E113" s="748">
        <v>1.4208000000000001</v>
      </c>
      <c r="F113" s="748">
        <v>1.4208000000000001</v>
      </c>
      <c r="G113" s="748">
        <v>1.4208000000000001</v>
      </c>
      <c r="H113" s="748">
        <v>1.4208000000000001</v>
      </c>
      <c r="I113" s="748">
        <v>1.3759999999999999</v>
      </c>
      <c r="J113" s="748">
        <v>1.3759999999999999</v>
      </c>
      <c r="K113" s="748">
        <v>1.3759999999999999</v>
      </c>
      <c r="L113" s="748">
        <v>1.3759999999999999</v>
      </c>
      <c r="M113" s="748">
        <v>1.3759999999999999</v>
      </c>
    </row>
    <row r="114" spans="1:13">
      <c r="A114" s="744">
        <v>1</v>
      </c>
      <c r="B114" s="748">
        <v>1.3733</v>
      </c>
      <c r="C114" s="748">
        <v>1.3733</v>
      </c>
      <c r="D114" s="748">
        <v>1.2786999999999999</v>
      </c>
      <c r="E114" s="748">
        <v>1.2786999999999999</v>
      </c>
      <c r="F114" s="748">
        <v>1.2786999999999999</v>
      </c>
      <c r="G114" s="748">
        <v>1.2786999999999999</v>
      </c>
      <c r="H114" s="748">
        <v>1.2786999999999999</v>
      </c>
      <c r="I114" s="748">
        <v>1.2383999999999999</v>
      </c>
      <c r="J114" s="748">
        <v>1.2383999999999999</v>
      </c>
      <c r="K114" s="748">
        <v>1.2383999999999999</v>
      </c>
      <c r="L114" s="748">
        <v>1.2383999999999999</v>
      </c>
      <c r="M114" s="748">
        <v>1.2383999999999999</v>
      </c>
    </row>
    <row r="115" spans="1:13">
      <c r="A115" s="744">
        <v>1.1000000000000001</v>
      </c>
      <c r="B115" s="748">
        <v>1.3489</v>
      </c>
      <c r="C115" s="748">
        <v>1.3489</v>
      </c>
      <c r="D115" s="748">
        <v>1.2542</v>
      </c>
      <c r="E115" s="748">
        <v>1.2542</v>
      </c>
      <c r="F115" s="748">
        <v>1.2542</v>
      </c>
      <c r="G115" s="748">
        <v>1.2542</v>
      </c>
      <c r="H115" s="748">
        <v>1.2542</v>
      </c>
      <c r="I115" s="748">
        <v>1.2050000000000001</v>
      </c>
      <c r="J115" s="748">
        <v>1.2050000000000001</v>
      </c>
      <c r="K115" s="748">
        <v>1.2050000000000001</v>
      </c>
      <c r="L115" s="748">
        <v>1.2050000000000001</v>
      </c>
      <c r="M115" s="748">
        <v>1.2050000000000001</v>
      </c>
    </row>
    <row r="116" spans="1:13">
      <c r="A116" s="744">
        <v>1.2</v>
      </c>
      <c r="B116" s="748">
        <v>1.3255999999999999</v>
      </c>
      <c r="C116" s="748">
        <v>1.3255999999999999</v>
      </c>
      <c r="D116" s="748">
        <v>1.2305999999999999</v>
      </c>
      <c r="E116" s="748">
        <v>1.2305999999999999</v>
      </c>
      <c r="F116" s="748">
        <v>1.2305999999999999</v>
      </c>
      <c r="G116" s="748">
        <v>1.2305999999999999</v>
      </c>
      <c r="H116" s="748">
        <v>1.2305999999999999</v>
      </c>
      <c r="I116" s="748">
        <v>1.1741999999999999</v>
      </c>
      <c r="J116" s="748">
        <v>1.1741999999999999</v>
      </c>
      <c r="K116" s="748">
        <v>1.1741999999999999</v>
      </c>
      <c r="L116" s="748">
        <v>1.1741999999999999</v>
      </c>
      <c r="M116" s="748">
        <v>1.1741999999999999</v>
      </c>
    </row>
    <row r="117" spans="1:13">
      <c r="A117" s="744">
        <v>1.3</v>
      </c>
      <c r="B117" s="748">
        <v>1.3032999999999999</v>
      </c>
      <c r="C117" s="748">
        <v>1.3032999999999999</v>
      </c>
      <c r="D117" s="748">
        <v>1.2079</v>
      </c>
      <c r="E117" s="748">
        <v>1.2079</v>
      </c>
      <c r="F117" s="748">
        <v>1.2079</v>
      </c>
      <c r="G117" s="748">
        <v>1.2079</v>
      </c>
      <c r="H117" s="748">
        <v>1.2079</v>
      </c>
      <c r="I117" s="748">
        <v>1.1459999999999999</v>
      </c>
      <c r="J117" s="748">
        <v>1.1459999999999999</v>
      </c>
      <c r="K117" s="748">
        <v>1.1459999999999999</v>
      </c>
      <c r="L117" s="748">
        <v>1.1459999999999999</v>
      </c>
      <c r="M117" s="748">
        <v>1.1459999999999999</v>
      </c>
    </row>
    <row r="118" spans="1:13">
      <c r="A118" s="744">
        <v>1.4</v>
      </c>
      <c r="B118" s="748">
        <v>1.282</v>
      </c>
      <c r="C118" s="748">
        <v>1.282</v>
      </c>
      <c r="D118" s="748">
        <v>1.1861999999999999</v>
      </c>
      <c r="E118" s="748">
        <v>1.1861999999999999</v>
      </c>
      <c r="F118" s="748">
        <v>1.1861999999999999</v>
      </c>
      <c r="G118" s="748">
        <v>1.1861999999999999</v>
      </c>
      <c r="H118" s="748">
        <v>1.1861999999999999</v>
      </c>
      <c r="I118" s="748">
        <v>1.1200000000000001</v>
      </c>
      <c r="J118" s="748">
        <v>1.1200000000000001</v>
      </c>
      <c r="K118" s="748">
        <v>1.1200000000000001</v>
      </c>
      <c r="L118" s="748">
        <v>1.1200000000000001</v>
      </c>
      <c r="M118" s="748">
        <v>1.1200000000000001</v>
      </c>
    </row>
    <row r="119" spans="1:13">
      <c r="A119" s="744">
        <v>1.5</v>
      </c>
      <c r="B119" s="748">
        <v>1.2617</v>
      </c>
      <c r="C119" s="748">
        <v>1.2617</v>
      </c>
      <c r="D119" s="748">
        <v>1.1653</v>
      </c>
      <c r="E119" s="748">
        <v>1.1653</v>
      </c>
      <c r="F119" s="748">
        <v>1.1653</v>
      </c>
      <c r="G119" s="748">
        <v>1.1653</v>
      </c>
      <c r="H119" s="748">
        <v>1.1653</v>
      </c>
      <c r="I119" s="748">
        <v>1.0961000000000001</v>
      </c>
      <c r="J119" s="748">
        <v>1.0961000000000001</v>
      </c>
      <c r="K119" s="748">
        <v>1.0961000000000001</v>
      </c>
      <c r="L119" s="748">
        <v>1.0961000000000001</v>
      </c>
      <c r="M119" s="748">
        <v>1.0961000000000001</v>
      </c>
    </row>
    <row r="120" spans="1:13">
      <c r="A120" s="744">
        <v>1.6</v>
      </c>
      <c r="B120" s="748">
        <v>1.2423</v>
      </c>
      <c r="C120" s="748">
        <v>1.2423</v>
      </c>
      <c r="D120" s="748">
        <v>1.1453</v>
      </c>
      <c r="E120" s="748">
        <v>1.1453</v>
      </c>
      <c r="F120" s="748">
        <v>1.1453</v>
      </c>
      <c r="G120" s="748">
        <v>1.1453</v>
      </c>
      <c r="H120" s="748">
        <v>1.1453</v>
      </c>
      <c r="I120" s="748">
        <v>1.0740000000000001</v>
      </c>
      <c r="J120" s="748">
        <v>1.0740000000000001</v>
      </c>
      <c r="K120" s="748">
        <v>1.0740000000000001</v>
      </c>
      <c r="L120" s="748">
        <v>1.0740000000000001</v>
      </c>
      <c r="M120" s="748">
        <v>1.0740000000000001</v>
      </c>
    </row>
    <row r="121" spans="1:13">
      <c r="A121" s="744">
        <v>1.7</v>
      </c>
      <c r="B121" s="748">
        <v>1.2237</v>
      </c>
      <c r="C121" s="748">
        <v>1.2237</v>
      </c>
      <c r="D121" s="748">
        <v>1.1261000000000001</v>
      </c>
      <c r="E121" s="748">
        <v>1.1261000000000001</v>
      </c>
      <c r="F121" s="748">
        <v>1.1261000000000001</v>
      </c>
      <c r="G121" s="748">
        <v>1.1261000000000001</v>
      </c>
      <c r="H121" s="748">
        <v>1.1261000000000001</v>
      </c>
      <c r="I121" s="748">
        <v>1.0535000000000001</v>
      </c>
      <c r="J121" s="748">
        <v>1.0535000000000001</v>
      </c>
      <c r="K121" s="748">
        <v>1.0535000000000001</v>
      </c>
      <c r="L121" s="748">
        <v>1.0535000000000001</v>
      </c>
      <c r="M121" s="748">
        <v>1.0535000000000001</v>
      </c>
    </row>
    <row r="122" spans="1:13">
      <c r="A122" s="744">
        <v>1.8</v>
      </c>
      <c r="B122" s="748">
        <v>1.206</v>
      </c>
      <c r="C122" s="748">
        <v>1.206</v>
      </c>
      <c r="D122" s="748">
        <v>1.1076999999999999</v>
      </c>
      <c r="E122" s="748">
        <v>1.1076999999999999</v>
      </c>
      <c r="F122" s="748">
        <v>1.1076999999999999</v>
      </c>
      <c r="G122" s="748">
        <v>1.1076999999999999</v>
      </c>
      <c r="H122" s="748">
        <v>1.1076999999999999</v>
      </c>
      <c r="I122" s="748">
        <v>1.0345</v>
      </c>
      <c r="J122" s="748">
        <v>1.0345</v>
      </c>
      <c r="K122" s="748">
        <v>1.0345</v>
      </c>
      <c r="L122" s="748">
        <v>1.0345</v>
      </c>
      <c r="M122" s="748">
        <v>1.0345</v>
      </c>
    </row>
    <row r="123" spans="1:13">
      <c r="A123" s="744">
        <v>1.9</v>
      </c>
      <c r="B123" s="748">
        <v>1.1891</v>
      </c>
      <c r="C123" s="748">
        <v>1.1891</v>
      </c>
      <c r="D123" s="748">
        <v>1.0901000000000001</v>
      </c>
      <c r="E123" s="748">
        <v>1.0901000000000001</v>
      </c>
      <c r="F123" s="748">
        <v>1.0901000000000001</v>
      </c>
      <c r="G123" s="748">
        <v>1.0901000000000001</v>
      </c>
      <c r="H123" s="748">
        <v>1.0901000000000001</v>
      </c>
      <c r="I123" s="748">
        <v>1.0166999999999999</v>
      </c>
      <c r="J123" s="748">
        <v>1.0166999999999999</v>
      </c>
      <c r="K123" s="748">
        <v>1.0166999999999999</v>
      </c>
      <c r="L123" s="748">
        <v>1.0166999999999999</v>
      </c>
      <c r="M123" s="748">
        <v>1.0166999999999999</v>
      </c>
    </row>
    <row r="124" spans="1:13">
      <c r="A124" s="744">
        <v>2</v>
      </c>
      <c r="B124" s="748">
        <v>1.1729000000000001</v>
      </c>
      <c r="C124" s="748">
        <v>1.1729000000000001</v>
      </c>
      <c r="D124" s="748">
        <v>1.0732999999999999</v>
      </c>
      <c r="E124" s="748">
        <v>1.0732999999999999</v>
      </c>
      <c r="F124" s="748">
        <v>1.0732999999999999</v>
      </c>
      <c r="G124" s="748">
        <v>1.0732999999999999</v>
      </c>
      <c r="H124" s="748">
        <v>1.0732999999999999</v>
      </c>
      <c r="I124" s="748">
        <v>1</v>
      </c>
      <c r="J124" s="748">
        <v>1</v>
      </c>
      <c r="K124" s="748">
        <v>1</v>
      </c>
      <c r="L124" s="748">
        <v>1</v>
      </c>
      <c r="M124" s="748">
        <v>1</v>
      </c>
    </row>
    <row r="125" spans="1:13">
      <c r="A125" s="750">
        <v>2.1</v>
      </c>
      <c r="B125" s="748">
        <v>1.1574</v>
      </c>
      <c r="C125" s="748">
        <v>1.1574</v>
      </c>
      <c r="D125" s="748">
        <v>1.0571999999999999</v>
      </c>
      <c r="E125" s="748">
        <v>1.0571999999999999</v>
      </c>
      <c r="F125" s="748">
        <v>1.0571999999999999</v>
      </c>
      <c r="G125" s="748">
        <v>1.0571999999999999</v>
      </c>
      <c r="H125" s="748">
        <v>1.0571999999999999</v>
      </c>
      <c r="I125" s="748">
        <v>0.98409999999999997</v>
      </c>
      <c r="J125" s="748">
        <v>0.98409999999999997</v>
      </c>
      <c r="K125" s="748">
        <v>0.98409999999999997</v>
      </c>
      <c r="L125" s="748">
        <v>0.98409999999999997</v>
      </c>
      <c r="M125" s="748">
        <v>0.98409999999999997</v>
      </c>
    </row>
    <row r="126" spans="1:13">
      <c r="A126" s="750">
        <v>2.2000000000000002</v>
      </c>
      <c r="B126" s="748">
        <v>1.1426000000000001</v>
      </c>
      <c r="C126" s="748">
        <v>1.1426000000000001</v>
      </c>
      <c r="D126" s="748">
        <v>1.0419</v>
      </c>
      <c r="E126" s="748">
        <v>1.0419</v>
      </c>
      <c r="F126" s="748">
        <v>1.0419</v>
      </c>
      <c r="G126" s="748">
        <v>1.0419</v>
      </c>
      <c r="H126" s="748">
        <v>1.0419</v>
      </c>
      <c r="I126" s="748">
        <v>0.96889999999999998</v>
      </c>
      <c r="J126" s="748">
        <v>0.96889999999999998</v>
      </c>
      <c r="K126" s="748">
        <v>0.96889999999999998</v>
      </c>
      <c r="L126" s="748">
        <v>0.96889999999999998</v>
      </c>
      <c r="M126" s="748">
        <v>0.96889999999999998</v>
      </c>
    </row>
    <row r="127" spans="1:13">
      <c r="A127" s="750">
        <v>2.2999999999999998</v>
      </c>
      <c r="B127" s="748">
        <v>1.1285000000000001</v>
      </c>
      <c r="C127" s="748">
        <v>1.1285000000000001</v>
      </c>
      <c r="D127" s="748">
        <v>1.0271999999999999</v>
      </c>
      <c r="E127" s="748">
        <v>1.0271999999999999</v>
      </c>
      <c r="F127" s="748">
        <v>1.0271999999999999</v>
      </c>
      <c r="G127" s="748">
        <v>1.0271999999999999</v>
      </c>
      <c r="H127" s="748">
        <v>1.0271999999999999</v>
      </c>
      <c r="I127" s="748">
        <v>0.95440000000000003</v>
      </c>
      <c r="J127" s="748">
        <v>0.95440000000000003</v>
      </c>
      <c r="K127" s="748">
        <v>0.95440000000000003</v>
      </c>
      <c r="L127" s="748">
        <v>0.95440000000000003</v>
      </c>
      <c r="M127" s="748">
        <v>0.95440000000000003</v>
      </c>
    </row>
    <row r="128" spans="1:13">
      <c r="A128" s="750">
        <v>2.4</v>
      </c>
      <c r="B128" s="748">
        <v>1.1149</v>
      </c>
      <c r="C128" s="748">
        <v>1.1149</v>
      </c>
      <c r="D128" s="748">
        <v>1.0133000000000001</v>
      </c>
      <c r="E128" s="748">
        <v>1.0133000000000001</v>
      </c>
      <c r="F128" s="748">
        <v>1.0133000000000001</v>
      </c>
      <c r="G128" s="748">
        <v>1.0133000000000001</v>
      </c>
      <c r="H128" s="748">
        <v>1.0133000000000001</v>
      </c>
      <c r="I128" s="748">
        <v>0.9405</v>
      </c>
      <c r="J128" s="748">
        <v>0.9405</v>
      </c>
      <c r="K128" s="748">
        <v>0.9405</v>
      </c>
      <c r="L128" s="748">
        <v>0.9405</v>
      </c>
      <c r="M128" s="748">
        <v>0.9405</v>
      </c>
    </row>
    <row r="129" spans="1:13">
      <c r="A129" s="750">
        <v>2.5</v>
      </c>
      <c r="B129" s="748">
        <v>1.1020000000000001</v>
      </c>
      <c r="C129" s="748">
        <v>1.1020000000000001</v>
      </c>
      <c r="D129" s="748">
        <v>1</v>
      </c>
      <c r="E129" s="748">
        <v>1</v>
      </c>
      <c r="F129" s="748">
        <v>1</v>
      </c>
      <c r="G129" s="748">
        <v>1</v>
      </c>
      <c r="H129" s="748">
        <v>1</v>
      </c>
      <c r="I129" s="748">
        <v>0.92730000000000001</v>
      </c>
      <c r="J129" s="748">
        <v>0.92730000000000001</v>
      </c>
      <c r="K129" s="748">
        <v>0.92730000000000001</v>
      </c>
      <c r="L129" s="748">
        <v>0.92730000000000001</v>
      </c>
      <c r="M129" s="748">
        <v>0.92730000000000001</v>
      </c>
    </row>
    <row r="130" spans="1:13">
      <c r="A130" s="750">
        <v>2.6</v>
      </c>
      <c r="B130" s="748">
        <v>1.0895999999999999</v>
      </c>
      <c r="C130" s="748">
        <v>1.0895999999999999</v>
      </c>
      <c r="D130" s="748">
        <v>0.98740000000000006</v>
      </c>
      <c r="E130" s="748">
        <v>0.98740000000000006</v>
      </c>
      <c r="F130" s="748">
        <v>0.98740000000000006</v>
      </c>
      <c r="G130" s="748">
        <v>0.98740000000000006</v>
      </c>
      <c r="H130" s="748">
        <v>0.98740000000000006</v>
      </c>
      <c r="I130" s="748">
        <v>0.91469999999999996</v>
      </c>
      <c r="J130" s="748">
        <v>0.91469999999999996</v>
      </c>
      <c r="K130" s="748">
        <v>0.91469999999999996</v>
      </c>
      <c r="L130" s="748">
        <v>0.91469999999999996</v>
      </c>
      <c r="M130" s="748">
        <v>0.91469999999999996</v>
      </c>
    </row>
    <row r="131" spans="1:13">
      <c r="A131" s="750">
        <v>2.7</v>
      </c>
      <c r="B131" s="748">
        <v>1.0778000000000001</v>
      </c>
      <c r="C131" s="748">
        <v>1.0778000000000001</v>
      </c>
      <c r="D131" s="748">
        <v>0.97540000000000004</v>
      </c>
      <c r="E131" s="748">
        <v>0.97540000000000004</v>
      </c>
      <c r="F131" s="748">
        <v>0.97540000000000004</v>
      </c>
      <c r="G131" s="748">
        <v>0.97540000000000004</v>
      </c>
      <c r="H131" s="748">
        <v>0.97540000000000004</v>
      </c>
      <c r="I131" s="748">
        <v>0.90269999999999995</v>
      </c>
      <c r="J131" s="748">
        <v>0.90269999999999995</v>
      </c>
      <c r="K131" s="748">
        <v>0.90269999999999995</v>
      </c>
      <c r="L131" s="748">
        <v>0.90269999999999995</v>
      </c>
      <c r="M131" s="748">
        <v>0.90269999999999995</v>
      </c>
    </row>
    <row r="132" spans="1:13">
      <c r="A132" s="750">
        <v>2.8</v>
      </c>
      <c r="B132" s="748">
        <v>1.0665</v>
      </c>
      <c r="C132" s="748">
        <v>1.0665</v>
      </c>
      <c r="D132" s="748">
        <v>0.96399999999999997</v>
      </c>
      <c r="E132" s="748">
        <v>0.96399999999999997</v>
      </c>
      <c r="F132" s="748">
        <v>0.96399999999999997</v>
      </c>
      <c r="G132" s="748">
        <v>0.96399999999999997</v>
      </c>
      <c r="H132" s="748">
        <v>0.96399999999999997</v>
      </c>
      <c r="I132" s="748">
        <v>0.89119999999999999</v>
      </c>
      <c r="J132" s="748">
        <v>0.89119999999999999</v>
      </c>
      <c r="K132" s="748">
        <v>0.89119999999999999</v>
      </c>
      <c r="L132" s="748">
        <v>0.89119999999999999</v>
      </c>
      <c r="M132" s="748">
        <v>0.89119999999999999</v>
      </c>
    </row>
    <row r="133" spans="1:13">
      <c r="A133" s="750">
        <v>2.9</v>
      </c>
      <c r="B133" s="748">
        <v>1.0556000000000001</v>
      </c>
      <c r="C133" s="748">
        <v>1.0556000000000001</v>
      </c>
      <c r="D133" s="748">
        <v>0.95330000000000004</v>
      </c>
      <c r="E133" s="748">
        <v>0.95330000000000004</v>
      </c>
      <c r="F133" s="748">
        <v>0.95330000000000004</v>
      </c>
      <c r="G133" s="748">
        <v>0.95330000000000004</v>
      </c>
      <c r="H133" s="748">
        <v>0.95330000000000004</v>
      </c>
      <c r="I133" s="748">
        <v>0.88019999999999998</v>
      </c>
      <c r="J133" s="748">
        <v>0.88019999999999998</v>
      </c>
      <c r="K133" s="748">
        <v>0.88019999999999998</v>
      </c>
      <c r="L133" s="748">
        <v>0.88019999999999998</v>
      </c>
      <c r="M133" s="748">
        <v>0.88019999999999998</v>
      </c>
    </row>
    <row r="134" spans="1:13">
      <c r="A134" s="750">
        <v>3</v>
      </c>
      <c r="B134" s="748">
        <v>1.0452999999999999</v>
      </c>
      <c r="C134" s="748">
        <v>1.0452999999999999</v>
      </c>
      <c r="D134" s="748">
        <v>0.94299999999999995</v>
      </c>
      <c r="E134" s="748">
        <v>0.94299999999999995</v>
      </c>
      <c r="F134" s="748">
        <v>0.94299999999999995</v>
      </c>
      <c r="G134" s="748">
        <v>0.94299999999999995</v>
      </c>
      <c r="H134" s="748">
        <v>0.94299999999999995</v>
      </c>
      <c r="I134" s="748">
        <v>0.86970000000000003</v>
      </c>
      <c r="J134" s="748">
        <v>0.86970000000000003</v>
      </c>
      <c r="K134" s="748">
        <v>0.86970000000000003</v>
      </c>
      <c r="L134" s="748">
        <v>0.86970000000000003</v>
      </c>
      <c r="M134" s="748">
        <v>0.86970000000000003</v>
      </c>
    </row>
    <row r="135" spans="1:13">
      <c r="A135" s="750">
        <v>3.1</v>
      </c>
      <c r="B135" s="748">
        <v>1.0354000000000001</v>
      </c>
      <c r="C135" s="748">
        <v>1.0354000000000001</v>
      </c>
      <c r="D135" s="748">
        <v>0.93330000000000002</v>
      </c>
      <c r="E135" s="748">
        <v>0.93330000000000002</v>
      </c>
      <c r="F135" s="748">
        <v>0.93330000000000002</v>
      </c>
      <c r="G135" s="748">
        <v>0.93330000000000002</v>
      </c>
      <c r="H135" s="748">
        <v>0.93330000000000002</v>
      </c>
      <c r="I135" s="748">
        <v>0.85970000000000002</v>
      </c>
      <c r="J135" s="748">
        <v>0.85970000000000002</v>
      </c>
      <c r="K135" s="748">
        <v>0.85970000000000002</v>
      </c>
      <c r="L135" s="748">
        <v>0.85970000000000002</v>
      </c>
      <c r="M135" s="748">
        <v>0.85970000000000002</v>
      </c>
    </row>
    <row r="136" spans="1:13">
      <c r="A136" s="750">
        <v>3.2</v>
      </c>
      <c r="B136" s="748">
        <v>1.0259</v>
      </c>
      <c r="C136" s="748">
        <v>1.0259</v>
      </c>
      <c r="D136" s="748">
        <v>0.92410000000000003</v>
      </c>
      <c r="E136" s="748">
        <v>0.92410000000000003</v>
      </c>
      <c r="F136" s="748">
        <v>0.92410000000000003</v>
      </c>
      <c r="G136" s="748">
        <v>0.92410000000000003</v>
      </c>
      <c r="H136" s="748">
        <v>0.92410000000000003</v>
      </c>
      <c r="I136" s="748">
        <v>0.85019999999999996</v>
      </c>
      <c r="J136" s="748">
        <v>0.85019999999999996</v>
      </c>
      <c r="K136" s="748">
        <v>0.85019999999999996</v>
      </c>
      <c r="L136" s="748">
        <v>0.85019999999999996</v>
      </c>
      <c r="M136" s="748">
        <v>0.85019999999999996</v>
      </c>
    </row>
    <row r="137" spans="1:13">
      <c r="A137" s="750">
        <v>3.3</v>
      </c>
      <c r="B137" s="748">
        <v>1.0168999999999999</v>
      </c>
      <c r="C137" s="748">
        <v>1.0168999999999999</v>
      </c>
      <c r="D137" s="748">
        <v>0.91539999999999999</v>
      </c>
      <c r="E137" s="748">
        <v>0.91539999999999999</v>
      </c>
      <c r="F137" s="748">
        <v>0.91539999999999999</v>
      </c>
      <c r="G137" s="748">
        <v>0.91539999999999999</v>
      </c>
      <c r="H137" s="748">
        <v>0.91539999999999999</v>
      </c>
      <c r="I137" s="748">
        <v>0.84109999999999996</v>
      </c>
      <c r="J137" s="748">
        <v>0.84109999999999996</v>
      </c>
      <c r="K137" s="748">
        <v>0.84109999999999996</v>
      </c>
      <c r="L137" s="748">
        <v>0.84109999999999996</v>
      </c>
      <c r="M137" s="748">
        <v>0.84109999999999996</v>
      </c>
    </row>
    <row r="138" spans="1:13">
      <c r="A138" s="750">
        <v>3.4</v>
      </c>
      <c r="B138" s="748">
        <v>1.0082</v>
      </c>
      <c r="C138" s="748">
        <v>1.0082</v>
      </c>
      <c r="D138" s="748">
        <v>0.90710000000000002</v>
      </c>
      <c r="E138" s="748">
        <v>0.90710000000000002</v>
      </c>
      <c r="F138" s="748">
        <v>0.90710000000000002</v>
      </c>
      <c r="G138" s="748">
        <v>0.90710000000000002</v>
      </c>
      <c r="H138" s="748">
        <v>0.90710000000000002</v>
      </c>
      <c r="I138" s="748">
        <v>0.83240000000000003</v>
      </c>
      <c r="J138" s="748">
        <v>0.83240000000000003</v>
      </c>
      <c r="K138" s="748">
        <v>0.83240000000000003</v>
      </c>
      <c r="L138" s="748">
        <v>0.83240000000000003</v>
      </c>
      <c r="M138" s="748">
        <v>0.83240000000000003</v>
      </c>
    </row>
    <row r="139" spans="1:13">
      <c r="A139" s="750">
        <v>3.5</v>
      </c>
      <c r="B139" s="748">
        <v>1</v>
      </c>
      <c r="C139" s="748">
        <v>1</v>
      </c>
      <c r="D139" s="748">
        <v>0.89929999999999999</v>
      </c>
      <c r="E139" s="748">
        <v>0.89929999999999999</v>
      </c>
      <c r="F139" s="748">
        <v>0.89929999999999999</v>
      </c>
      <c r="G139" s="748">
        <v>0.89929999999999999</v>
      </c>
      <c r="H139" s="748">
        <v>0.89929999999999999</v>
      </c>
      <c r="I139" s="748">
        <v>0.82410000000000005</v>
      </c>
      <c r="J139" s="748">
        <v>0.82410000000000005</v>
      </c>
      <c r="K139" s="748">
        <v>0.82410000000000005</v>
      </c>
      <c r="L139" s="748">
        <v>0.82410000000000005</v>
      </c>
      <c r="M139" s="748">
        <v>0.82410000000000005</v>
      </c>
    </row>
    <row r="140" spans="1:13">
      <c r="A140" s="750">
        <v>3.6</v>
      </c>
      <c r="B140" s="748">
        <v>0.99219999999999997</v>
      </c>
      <c r="C140" s="748">
        <v>0.99219999999999997</v>
      </c>
      <c r="D140" s="748">
        <v>0.89190000000000003</v>
      </c>
      <c r="E140" s="748">
        <v>0.89190000000000003</v>
      </c>
      <c r="F140" s="748">
        <v>0.89190000000000003</v>
      </c>
      <c r="G140" s="748">
        <v>0.89190000000000003</v>
      </c>
      <c r="H140" s="748">
        <v>0.89190000000000003</v>
      </c>
      <c r="I140" s="748">
        <v>0.81620000000000004</v>
      </c>
      <c r="J140" s="748">
        <v>0.81620000000000004</v>
      </c>
      <c r="K140" s="748">
        <v>0.81620000000000004</v>
      </c>
      <c r="L140" s="748">
        <v>0.81620000000000004</v>
      </c>
      <c r="M140" s="748">
        <v>0.81620000000000004</v>
      </c>
    </row>
    <row r="141" spans="1:13">
      <c r="A141" s="750">
        <v>3.7</v>
      </c>
      <c r="B141" s="748">
        <v>0.98480000000000001</v>
      </c>
      <c r="C141" s="748">
        <v>0.98480000000000001</v>
      </c>
      <c r="D141" s="748">
        <v>0.88480000000000003</v>
      </c>
      <c r="E141" s="748">
        <v>0.88480000000000003</v>
      </c>
      <c r="F141" s="748">
        <v>0.88480000000000003</v>
      </c>
      <c r="G141" s="748">
        <v>0.88480000000000003</v>
      </c>
      <c r="H141" s="748">
        <v>0.88480000000000003</v>
      </c>
      <c r="I141" s="748">
        <v>0.80869999999999997</v>
      </c>
      <c r="J141" s="748">
        <v>0.80869999999999997</v>
      </c>
      <c r="K141" s="748">
        <v>0.80869999999999997</v>
      </c>
      <c r="L141" s="748">
        <v>0.80869999999999997</v>
      </c>
      <c r="M141" s="748">
        <v>0.80869999999999997</v>
      </c>
    </row>
    <row r="142" spans="1:13">
      <c r="A142" s="750">
        <v>3.8</v>
      </c>
      <c r="B142" s="748">
        <v>0.9778</v>
      </c>
      <c r="C142" s="748">
        <v>0.9778</v>
      </c>
      <c r="D142" s="748">
        <v>0.87809999999999999</v>
      </c>
      <c r="E142" s="748">
        <v>0.87809999999999999</v>
      </c>
      <c r="F142" s="748">
        <v>0.87809999999999999</v>
      </c>
      <c r="G142" s="748">
        <v>0.87809999999999999</v>
      </c>
      <c r="H142" s="748">
        <v>0.87809999999999999</v>
      </c>
      <c r="I142" s="748">
        <v>0.80159999999999998</v>
      </c>
      <c r="J142" s="748">
        <v>0.80159999999999998</v>
      </c>
      <c r="K142" s="748">
        <v>0.80159999999999998</v>
      </c>
      <c r="L142" s="748">
        <v>0.80159999999999998</v>
      </c>
      <c r="M142" s="748">
        <v>0.80159999999999998</v>
      </c>
    </row>
    <row r="143" spans="1:13">
      <c r="A143" s="750">
        <v>3.9</v>
      </c>
      <c r="B143" s="748">
        <v>0.97119999999999995</v>
      </c>
      <c r="C143" s="748">
        <v>0.97119999999999995</v>
      </c>
      <c r="D143" s="748">
        <v>0.87180000000000002</v>
      </c>
      <c r="E143" s="748">
        <v>0.87180000000000002</v>
      </c>
      <c r="F143" s="748">
        <v>0.87180000000000002</v>
      </c>
      <c r="G143" s="748">
        <v>0.87180000000000002</v>
      </c>
      <c r="H143" s="748">
        <v>0.87180000000000002</v>
      </c>
      <c r="I143" s="748">
        <v>0.79479999999999995</v>
      </c>
      <c r="J143" s="748">
        <v>0.79479999999999995</v>
      </c>
      <c r="K143" s="748">
        <v>0.79479999999999995</v>
      </c>
      <c r="L143" s="748">
        <v>0.79479999999999995</v>
      </c>
      <c r="M143" s="748">
        <v>0.79479999999999995</v>
      </c>
    </row>
    <row r="144" spans="1:13">
      <c r="A144" s="750">
        <v>4</v>
      </c>
      <c r="B144" s="748">
        <v>0.96499999999999997</v>
      </c>
      <c r="C144" s="748">
        <v>0.96499999999999997</v>
      </c>
      <c r="D144" s="748">
        <v>0.86580000000000001</v>
      </c>
      <c r="E144" s="748">
        <v>0.86580000000000001</v>
      </c>
      <c r="F144" s="748">
        <v>0.86580000000000001</v>
      </c>
      <c r="G144" s="748">
        <v>0.86580000000000001</v>
      </c>
      <c r="H144" s="748">
        <v>0.86580000000000001</v>
      </c>
      <c r="I144" s="748">
        <v>0.7883</v>
      </c>
      <c r="J144" s="748">
        <v>0.7883</v>
      </c>
      <c r="K144" s="748">
        <v>0.7883</v>
      </c>
      <c r="L144" s="748">
        <v>0.7883</v>
      </c>
      <c r="M144" s="748">
        <v>0.7883</v>
      </c>
    </row>
    <row r="145" spans="1:13">
      <c r="A145" s="750">
        <v>4.0999999999999996</v>
      </c>
      <c r="B145" s="748">
        <v>0.95909999999999995</v>
      </c>
      <c r="C145" s="748">
        <v>0.95909999999999995</v>
      </c>
      <c r="D145" s="748">
        <v>0.86009999999999998</v>
      </c>
      <c r="E145" s="748">
        <v>0.86009999999999998</v>
      </c>
      <c r="F145" s="748">
        <v>0.86009999999999998</v>
      </c>
      <c r="G145" s="748">
        <v>0.86009999999999998</v>
      </c>
      <c r="H145" s="748">
        <v>0.86009999999999998</v>
      </c>
      <c r="I145" s="748">
        <v>0.78200000000000003</v>
      </c>
      <c r="J145" s="748">
        <v>0.78200000000000003</v>
      </c>
      <c r="K145" s="748">
        <v>0.78200000000000003</v>
      </c>
      <c r="L145" s="748">
        <v>0.78200000000000003</v>
      </c>
      <c r="M145" s="748">
        <v>0.78200000000000003</v>
      </c>
    </row>
    <row r="146" spans="1:13">
      <c r="A146" s="750">
        <v>4.2</v>
      </c>
      <c r="B146" s="748">
        <v>0.95350000000000001</v>
      </c>
      <c r="C146" s="748">
        <v>0.95350000000000001</v>
      </c>
      <c r="D146" s="748">
        <v>0.85470000000000002</v>
      </c>
      <c r="E146" s="748">
        <v>0.85470000000000002</v>
      </c>
      <c r="F146" s="748">
        <v>0.85470000000000002</v>
      </c>
      <c r="G146" s="748">
        <v>0.85470000000000002</v>
      </c>
      <c r="H146" s="748">
        <v>0.85470000000000002</v>
      </c>
      <c r="I146" s="748">
        <v>0.77600000000000002</v>
      </c>
      <c r="J146" s="748">
        <v>0.77600000000000002</v>
      </c>
      <c r="K146" s="748">
        <v>0.77600000000000002</v>
      </c>
      <c r="L146" s="748">
        <v>0.77600000000000002</v>
      </c>
      <c r="M146" s="748">
        <v>0.77600000000000002</v>
      </c>
    </row>
    <row r="147" spans="1:13">
      <c r="A147" s="750">
        <v>4.3</v>
      </c>
      <c r="B147" s="748">
        <v>0.94820000000000004</v>
      </c>
      <c r="C147" s="748">
        <v>0.94820000000000004</v>
      </c>
      <c r="D147" s="748">
        <v>0.84960000000000002</v>
      </c>
      <c r="E147" s="748">
        <v>0.84960000000000002</v>
      </c>
      <c r="F147" s="748">
        <v>0.84960000000000002</v>
      </c>
      <c r="G147" s="748">
        <v>0.84960000000000002</v>
      </c>
      <c r="H147" s="748">
        <v>0.84960000000000002</v>
      </c>
      <c r="I147" s="748">
        <v>0.77029999999999998</v>
      </c>
      <c r="J147" s="748">
        <v>0.77029999999999998</v>
      </c>
      <c r="K147" s="748">
        <v>0.77029999999999998</v>
      </c>
      <c r="L147" s="748">
        <v>0.77029999999999998</v>
      </c>
      <c r="M147" s="748">
        <v>0.77029999999999998</v>
      </c>
    </row>
    <row r="148" spans="1:13">
      <c r="A148" s="750">
        <v>4.4000000000000004</v>
      </c>
      <c r="B148" s="748">
        <v>0.94320000000000004</v>
      </c>
      <c r="C148" s="748">
        <v>0.94320000000000004</v>
      </c>
      <c r="D148" s="748">
        <v>0.8448</v>
      </c>
      <c r="E148" s="748">
        <v>0.8448</v>
      </c>
      <c r="F148" s="748">
        <v>0.8448</v>
      </c>
      <c r="G148" s="748">
        <v>0.8448</v>
      </c>
      <c r="H148" s="748">
        <v>0.8448</v>
      </c>
      <c r="I148" s="748">
        <v>0.76490000000000002</v>
      </c>
      <c r="J148" s="748">
        <v>0.76490000000000002</v>
      </c>
      <c r="K148" s="748">
        <v>0.76490000000000002</v>
      </c>
      <c r="L148" s="748">
        <v>0.76490000000000002</v>
      </c>
      <c r="M148" s="748">
        <v>0.76490000000000002</v>
      </c>
    </row>
    <row r="149" spans="1:13">
      <c r="A149" s="750">
        <v>4.5</v>
      </c>
      <c r="B149" s="748">
        <v>0.9385</v>
      </c>
      <c r="C149" s="748">
        <v>0.9385</v>
      </c>
      <c r="D149" s="748">
        <v>0.84019999999999995</v>
      </c>
      <c r="E149" s="748">
        <v>0.84019999999999995</v>
      </c>
      <c r="F149" s="748">
        <v>0.84019999999999995</v>
      </c>
      <c r="G149" s="748">
        <v>0.84019999999999995</v>
      </c>
      <c r="H149" s="748">
        <v>0.84019999999999995</v>
      </c>
      <c r="I149" s="748">
        <v>0.75970000000000004</v>
      </c>
      <c r="J149" s="748">
        <v>0.75970000000000004</v>
      </c>
      <c r="K149" s="748">
        <v>0.75970000000000004</v>
      </c>
      <c r="L149" s="748">
        <v>0.75970000000000004</v>
      </c>
      <c r="M149" s="748">
        <v>0.75970000000000004</v>
      </c>
    </row>
    <row r="150" spans="1:13">
      <c r="A150" s="750">
        <v>4.5999999999999996</v>
      </c>
      <c r="B150" s="748">
        <v>0.93410000000000004</v>
      </c>
      <c r="C150" s="748">
        <v>0.93410000000000004</v>
      </c>
      <c r="D150" s="748">
        <v>0.83579999999999999</v>
      </c>
      <c r="E150" s="748">
        <v>0.83579999999999999</v>
      </c>
      <c r="F150" s="748">
        <v>0.83579999999999999</v>
      </c>
      <c r="G150" s="748">
        <v>0.83579999999999999</v>
      </c>
      <c r="H150" s="748">
        <v>0.83579999999999999</v>
      </c>
      <c r="I150" s="748">
        <v>0.75470000000000004</v>
      </c>
      <c r="J150" s="748">
        <v>0.75470000000000004</v>
      </c>
      <c r="K150" s="748">
        <v>0.75470000000000004</v>
      </c>
      <c r="L150" s="748">
        <v>0.75470000000000004</v>
      </c>
      <c r="M150" s="748">
        <v>0.75470000000000004</v>
      </c>
    </row>
    <row r="151" spans="1:13">
      <c r="A151" s="750">
        <v>4.7</v>
      </c>
      <c r="B151" s="748">
        <v>0.92989999999999995</v>
      </c>
      <c r="C151" s="748">
        <v>0.92989999999999995</v>
      </c>
      <c r="D151" s="748">
        <v>0.83160000000000001</v>
      </c>
      <c r="E151" s="748">
        <v>0.83160000000000001</v>
      </c>
      <c r="F151" s="748">
        <v>0.83160000000000001</v>
      </c>
      <c r="G151" s="748">
        <v>0.83160000000000001</v>
      </c>
      <c r="H151" s="748">
        <v>0.83160000000000001</v>
      </c>
      <c r="I151" s="748">
        <v>0.74990000000000001</v>
      </c>
      <c r="J151" s="748">
        <v>0.74990000000000001</v>
      </c>
      <c r="K151" s="748">
        <v>0.74990000000000001</v>
      </c>
      <c r="L151" s="748">
        <v>0.74990000000000001</v>
      </c>
      <c r="M151" s="748">
        <v>0.74990000000000001</v>
      </c>
    </row>
    <row r="152" spans="1:13">
      <c r="A152" s="750">
        <v>4.8</v>
      </c>
      <c r="B152" s="748">
        <v>0.92589999999999995</v>
      </c>
      <c r="C152" s="748">
        <v>0.92589999999999995</v>
      </c>
      <c r="D152" s="748">
        <v>0.82769999999999999</v>
      </c>
      <c r="E152" s="748">
        <v>0.82769999999999999</v>
      </c>
      <c r="F152" s="748">
        <v>0.82769999999999999</v>
      </c>
      <c r="G152" s="748">
        <v>0.82769999999999999</v>
      </c>
      <c r="H152" s="748">
        <v>0.82769999999999999</v>
      </c>
      <c r="I152" s="748">
        <v>0.74529999999999996</v>
      </c>
      <c r="J152" s="748">
        <v>0.74529999999999996</v>
      </c>
      <c r="K152" s="748">
        <v>0.74529999999999996</v>
      </c>
      <c r="L152" s="748">
        <v>0.74529999999999996</v>
      </c>
      <c r="M152" s="748">
        <v>0.74529999999999996</v>
      </c>
    </row>
    <row r="153" spans="1:13">
      <c r="A153" s="750">
        <v>4.9000000000000004</v>
      </c>
      <c r="B153" s="748">
        <v>0.92210000000000003</v>
      </c>
      <c r="C153" s="748">
        <v>0.92210000000000003</v>
      </c>
      <c r="D153" s="748">
        <v>0.82389999999999997</v>
      </c>
      <c r="E153" s="748">
        <v>0.82389999999999997</v>
      </c>
      <c r="F153" s="748">
        <v>0.82389999999999997</v>
      </c>
      <c r="G153" s="748">
        <v>0.82389999999999997</v>
      </c>
      <c r="H153" s="748">
        <v>0.82389999999999997</v>
      </c>
      <c r="I153" s="748">
        <v>0.7409</v>
      </c>
      <c r="J153" s="748">
        <v>0.7409</v>
      </c>
      <c r="K153" s="748">
        <v>0.7409</v>
      </c>
      <c r="L153" s="748">
        <v>0.7409</v>
      </c>
      <c r="M153" s="748">
        <v>0.7409</v>
      </c>
    </row>
    <row r="154" spans="1:13">
      <c r="A154" s="750">
        <v>5</v>
      </c>
      <c r="B154" s="748">
        <v>0.91849999999999998</v>
      </c>
      <c r="C154" s="748">
        <v>0.91849999999999998</v>
      </c>
      <c r="D154" s="748">
        <v>0.82030000000000003</v>
      </c>
      <c r="E154" s="748">
        <v>0.82030000000000003</v>
      </c>
      <c r="F154" s="748">
        <v>0.82030000000000003</v>
      </c>
      <c r="G154" s="748">
        <v>0.82030000000000003</v>
      </c>
      <c r="H154" s="748">
        <v>0.82030000000000003</v>
      </c>
      <c r="I154" s="748">
        <v>0.73670000000000002</v>
      </c>
      <c r="J154" s="748">
        <v>0.73670000000000002</v>
      </c>
      <c r="K154" s="748">
        <v>0.73670000000000002</v>
      </c>
      <c r="L154" s="748">
        <v>0.73670000000000002</v>
      </c>
      <c r="M154" s="748">
        <v>0.73670000000000002</v>
      </c>
    </row>
    <row r="155" spans="1:13">
      <c r="A155" s="744">
        <v>5.0999999999999996</v>
      </c>
      <c r="B155" s="748">
        <v>0.91510000000000002</v>
      </c>
      <c r="C155" s="748">
        <v>0.91510000000000002</v>
      </c>
      <c r="D155" s="748">
        <v>0.81689999999999996</v>
      </c>
      <c r="E155" s="748">
        <v>0.81689999999999996</v>
      </c>
      <c r="F155" s="748">
        <v>0.81689999999999996</v>
      </c>
      <c r="G155" s="748">
        <v>0.81689999999999996</v>
      </c>
      <c r="H155" s="748">
        <v>0.81689999999999996</v>
      </c>
      <c r="I155" s="748">
        <v>0.73270000000000002</v>
      </c>
      <c r="J155" s="748">
        <v>0.73270000000000002</v>
      </c>
      <c r="K155" s="748">
        <v>0.73270000000000002</v>
      </c>
      <c r="L155" s="748">
        <v>0.73270000000000002</v>
      </c>
      <c r="M155" s="748">
        <v>0.73270000000000002</v>
      </c>
    </row>
    <row r="156" spans="1:13">
      <c r="A156" s="744">
        <v>5.2</v>
      </c>
      <c r="B156" s="748">
        <v>0.91190000000000004</v>
      </c>
      <c r="C156" s="748">
        <v>0.91190000000000004</v>
      </c>
      <c r="D156" s="748">
        <v>0.81359999999999999</v>
      </c>
      <c r="E156" s="748">
        <v>0.81359999999999999</v>
      </c>
      <c r="F156" s="748">
        <v>0.81359999999999999</v>
      </c>
      <c r="G156" s="748">
        <v>0.81359999999999999</v>
      </c>
      <c r="H156" s="748">
        <v>0.81359999999999999</v>
      </c>
      <c r="I156" s="748">
        <v>0.72889999999999999</v>
      </c>
      <c r="J156" s="748">
        <v>0.72889999999999999</v>
      </c>
      <c r="K156" s="748">
        <v>0.72889999999999999</v>
      </c>
      <c r="L156" s="748">
        <v>0.72889999999999999</v>
      </c>
      <c r="M156" s="748">
        <v>0.72889999999999999</v>
      </c>
    </row>
    <row r="157" spans="1:13">
      <c r="A157" s="744">
        <v>5.3</v>
      </c>
      <c r="B157" s="748">
        <v>0.90880000000000005</v>
      </c>
      <c r="C157" s="748">
        <v>0.90880000000000005</v>
      </c>
      <c r="D157" s="748">
        <v>0.8105</v>
      </c>
      <c r="E157" s="748">
        <v>0.8105</v>
      </c>
      <c r="F157" s="748">
        <v>0.8105</v>
      </c>
      <c r="G157" s="748">
        <v>0.8105</v>
      </c>
      <c r="H157" s="748">
        <v>0.8105</v>
      </c>
      <c r="I157" s="748">
        <v>0.72529999999999994</v>
      </c>
      <c r="J157" s="748">
        <v>0.72529999999999994</v>
      </c>
      <c r="K157" s="748">
        <v>0.72529999999999994</v>
      </c>
      <c r="L157" s="748">
        <v>0.72529999999999994</v>
      </c>
      <c r="M157" s="748">
        <v>0.72529999999999994</v>
      </c>
    </row>
    <row r="158" spans="1:13">
      <c r="A158" s="744">
        <v>5.4</v>
      </c>
      <c r="B158" s="748">
        <v>0.90580000000000005</v>
      </c>
      <c r="C158" s="748">
        <v>0.90580000000000005</v>
      </c>
      <c r="D158" s="748">
        <v>0.8075</v>
      </c>
      <c r="E158" s="748">
        <v>0.8075</v>
      </c>
      <c r="F158" s="748">
        <v>0.8075</v>
      </c>
      <c r="G158" s="748">
        <v>0.8075</v>
      </c>
      <c r="H158" s="748">
        <v>0.8075</v>
      </c>
      <c r="I158" s="748">
        <v>0.7218</v>
      </c>
      <c r="J158" s="748">
        <v>0.7218</v>
      </c>
      <c r="K158" s="748">
        <v>0.7218</v>
      </c>
      <c r="L158" s="748">
        <v>0.7218</v>
      </c>
      <c r="M158" s="748">
        <v>0.7218</v>
      </c>
    </row>
    <row r="159" spans="1:13">
      <c r="A159" s="744">
        <v>5.5</v>
      </c>
      <c r="B159" s="748">
        <v>0.90290000000000004</v>
      </c>
      <c r="C159" s="748">
        <v>0.90290000000000004</v>
      </c>
      <c r="D159" s="748">
        <v>0.80469999999999997</v>
      </c>
      <c r="E159" s="748">
        <v>0.80469999999999997</v>
      </c>
      <c r="F159" s="748">
        <v>0.80469999999999997</v>
      </c>
      <c r="G159" s="748">
        <v>0.80469999999999997</v>
      </c>
      <c r="H159" s="748">
        <v>0.80469999999999997</v>
      </c>
      <c r="I159" s="748">
        <v>0.71840000000000004</v>
      </c>
      <c r="J159" s="748">
        <v>0.71840000000000004</v>
      </c>
      <c r="K159" s="748">
        <v>0.71840000000000004</v>
      </c>
      <c r="L159" s="748">
        <v>0.71840000000000004</v>
      </c>
      <c r="M159" s="748">
        <v>0.71840000000000004</v>
      </c>
    </row>
    <row r="160" spans="1:13">
      <c r="A160" s="744">
        <v>5.6</v>
      </c>
      <c r="B160" s="748">
        <v>0.90010000000000001</v>
      </c>
      <c r="C160" s="748">
        <v>0.90010000000000001</v>
      </c>
      <c r="D160" s="748">
        <v>0.80200000000000005</v>
      </c>
      <c r="E160" s="748">
        <v>0.80200000000000005</v>
      </c>
      <c r="F160" s="748">
        <v>0.80200000000000005</v>
      </c>
      <c r="G160" s="748">
        <v>0.80200000000000005</v>
      </c>
      <c r="H160" s="748">
        <v>0.80200000000000005</v>
      </c>
      <c r="I160" s="748">
        <v>0.71509999999999996</v>
      </c>
      <c r="J160" s="748">
        <v>0.71509999999999996</v>
      </c>
      <c r="K160" s="748">
        <v>0.71509999999999996</v>
      </c>
      <c r="L160" s="748">
        <v>0.71509999999999996</v>
      </c>
      <c r="M160" s="748">
        <v>0.71509999999999996</v>
      </c>
    </row>
    <row r="161" spans="1:13">
      <c r="A161" s="750">
        <v>5.7</v>
      </c>
      <c r="B161" s="748">
        <v>0.89749999999999996</v>
      </c>
      <c r="C161" s="748">
        <v>0.89749999999999996</v>
      </c>
      <c r="D161" s="748">
        <v>0.79930000000000001</v>
      </c>
      <c r="E161" s="748">
        <v>0.79930000000000001</v>
      </c>
      <c r="F161" s="748">
        <v>0.79930000000000001</v>
      </c>
      <c r="G161" s="748">
        <v>0.79930000000000001</v>
      </c>
      <c r="H161" s="748">
        <v>0.79930000000000001</v>
      </c>
      <c r="I161" s="748">
        <v>0.71189999999999998</v>
      </c>
      <c r="J161" s="748">
        <v>0.71189999999999998</v>
      </c>
      <c r="K161" s="748">
        <v>0.71189999999999998</v>
      </c>
      <c r="L161" s="748">
        <v>0.71189999999999998</v>
      </c>
      <c r="M161" s="748">
        <v>0.71189999999999998</v>
      </c>
    </row>
    <row r="162" spans="1:13">
      <c r="A162" s="744">
        <v>5.8</v>
      </c>
      <c r="B162" s="748">
        <v>0.89500000000000002</v>
      </c>
      <c r="C162" s="748">
        <v>0.89500000000000002</v>
      </c>
      <c r="D162" s="748">
        <v>0.79679999999999995</v>
      </c>
      <c r="E162" s="748">
        <v>0.79679999999999995</v>
      </c>
      <c r="F162" s="748">
        <v>0.79679999999999995</v>
      </c>
      <c r="G162" s="748">
        <v>0.79679999999999995</v>
      </c>
      <c r="H162" s="748">
        <v>0.79679999999999995</v>
      </c>
      <c r="I162" s="748">
        <v>0.70879999999999999</v>
      </c>
      <c r="J162" s="748">
        <v>0.70879999999999999</v>
      </c>
      <c r="K162" s="748">
        <v>0.70879999999999999</v>
      </c>
      <c r="L162" s="748">
        <v>0.70879999999999999</v>
      </c>
      <c r="M162" s="748">
        <v>0.70879999999999999</v>
      </c>
    </row>
    <row r="163" spans="1:13">
      <c r="A163" s="744">
        <v>5.9</v>
      </c>
      <c r="B163" s="748">
        <v>0.89259999999999995</v>
      </c>
      <c r="C163" s="748">
        <v>0.89259999999999995</v>
      </c>
      <c r="D163" s="748">
        <v>0.7944</v>
      </c>
      <c r="E163" s="748">
        <v>0.7944</v>
      </c>
      <c r="F163" s="748">
        <v>0.7944</v>
      </c>
      <c r="G163" s="748">
        <v>0.7944</v>
      </c>
      <c r="H163" s="748">
        <v>0.7944</v>
      </c>
      <c r="I163" s="748">
        <v>0.70579999999999998</v>
      </c>
      <c r="J163" s="748">
        <v>0.70579999999999998</v>
      </c>
      <c r="K163" s="748">
        <v>0.70579999999999998</v>
      </c>
      <c r="L163" s="748">
        <v>0.70579999999999998</v>
      </c>
      <c r="M163" s="748">
        <v>0.70579999999999998</v>
      </c>
    </row>
    <row r="164" spans="1:13">
      <c r="A164" s="744">
        <v>6</v>
      </c>
      <c r="B164" s="748">
        <v>0.89029999999999998</v>
      </c>
      <c r="C164" s="748">
        <v>0.89029999999999998</v>
      </c>
      <c r="D164" s="748">
        <v>0.79200000000000004</v>
      </c>
      <c r="E164" s="748">
        <v>0.79200000000000004</v>
      </c>
      <c r="F164" s="748">
        <v>0.79200000000000004</v>
      </c>
      <c r="G164" s="748">
        <v>0.79200000000000004</v>
      </c>
      <c r="H164" s="748">
        <v>0.79200000000000004</v>
      </c>
      <c r="I164" s="748">
        <v>0.70289999999999997</v>
      </c>
      <c r="J164" s="748">
        <v>0.70289999999999997</v>
      </c>
      <c r="K164" s="748">
        <v>0.70289999999999997</v>
      </c>
      <c r="L164" s="748">
        <v>0.70289999999999997</v>
      </c>
      <c r="M164" s="748">
        <v>0.70289999999999997</v>
      </c>
    </row>
    <row r="165" spans="1:13">
      <c r="A165" s="744">
        <v>6.1</v>
      </c>
      <c r="B165" s="748">
        <v>0.8881</v>
      </c>
      <c r="C165" s="748">
        <v>0.8881</v>
      </c>
      <c r="D165" s="748">
        <v>0.78979999999999995</v>
      </c>
      <c r="E165" s="748">
        <v>0.78979999999999995</v>
      </c>
      <c r="F165" s="748">
        <v>0.78979999999999995</v>
      </c>
      <c r="G165" s="748">
        <v>0.78979999999999995</v>
      </c>
      <c r="H165" s="748">
        <v>0.78979999999999995</v>
      </c>
      <c r="I165" s="748">
        <v>0.70009999999999994</v>
      </c>
      <c r="J165" s="748">
        <v>0.70009999999999994</v>
      </c>
      <c r="K165" s="748">
        <v>0.70009999999999994</v>
      </c>
      <c r="L165" s="748">
        <v>0.70009999999999994</v>
      </c>
      <c r="M165" s="748">
        <v>0.70009999999999994</v>
      </c>
    </row>
    <row r="166" spans="1:13">
      <c r="A166" s="744">
        <v>6.2</v>
      </c>
      <c r="B166" s="748">
        <v>0.88600000000000001</v>
      </c>
      <c r="C166" s="748">
        <v>0.88600000000000001</v>
      </c>
      <c r="D166" s="748">
        <v>0.78759999999999997</v>
      </c>
      <c r="E166" s="748">
        <v>0.78759999999999997</v>
      </c>
      <c r="F166" s="748">
        <v>0.78759999999999997</v>
      </c>
      <c r="G166" s="748">
        <v>0.78759999999999997</v>
      </c>
      <c r="H166" s="748">
        <v>0.78759999999999997</v>
      </c>
      <c r="I166" s="748">
        <v>0.69740000000000002</v>
      </c>
      <c r="J166" s="748">
        <v>0.69740000000000002</v>
      </c>
      <c r="K166" s="748">
        <v>0.69740000000000002</v>
      </c>
      <c r="L166" s="748">
        <v>0.69740000000000002</v>
      </c>
      <c r="M166" s="748">
        <v>0.69740000000000002</v>
      </c>
    </row>
    <row r="167" spans="1:13">
      <c r="A167" s="744">
        <v>6.3</v>
      </c>
      <c r="B167" s="748">
        <v>0.88390000000000002</v>
      </c>
      <c r="C167" s="748">
        <v>0.88390000000000002</v>
      </c>
      <c r="D167" s="748">
        <v>0.78549999999999998</v>
      </c>
      <c r="E167" s="748">
        <v>0.78549999999999998</v>
      </c>
      <c r="F167" s="748">
        <v>0.78549999999999998</v>
      </c>
      <c r="G167" s="748">
        <v>0.78549999999999998</v>
      </c>
      <c r="H167" s="748">
        <v>0.78549999999999998</v>
      </c>
      <c r="I167" s="748">
        <v>0.69479999999999997</v>
      </c>
      <c r="J167" s="748">
        <v>0.69479999999999997</v>
      </c>
      <c r="K167" s="748">
        <v>0.69479999999999997</v>
      </c>
      <c r="L167" s="748">
        <v>0.69479999999999997</v>
      </c>
      <c r="M167" s="748">
        <v>0.69479999999999997</v>
      </c>
    </row>
    <row r="168" spans="1:13">
      <c r="A168" s="744">
        <v>6.4</v>
      </c>
      <c r="B168" s="748">
        <v>0.88190000000000002</v>
      </c>
      <c r="C168" s="748">
        <v>0.88190000000000002</v>
      </c>
      <c r="D168" s="748">
        <v>0.78339999999999999</v>
      </c>
      <c r="E168" s="748">
        <v>0.78339999999999999</v>
      </c>
      <c r="F168" s="748">
        <v>0.78339999999999999</v>
      </c>
      <c r="G168" s="748">
        <v>0.78339999999999999</v>
      </c>
      <c r="H168" s="748">
        <v>0.78339999999999999</v>
      </c>
      <c r="I168" s="748">
        <v>0.69230000000000003</v>
      </c>
      <c r="J168" s="748">
        <v>0.69230000000000003</v>
      </c>
      <c r="K168" s="748">
        <v>0.69230000000000003</v>
      </c>
      <c r="L168" s="748">
        <v>0.69230000000000003</v>
      </c>
      <c r="M168" s="748">
        <v>0.69230000000000003</v>
      </c>
    </row>
    <row r="169" spans="1:13">
      <c r="A169" s="744">
        <v>6.5</v>
      </c>
      <c r="B169" s="748">
        <v>0.88</v>
      </c>
      <c r="C169" s="748">
        <v>0.88</v>
      </c>
      <c r="D169" s="748">
        <v>0.78139999999999998</v>
      </c>
      <c r="E169" s="748">
        <v>0.78139999999999998</v>
      </c>
      <c r="F169" s="748">
        <v>0.78139999999999998</v>
      </c>
      <c r="G169" s="748">
        <v>0.78139999999999998</v>
      </c>
      <c r="H169" s="748">
        <v>0.78139999999999998</v>
      </c>
      <c r="I169" s="748">
        <v>0.68989999999999996</v>
      </c>
      <c r="J169" s="748">
        <v>0.68989999999999996</v>
      </c>
      <c r="K169" s="748">
        <v>0.68989999999999996</v>
      </c>
      <c r="L169" s="748">
        <v>0.68989999999999996</v>
      </c>
      <c r="M169" s="748">
        <v>0.68989999999999996</v>
      </c>
    </row>
    <row r="170" spans="1:13">
      <c r="A170" s="744">
        <v>6.6</v>
      </c>
      <c r="B170" s="748">
        <v>0.87809999999999999</v>
      </c>
      <c r="C170" s="748">
        <v>0.87809999999999999</v>
      </c>
      <c r="D170" s="748">
        <v>0.77949999999999997</v>
      </c>
      <c r="E170" s="748">
        <v>0.77949999999999997</v>
      </c>
      <c r="F170" s="748">
        <v>0.77949999999999997</v>
      </c>
      <c r="G170" s="748">
        <v>0.77949999999999997</v>
      </c>
      <c r="H170" s="748">
        <v>0.77949999999999997</v>
      </c>
      <c r="I170" s="748">
        <v>0.68759999999999999</v>
      </c>
      <c r="J170" s="748">
        <v>0.68759999999999999</v>
      </c>
      <c r="K170" s="748">
        <v>0.68759999999999999</v>
      </c>
      <c r="L170" s="748">
        <v>0.68759999999999999</v>
      </c>
      <c r="M170" s="748">
        <v>0.68759999999999999</v>
      </c>
    </row>
    <row r="171" spans="1:13">
      <c r="A171" s="744">
        <v>6.7</v>
      </c>
      <c r="B171" s="748">
        <v>0.87629999999999997</v>
      </c>
      <c r="C171" s="748">
        <v>0.87629999999999997</v>
      </c>
      <c r="D171" s="748">
        <v>0.77759999999999996</v>
      </c>
      <c r="E171" s="748">
        <v>0.77759999999999996</v>
      </c>
      <c r="F171" s="748">
        <v>0.77759999999999996</v>
      </c>
      <c r="G171" s="748">
        <v>0.77759999999999996</v>
      </c>
      <c r="H171" s="748">
        <v>0.77759999999999996</v>
      </c>
      <c r="I171" s="748">
        <v>0.68530000000000002</v>
      </c>
      <c r="J171" s="748">
        <v>0.68530000000000002</v>
      </c>
      <c r="K171" s="748">
        <v>0.68530000000000002</v>
      </c>
      <c r="L171" s="748">
        <v>0.68530000000000002</v>
      </c>
      <c r="M171" s="748">
        <v>0.68530000000000002</v>
      </c>
    </row>
    <row r="172" spans="1:13">
      <c r="A172" s="744">
        <v>6.8</v>
      </c>
      <c r="B172" s="748">
        <v>0.87450000000000006</v>
      </c>
      <c r="C172" s="748">
        <v>0.87450000000000006</v>
      </c>
      <c r="D172" s="748">
        <v>0.77569999999999995</v>
      </c>
      <c r="E172" s="748">
        <v>0.77569999999999995</v>
      </c>
      <c r="F172" s="748">
        <v>0.77569999999999995</v>
      </c>
      <c r="G172" s="748">
        <v>0.77569999999999995</v>
      </c>
      <c r="H172" s="748">
        <v>0.77569999999999995</v>
      </c>
      <c r="I172" s="748">
        <v>0.68310000000000004</v>
      </c>
      <c r="J172" s="748">
        <v>0.68310000000000004</v>
      </c>
      <c r="K172" s="748">
        <v>0.68310000000000004</v>
      </c>
      <c r="L172" s="748">
        <v>0.68310000000000004</v>
      </c>
      <c r="M172" s="748">
        <v>0.68310000000000004</v>
      </c>
    </row>
    <row r="173" spans="1:13">
      <c r="A173" s="744">
        <v>6.9</v>
      </c>
      <c r="B173" s="748">
        <v>0.87280000000000002</v>
      </c>
      <c r="C173" s="748">
        <v>0.87280000000000002</v>
      </c>
      <c r="D173" s="748">
        <v>0.77390000000000003</v>
      </c>
      <c r="E173" s="748">
        <v>0.77390000000000003</v>
      </c>
      <c r="F173" s="748">
        <v>0.77390000000000003</v>
      </c>
      <c r="G173" s="748">
        <v>0.77390000000000003</v>
      </c>
      <c r="H173" s="748">
        <v>0.77390000000000003</v>
      </c>
      <c r="I173" s="748">
        <v>0.68089999999999995</v>
      </c>
      <c r="J173" s="748">
        <v>0.68089999999999995</v>
      </c>
      <c r="K173" s="748">
        <v>0.68089999999999995</v>
      </c>
      <c r="L173" s="748">
        <v>0.68089999999999995</v>
      </c>
      <c r="M173" s="748">
        <v>0.68089999999999995</v>
      </c>
    </row>
    <row r="174" spans="1:13">
      <c r="A174" s="744">
        <v>7</v>
      </c>
      <c r="B174" s="748">
        <v>0.87109999999999999</v>
      </c>
      <c r="C174" s="748">
        <v>0.87109999999999999</v>
      </c>
      <c r="D174" s="748">
        <v>0.77210000000000001</v>
      </c>
      <c r="E174" s="748">
        <v>0.77210000000000001</v>
      </c>
      <c r="F174" s="748">
        <v>0.77210000000000001</v>
      </c>
      <c r="G174" s="748">
        <v>0.77210000000000001</v>
      </c>
      <c r="H174" s="748">
        <v>0.77210000000000001</v>
      </c>
      <c r="I174" s="748">
        <v>0.67879999999999996</v>
      </c>
      <c r="J174" s="748">
        <v>0.67879999999999996</v>
      </c>
      <c r="K174" s="748">
        <v>0.67879999999999996</v>
      </c>
      <c r="L174" s="748">
        <v>0.67879999999999996</v>
      </c>
      <c r="M174" s="748">
        <v>0.67879999999999996</v>
      </c>
    </row>
    <row r="175" spans="1:13">
      <c r="A175" s="744">
        <v>7.1</v>
      </c>
      <c r="B175" s="748">
        <v>0.86939999999999995</v>
      </c>
      <c r="C175" s="748">
        <v>0.86939999999999995</v>
      </c>
      <c r="D175" s="748">
        <v>0.77039999999999997</v>
      </c>
      <c r="E175" s="748">
        <v>0.77039999999999997</v>
      </c>
      <c r="F175" s="748">
        <v>0.77039999999999997</v>
      </c>
      <c r="G175" s="748">
        <v>0.77039999999999997</v>
      </c>
      <c r="H175" s="748">
        <v>0.77039999999999997</v>
      </c>
      <c r="I175" s="748">
        <v>0.67669999999999997</v>
      </c>
      <c r="J175" s="748">
        <v>0.67669999999999997</v>
      </c>
      <c r="K175" s="748">
        <v>0.67669999999999997</v>
      </c>
      <c r="L175" s="748">
        <v>0.67669999999999997</v>
      </c>
      <c r="M175" s="748">
        <v>0.67669999999999997</v>
      </c>
    </row>
    <row r="176" spans="1:13">
      <c r="A176" s="744">
        <v>7.2</v>
      </c>
      <c r="B176" s="748">
        <v>0.86770000000000003</v>
      </c>
      <c r="C176" s="748">
        <v>0.86770000000000003</v>
      </c>
      <c r="D176" s="748">
        <v>0.76870000000000005</v>
      </c>
      <c r="E176" s="748">
        <v>0.76870000000000005</v>
      </c>
      <c r="F176" s="748">
        <v>0.76870000000000005</v>
      </c>
      <c r="G176" s="748">
        <v>0.76870000000000005</v>
      </c>
      <c r="H176" s="748">
        <v>0.76870000000000005</v>
      </c>
      <c r="I176" s="748">
        <v>0.67469999999999997</v>
      </c>
      <c r="J176" s="748">
        <v>0.67469999999999997</v>
      </c>
      <c r="K176" s="748">
        <v>0.67469999999999997</v>
      </c>
      <c r="L176" s="748">
        <v>0.67469999999999997</v>
      </c>
      <c r="M176" s="748">
        <v>0.67469999999999997</v>
      </c>
    </row>
    <row r="177" spans="1:13">
      <c r="A177" s="744">
        <v>7.3</v>
      </c>
      <c r="B177" s="748">
        <v>0.86609999999999998</v>
      </c>
      <c r="C177" s="748">
        <v>0.86609999999999998</v>
      </c>
      <c r="D177" s="748">
        <v>0.76700000000000002</v>
      </c>
      <c r="E177" s="748">
        <v>0.76700000000000002</v>
      </c>
      <c r="F177" s="748">
        <v>0.76700000000000002</v>
      </c>
      <c r="G177" s="748">
        <v>0.76700000000000002</v>
      </c>
      <c r="H177" s="748">
        <v>0.76700000000000002</v>
      </c>
      <c r="I177" s="748">
        <v>0.67269999999999996</v>
      </c>
      <c r="J177" s="748">
        <v>0.67269999999999996</v>
      </c>
      <c r="K177" s="748">
        <v>0.67269999999999996</v>
      </c>
      <c r="L177" s="748">
        <v>0.67269999999999996</v>
      </c>
      <c r="M177" s="748">
        <v>0.67269999999999996</v>
      </c>
    </row>
    <row r="178" spans="1:13">
      <c r="A178" s="744">
        <v>7.4</v>
      </c>
      <c r="B178" s="748">
        <v>0.86450000000000005</v>
      </c>
      <c r="C178" s="748">
        <v>0.86450000000000005</v>
      </c>
      <c r="D178" s="748">
        <v>0.76529999999999998</v>
      </c>
      <c r="E178" s="748">
        <v>0.76529999999999998</v>
      </c>
      <c r="F178" s="748">
        <v>0.76529999999999998</v>
      </c>
      <c r="G178" s="748">
        <v>0.76529999999999998</v>
      </c>
      <c r="H178" s="748">
        <v>0.76529999999999998</v>
      </c>
      <c r="I178" s="748">
        <v>0.67079999999999995</v>
      </c>
      <c r="J178" s="748">
        <v>0.67079999999999995</v>
      </c>
      <c r="K178" s="748">
        <v>0.67079999999999995</v>
      </c>
      <c r="L178" s="748">
        <v>0.67079999999999995</v>
      </c>
      <c r="M178" s="748">
        <v>0.67079999999999995</v>
      </c>
    </row>
    <row r="179" spans="1:13">
      <c r="A179" s="744">
        <v>7.5</v>
      </c>
      <c r="B179" s="748">
        <v>0.86299999999999999</v>
      </c>
      <c r="C179" s="748">
        <v>0.86299999999999999</v>
      </c>
      <c r="D179" s="748">
        <v>0.76359999999999995</v>
      </c>
      <c r="E179" s="748">
        <v>0.76359999999999995</v>
      </c>
      <c r="F179" s="748">
        <v>0.76359999999999995</v>
      </c>
      <c r="G179" s="748">
        <v>0.76359999999999995</v>
      </c>
      <c r="H179" s="748">
        <v>0.76359999999999995</v>
      </c>
      <c r="I179" s="748">
        <v>0.66890000000000005</v>
      </c>
      <c r="J179" s="748">
        <v>0.66890000000000005</v>
      </c>
      <c r="K179" s="748">
        <v>0.66890000000000005</v>
      </c>
      <c r="L179" s="748">
        <v>0.66890000000000005</v>
      </c>
      <c r="M179" s="748">
        <v>0.66890000000000005</v>
      </c>
    </row>
    <row r="180" spans="1:13">
      <c r="A180" s="744">
        <v>7.6</v>
      </c>
      <c r="B180" s="748">
        <v>0.86150000000000004</v>
      </c>
      <c r="C180" s="748">
        <v>0.86150000000000004</v>
      </c>
      <c r="D180" s="748">
        <v>0.76200000000000001</v>
      </c>
      <c r="E180" s="748">
        <v>0.76200000000000001</v>
      </c>
      <c r="F180" s="748">
        <v>0.76200000000000001</v>
      </c>
      <c r="G180" s="748">
        <v>0.76200000000000001</v>
      </c>
      <c r="H180" s="748">
        <v>0.76200000000000001</v>
      </c>
      <c r="I180" s="748">
        <v>0.66700000000000004</v>
      </c>
      <c r="J180" s="748">
        <v>0.66700000000000004</v>
      </c>
      <c r="K180" s="748">
        <v>0.66700000000000004</v>
      </c>
      <c r="L180" s="748">
        <v>0.66700000000000004</v>
      </c>
      <c r="M180" s="748">
        <v>0.66700000000000004</v>
      </c>
    </row>
    <row r="181" spans="1:13">
      <c r="A181" s="744">
        <v>7.7</v>
      </c>
      <c r="B181" s="748">
        <v>0.86</v>
      </c>
      <c r="C181" s="748">
        <v>0.86</v>
      </c>
      <c r="D181" s="748">
        <v>0.76039999999999996</v>
      </c>
      <c r="E181" s="748">
        <v>0.76039999999999996</v>
      </c>
      <c r="F181" s="748">
        <v>0.76039999999999996</v>
      </c>
      <c r="G181" s="748">
        <v>0.76039999999999996</v>
      </c>
      <c r="H181" s="748">
        <v>0.76039999999999996</v>
      </c>
      <c r="I181" s="748">
        <v>0.66510000000000002</v>
      </c>
      <c r="J181" s="748">
        <v>0.66510000000000002</v>
      </c>
      <c r="K181" s="748">
        <v>0.66510000000000002</v>
      </c>
      <c r="L181" s="748">
        <v>0.66510000000000002</v>
      </c>
      <c r="M181" s="748">
        <v>0.66510000000000002</v>
      </c>
    </row>
    <row r="182" spans="1:13">
      <c r="A182" s="744">
        <v>7.8</v>
      </c>
      <c r="B182" s="748">
        <v>0.85850000000000004</v>
      </c>
      <c r="C182" s="748">
        <v>0.85850000000000004</v>
      </c>
      <c r="D182" s="748">
        <v>0.75880000000000003</v>
      </c>
      <c r="E182" s="748">
        <v>0.75880000000000003</v>
      </c>
      <c r="F182" s="748">
        <v>0.75880000000000003</v>
      </c>
      <c r="G182" s="748">
        <v>0.75880000000000003</v>
      </c>
      <c r="H182" s="748">
        <v>0.75880000000000003</v>
      </c>
      <c r="I182" s="748">
        <v>0.6633</v>
      </c>
      <c r="J182" s="748">
        <v>0.6633</v>
      </c>
      <c r="K182" s="748">
        <v>0.6633</v>
      </c>
      <c r="L182" s="748">
        <v>0.6633</v>
      </c>
      <c r="M182" s="748">
        <v>0.6633</v>
      </c>
    </row>
    <row r="183" spans="1:13">
      <c r="A183" s="744">
        <v>7.9</v>
      </c>
      <c r="B183" s="748">
        <v>0.85699999999999998</v>
      </c>
      <c r="C183" s="748">
        <v>0.85699999999999998</v>
      </c>
      <c r="D183" s="748">
        <v>0.75719999999999998</v>
      </c>
      <c r="E183" s="748">
        <v>0.75719999999999998</v>
      </c>
      <c r="F183" s="748">
        <v>0.75719999999999998</v>
      </c>
      <c r="G183" s="748">
        <v>0.75719999999999998</v>
      </c>
      <c r="H183" s="748">
        <v>0.75719999999999998</v>
      </c>
      <c r="I183" s="748">
        <v>0.66149999999999998</v>
      </c>
      <c r="J183" s="748">
        <v>0.66149999999999998</v>
      </c>
      <c r="K183" s="748">
        <v>0.66149999999999998</v>
      </c>
      <c r="L183" s="748">
        <v>0.66149999999999998</v>
      </c>
      <c r="M183" s="748">
        <v>0.66149999999999998</v>
      </c>
    </row>
    <row r="184" spans="1:13">
      <c r="A184" s="744">
        <v>8</v>
      </c>
      <c r="B184" s="748">
        <v>0.85550000000000004</v>
      </c>
      <c r="C184" s="748">
        <v>0.85550000000000004</v>
      </c>
      <c r="D184" s="748">
        <v>0.75570000000000004</v>
      </c>
      <c r="E184" s="748">
        <v>0.75570000000000004</v>
      </c>
      <c r="F184" s="748">
        <v>0.75570000000000004</v>
      </c>
      <c r="G184" s="748">
        <v>0.75570000000000004</v>
      </c>
      <c r="H184" s="748">
        <v>0.75570000000000004</v>
      </c>
      <c r="I184" s="748">
        <v>0.65969999999999995</v>
      </c>
      <c r="J184" s="748">
        <v>0.65969999999999995</v>
      </c>
      <c r="K184" s="748">
        <v>0.65969999999999995</v>
      </c>
      <c r="L184" s="748">
        <v>0.65969999999999995</v>
      </c>
      <c r="M184" s="748">
        <v>0.65969999999999995</v>
      </c>
    </row>
    <row r="185" spans="1:13">
      <c r="A185" s="744">
        <v>8.1</v>
      </c>
      <c r="B185" s="748">
        <v>0.85399999999999998</v>
      </c>
      <c r="C185" s="748">
        <v>0.85399999999999998</v>
      </c>
      <c r="D185" s="748">
        <v>0.75419999999999998</v>
      </c>
      <c r="E185" s="748">
        <v>0.75419999999999998</v>
      </c>
      <c r="F185" s="748">
        <v>0.75419999999999998</v>
      </c>
      <c r="G185" s="748">
        <v>0.75419999999999998</v>
      </c>
      <c r="H185" s="748">
        <v>0.75419999999999998</v>
      </c>
      <c r="I185" s="748">
        <v>0.65800000000000003</v>
      </c>
      <c r="J185" s="748">
        <v>0.65800000000000003</v>
      </c>
      <c r="K185" s="748">
        <v>0.65800000000000003</v>
      </c>
      <c r="L185" s="748">
        <v>0.65800000000000003</v>
      </c>
      <c r="M185" s="748">
        <v>0.65800000000000003</v>
      </c>
    </row>
    <row r="186" spans="1:13">
      <c r="A186" s="744">
        <v>8.1999999999999993</v>
      </c>
      <c r="B186" s="748">
        <v>0.85250000000000004</v>
      </c>
      <c r="C186" s="748">
        <v>0.85250000000000004</v>
      </c>
      <c r="D186" s="748">
        <v>0.75270000000000004</v>
      </c>
      <c r="E186" s="748">
        <v>0.75270000000000004</v>
      </c>
      <c r="F186" s="748">
        <v>0.75270000000000004</v>
      </c>
      <c r="G186" s="748">
        <v>0.75270000000000004</v>
      </c>
      <c r="H186" s="748">
        <v>0.75270000000000004</v>
      </c>
      <c r="I186" s="748">
        <v>0.65629999999999999</v>
      </c>
      <c r="J186" s="748">
        <v>0.65629999999999999</v>
      </c>
      <c r="K186" s="748">
        <v>0.65629999999999999</v>
      </c>
      <c r="L186" s="748">
        <v>0.65629999999999999</v>
      </c>
      <c r="M186" s="748">
        <v>0.65629999999999999</v>
      </c>
    </row>
    <row r="187" spans="1:13">
      <c r="A187" s="744">
        <v>8.3000000000000007</v>
      </c>
      <c r="B187" s="748">
        <v>0.85109999999999997</v>
      </c>
      <c r="C187" s="748">
        <v>0.85109999999999997</v>
      </c>
      <c r="D187" s="748">
        <v>0.75119999999999998</v>
      </c>
      <c r="E187" s="748">
        <v>0.75119999999999998</v>
      </c>
      <c r="F187" s="748">
        <v>0.75119999999999998</v>
      </c>
      <c r="G187" s="748">
        <v>0.75119999999999998</v>
      </c>
      <c r="H187" s="748">
        <v>0.75119999999999998</v>
      </c>
      <c r="I187" s="748">
        <v>0.65459999999999996</v>
      </c>
      <c r="J187" s="748">
        <v>0.65459999999999996</v>
      </c>
      <c r="K187" s="748">
        <v>0.65459999999999996</v>
      </c>
      <c r="L187" s="748">
        <v>0.65459999999999996</v>
      </c>
      <c r="M187" s="748">
        <v>0.65459999999999996</v>
      </c>
    </row>
    <row r="188" spans="1:13">
      <c r="A188" s="744">
        <v>8.4</v>
      </c>
      <c r="B188" s="748">
        <v>0.84970000000000001</v>
      </c>
      <c r="C188" s="748">
        <v>0.84970000000000001</v>
      </c>
      <c r="D188" s="748">
        <v>0.74970000000000003</v>
      </c>
      <c r="E188" s="748">
        <v>0.74970000000000003</v>
      </c>
      <c r="F188" s="748">
        <v>0.74970000000000003</v>
      </c>
      <c r="G188" s="748">
        <v>0.74970000000000003</v>
      </c>
      <c r="H188" s="748">
        <v>0.74970000000000003</v>
      </c>
      <c r="I188" s="748">
        <v>0.65300000000000002</v>
      </c>
      <c r="J188" s="748">
        <v>0.65300000000000002</v>
      </c>
      <c r="K188" s="748">
        <v>0.65300000000000002</v>
      </c>
      <c r="L188" s="748">
        <v>0.65300000000000002</v>
      </c>
      <c r="M188" s="748">
        <v>0.65300000000000002</v>
      </c>
    </row>
    <row r="189" spans="1:13">
      <c r="A189" s="744">
        <v>8.5</v>
      </c>
      <c r="B189" s="748">
        <v>0.84830000000000005</v>
      </c>
      <c r="C189" s="748">
        <v>0.84830000000000005</v>
      </c>
      <c r="D189" s="748">
        <v>0.74819999999999998</v>
      </c>
      <c r="E189" s="748">
        <v>0.74819999999999998</v>
      </c>
      <c r="F189" s="748">
        <v>0.74819999999999998</v>
      </c>
      <c r="G189" s="748">
        <v>0.74819999999999998</v>
      </c>
      <c r="H189" s="748">
        <v>0.74819999999999998</v>
      </c>
      <c r="I189" s="748">
        <v>0.65139999999999998</v>
      </c>
      <c r="J189" s="748">
        <v>0.65139999999999998</v>
      </c>
      <c r="K189" s="748">
        <v>0.65139999999999998</v>
      </c>
      <c r="L189" s="748">
        <v>0.65139999999999998</v>
      </c>
      <c r="M189" s="748">
        <v>0.65139999999999998</v>
      </c>
    </row>
    <row r="190" spans="1:13">
      <c r="A190" s="744">
        <v>8.6</v>
      </c>
      <c r="B190" s="748">
        <v>0.84689999999999999</v>
      </c>
      <c r="C190" s="748">
        <v>0.84689999999999999</v>
      </c>
      <c r="D190" s="748">
        <v>0.74670000000000003</v>
      </c>
      <c r="E190" s="748">
        <v>0.74670000000000003</v>
      </c>
      <c r="F190" s="748">
        <v>0.74670000000000003</v>
      </c>
      <c r="G190" s="748">
        <v>0.74670000000000003</v>
      </c>
      <c r="H190" s="748">
        <v>0.74670000000000003</v>
      </c>
      <c r="I190" s="748">
        <v>0.64980000000000004</v>
      </c>
      <c r="J190" s="748">
        <v>0.64980000000000004</v>
      </c>
      <c r="K190" s="748">
        <v>0.64980000000000004</v>
      </c>
      <c r="L190" s="748">
        <v>0.64980000000000004</v>
      </c>
      <c r="M190" s="748">
        <v>0.64980000000000004</v>
      </c>
    </row>
    <row r="191" spans="1:13">
      <c r="A191" s="744">
        <v>8.6999999999999993</v>
      </c>
      <c r="B191" s="748">
        <v>0.84550000000000003</v>
      </c>
      <c r="C191" s="748">
        <v>0.84550000000000003</v>
      </c>
      <c r="D191" s="748">
        <v>0.74519999999999997</v>
      </c>
      <c r="E191" s="748">
        <v>0.74519999999999997</v>
      </c>
      <c r="F191" s="748">
        <v>0.74519999999999997</v>
      </c>
      <c r="G191" s="748">
        <v>0.74519999999999997</v>
      </c>
      <c r="H191" s="748">
        <v>0.74519999999999997</v>
      </c>
      <c r="I191" s="748">
        <v>0.6482</v>
      </c>
      <c r="J191" s="748">
        <v>0.6482</v>
      </c>
      <c r="K191" s="748">
        <v>0.6482</v>
      </c>
      <c r="L191" s="748">
        <v>0.6482</v>
      </c>
      <c r="M191" s="748">
        <v>0.6482</v>
      </c>
    </row>
    <row r="192" spans="1:13">
      <c r="A192" s="744">
        <v>8.8000000000000007</v>
      </c>
      <c r="B192" s="748">
        <v>0.84409999999999996</v>
      </c>
      <c r="C192" s="748">
        <v>0.84409999999999996</v>
      </c>
      <c r="D192" s="748">
        <v>0.74370000000000003</v>
      </c>
      <c r="E192" s="748">
        <v>0.74370000000000003</v>
      </c>
      <c r="F192" s="748">
        <v>0.74370000000000003</v>
      </c>
      <c r="G192" s="748">
        <v>0.74370000000000003</v>
      </c>
      <c r="H192" s="748">
        <v>0.74370000000000003</v>
      </c>
      <c r="I192" s="748">
        <v>0.64659999999999995</v>
      </c>
      <c r="J192" s="748">
        <v>0.64659999999999995</v>
      </c>
      <c r="K192" s="748">
        <v>0.64659999999999995</v>
      </c>
      <c r="L192" s="748">
        <v>0.64659999999999995</v>
      </c>
      <c r="M192" s="748">
        <v>0.64659999999999995</v>
      </c>
    </row>
    <row r="193" spans="1:13">
      <c r="A193" s="744">
        <v>8.9</v>
      </c>
      <c r="B193" s="748">
        <v>0.84279999999999999</v>
      </c>
      <c r="C193" s="748">
        <v>0.84279999999999999</v>
      </c>
      <c r="D193" s="748">
        <v>0.74219999999999997</v>
      </c>
      <c r="E193" s="748">
        <v>0.74219999999999997</v>
      </c>
      <c r="F193" s="748">
        <v>0.74219999999999997</v>
      </c>
      <c r="G193" s="748">
        <v>0.74219999999999997</v>
      </c>
      <c r="H193" s="748">
        <v>0.74219999999999997</v>
      </c>
      <c r="I193" s="748">
        <v>0.64500000000000002</v>
      </c>
      <c r="J193" s="748">
        <v>0.64500000000000002</v>
      </c>
      <c r="K193" s="748">
        <v>0.64500000000000002</v>
      </c>
      <c r="L193" s="748">
        <v>0.64500000000000002</v>
      </c>
      <c r="M193" s="748">
        <v>0.64500000000000002</v>
      </c>
    </row>
    <row r="194" spans="1:13">
      <c r="A194" s="750">
        <v>9</v>
      </c>
      <c r="B194" s="748">
        <v>0.84150000000000003</v>
      </c>
      <c r="C194" s="748">
        <v>0.84150000000000003</v>
      </c>
      <c r="D194" s="748">
        <v>0.74070000000000003</v>
      </c>
      <c r="E194" s="748">
        <v>0.74070000000000003</v>
      </c>
      <c r="F194" s="748">
        <v>0.74070000000000003</v>
      </c>
      <c r="G194" s="748">
        <v>0.74070000000000003</v>
      </c>
      <c r="H194" s="748">
        <v>0.74070000000000003</v>
      </c>
      <c r="I194" s="748">
        <v>0.64349999999999996</v>
      </c>
      <c r="J194" s="748">
        <v>0.64349999999999996</v>
      </c>
      <c r="K194" s="748">
        <v>0.64349999999999996</v>
      </c>
      <c r="L194" s="748">
        <v>0.64349999999999996</v>
      </c>
      <c r="M194" s="748">
        <v>0.64349999999999996</v>
      </c>
    </row>
    <row r="195" spans="1:13">
      <c r="A195" s="750">
        <v>9.1</v>
      </c>
      <c r="B195" s="748">
        <v>0.84019999999999995</v>
      </c>
      <c r="C195" s="748">
        <v>0.84019999999999995</v>
      </c>
      <c r="D195" s="748">
        <v>0.73919999999999997</v>
      </c>
      <c r="E195" s="748">
        <v>0.73919999999999997</v>
      </c>
      <c r="F195" s="748">
        <v>0.73919999999999997</v>
      </c>
      <c r="G195" s="748">
        <v>0.73919999999999997</v>
      </c>
      <c r="H195" s="748">
        <v>0.73919999999999997</v>
      </c>
      <c r="I195" s="748">
        <v>0.64200000000000002</v>
      </c>
      <c r="J195" s="748">
        <v>0.64200000000000002</v>
      </c>
      <c r="K195" s="748">
        <v>0.64200000000000002</v>
      </c>
      <c r="L195" s="748">
        <v>0.64200000000000002</v>
      </c>
      <c r="M195" s="748">
        <v>0.64200000000000002</v>
      </c>
    </row>
    <row r="196" spans="1:13">
      <c r="A196" s="750">
        <v>9.1999999999999993</v>
      </c>
      <c r="B196" s="748">
        <v>0.83889999999999998</v>
      </c>
      <c r="C196" s="748">
        <v>0.83889999999999998</v>
      </c>
      <c r="D196" s="748">
        <v>0.73770000000000002</v>
      </c>
      <c r="E196" s="748">
        <v>0.73770000000000002</v>
      </c>
      <c r="F196" s="748">
        <v>0.73770000000000002</v>
      </c>
      <c r="G196" s="748">
        <v>0.73770000000000002</v>
      </c>
      <c r="H196" s="748">
        <v>0.73770000000000002</v>
      </c>
      <c r="I196" s="748">
        <v>0.64059999999999995</v>
      </c>
      <c r="J196" s="748">
        <v>0.64059999999999995</v>
      </c>
      <c r="K196" s="748">
        <v>0.64059999999999995</v>
      </c>
      <c r="L196" s="748">
        <v>0.64059999999999995</v>
      </c>
      <c r="M196" s="748">
        <v>0.64059999999999995</v>
      </c>
    </row>
    <row r="197" spans="1:13">
      <c r="A197" s="750">
        <v>9.3000000000000007</v>
      </c>
      <c r="B197" s="748">
        <v>0.83760000000000001</v>
      </c>
      <c r="C197" s="748">
        <v>0.83760000000000001</v>
      </c>
      <c r="D197" s="748">
        <v>0.73629999999999995</v>
      </c>
      <c r="E197" s="748">
        <v>0.73629999999999995</v>
      </c>
      <c r="F197" s="748">
        <v>0.73629999999999995</v>
      </c>
      <c r="G197" s="748">
        <v>0.73629999999999995</v>
      </c>
      <c r="H197" s="748">
        <v>0.73629999999999995</v>
      </c>
      <c r="I197" s="748">
        <v>0.63919999999999999</v>
      </c>
      <c r="J197" s="748">
        <v>0.63919999999999999</v>
      </c>
      <c r="K197" s="748">
        <v>0.63919999999999999</v>
      </c>
      <c r="L197" s="748">
        <v>0.63919999999999999</v>
      </c>
      <c r="M197" s="748">
        <v>0.63919999999999999</v>
      </c>
    </row>
    <row r="198" spans="1:13">
      <c r="A198" s="750">
        <v>9.4</v>
      </c>
      <c r="B198" s="748">
        <v>0.83630000000000004</v>
      </c>
      <c r="C198" s="748">
        <v>0.83630000000000004</v>
      </c>
      <c r="D198" s="748">
        <v>0.7349</v>
      </c>
      <c r="E198" s="748">
        <v>0.7349</v>
      </c>
      <c r="F198" s="748">
        <v>0.7349</v>
      </c>
      <c r="G198" s="748">
        <v>0.7349</v>
      </c>
      <c r="H198" s="748">
        <v>0.7349</v>
      </c>
      <c r="I198" s="748">
        <v>0.63780000000000003</v>
      </c>
      <c r="J198" s="748">
        <v>0.63780000000000003</v>
      </c>
      <c r="K198" s="748">
        <v>0.63780000000000003</v>
      </c>
      <c r="L198" s="748">
        <v>0.63780000000000003</v>
      </c>
      <c r="M198" s="748">
        <v>0.63780000000000003</v>
      </c>
    </row>
    <row r="199" spans="1:13">
      <c r="A199" s="750">
        <v>9.5</v>
      </c>
      <c r="B199" s="748">
        <v>0.83499999999999996</v>
      </c>
      <c r="C199" s="748">
        <v>0.83499999999999996</v>
      </c>
      <c r="D199" s="748">
        <v>0.73350000000000004</v>
      </c>
      <c r="E199" s="748">
        <v>0.73350000000000004</v>
      </c>
      <c r="F199" s="748">
        <v>0.73350000000000004</v>
      </c>
      <c r="G199" s="748">
        <v>0.73350000000000004</v>
      </c>
      <c r="H199" s="748">
        <v>0.73350000000000004</v>
      </c>
      <c r="I199" s="748">
        <v>0.63639999999999997</v>
      </c>
      <c r="J199" s="748">
        <v>0.63639999999999997</v>
      </c>
      <c r="K199" s="748">
        <v>0.63639999999999997</v>
      </c>
      <c r="L199" s="748">
        <v>0.63639999999999997</v>
      </c>
      <c r="M199" s="748">
        <v>0.63639999999999997</v>
      </c>
    </row>
    <row r="200" spans="1:13">
      <c r="A200" s="750">
        <v>9.6</v>
      </c>
      <c r="B200" s="748">
        <v>0.83379999999999999</v>
      </c>
      <c r="C200" s="748">
        <v>0.83379999999999999</v>
      </c>
      <c r="D200" s="748">
        <v>0.73209999999999997</v>
      </c>
      <c r="E200" s="748">
        <v>0.73209999999999997</v>
      </c>
      <c r="F200" s="748">
        <v>0.73209999999999997</v>
      </c>
      <c r="G200" s="748">
        <v>0.73209999999999997</v>
      </c>
      <c r="H200" s="748">
        <v>0.73209999999999997</v>
      </c>
      <c r="I200" s="748">
        <v>0.63500000000000001</v>
      </c>
      <c r="J200" s="748">
        <v>0.63500000000000001</v>
      </c>
      <c r="K200" s="748">
        <v>0.63500000000000001</v>
      </c>
      <c r="L200" s="748">
        <v>0.63500000000000001</v>
      </c>
      <c r="M200" s="748">
        <v>0.63500000000000001</v>
      </c>
    </row>
    <row r="201" spans="1:13">
      <c r="A201" s="750">
        <v>9.6999999999999993</v>
      </c>
      <c r="B201" s="748">
        <v>0.83260000000000001</v>
      </c>
      <c r="C201" s="748">
        <v>0.83260000000000001</v>
      </c>
      <c r="D201" s="748">
        <v>0.73070000000000002</v>
      </c>
      <c r="E201" s="748">
        <v>0.73070000000000002</v>
      </c>
      <c r="F201" s="748">
        <v>0.73070000000000002</v>
      </c>
      <c r="G201" s="748">
        <v>0.73070000000000002</v>
      </c>
      <c r="H201" s="748">
        <v>0.73070000000000002</v>
      </c>
      <c r="I201" s="748">
        <v>0.63360000000000005</v>
      </c>
      <c r="J201" s="748">
        <v>0.63360000000000005</v>
      </c>
      <c r="K201" s="748">
        <v>0.63360000000000005</v>
      </c>
      <c r="L201" s="748">
        <v>0.63360000000000005</v>
      </c>
      <c r="M201" s="748">
        <v>0.63360000000000005</v>
      </c>
    </row>
    <row r="202" spans="1:13">
      <c r="A202" s="750">
        <v>9.8000000000000007</v>
      </c>
      <c r="B202" s="748">
        <v>0.83140000000000003</v>
      </c>
      <c r="C202" s="748">
        <v>0.83140000000000003</v>
      </c>
      <c r="D202" s="748">
        <v>0.72929999999999995</v>
      </c>
      <c r="E202" s="748">
        <v>0.72929999999999995</v>
      </c>
      <c r="F202" s="748">
        <v>0.72929999999999995</v>
      </c>
      <c r="G202" s="748">
        <v>0.72929999999999995</v>
      </c>
      <c r="H202" s="748">
        <v>0.72929999999999995</v>
      </c>
      <c r="I202" s="748">
        <v>0.63219999999999998</v>
      </c>
      <c r="J202" s="748">
        <v>0.63219999999999998</v>
      </c>
      <c r="K202" s="748">
        <v>0.63219999999999998</v>
      </c>
      <c r="L202" s="748">
        <v>0.63219999999999998</v>
      </c>
      <c r="M202" s="748">
        <v>0.63219999999999998</v>
      </c>
    </row>
    <row r="203" spans="1:13">
      <c r="A203" s="750">
        <v>9.9</v>
      </c>
      <c r="B203" s="748">
        <v>0.83020000000000005</v>
      </c>
      <c r="C203" s="748">
        <v>0.83020000000000005</v>
      </c>
      <c r="D203" s="748">
        <v>0.72799999999999998</v>
      </c>
      <c r="E203" s="748">
        <v>0.72799999999999998</v>
      </c>
      <c r="F203" s="748">
        <v>0.72799999999999998</v>
      </c>
      <c r="G203" s="748">
        <v>0.72799999999999998</v>
      </c>
      <c r="H203" s="748">
        <v>0.72799999999999998</v>
      </c>
      <c r="I203" s="748">
        <v>0.63080000000000003</v>
      </c>
      <c r="J203" s="748">
        <v>0.63080000000000003</v>
      </c>
      <c r="K203" s="748">
        <v>0.63080000000000003</v>
      </c>
      <c r="L203" s="748">
        <v>0.63080000000000003</v>
      </c>
      <c r="M203" s="748">
        <v>0.63080000000000003</v>
      </c>
    </row>
    <row r="204" spans="1:13">
      <c r="A204" s="750">
        <v>10</v>
      </c>
      <c r="B204" s="748">
        <v>0.82899999999999996</v>
      </c>
      <c r="C204" s="748">
        <v>0.82899999999999996</v>
      </c>
      <c r="D204" s="748">
        <v>0.72670000000000001</v>
      </c>
      <c r="E204" s="748">
        <v>0.72670000000000001</v>
      </c>
      <c r="F204" s="748">
        <v>0.72670000000000001</v>
      </c>
      <c r="G204" s="748">
        <v>0.72670000000000001</v>
      </c>
      <c r="H204" s="748">
        <v>0.72670000000000001</v>
      </c>
      <c r="I204" s="748">
        <v>0.62939999999999996</v>
      </c>
      <c r="J204" s="748">
        <v>0.62939999999999996</v>
      </c>
      <c r="K204" s="748">
        <v>0.62939999999999996</v>
      </c>
      <c r="L204" s="748">
        <v>0.62939999999999996</v>
      </c>
      <c r="M204" s="748">
        <v>0.62939999999999996</v>
      </c>
    </row>
    <row r="205" spans="1:13" ht="14.25">
      <c r="A205" s="741" t="s">
        <v>527</v>
      </c>
      <c r="B205" s="742"/>
      <c r="C205" s="742"/>
      <c r="D205" s="742"/>
      <c r="E205" s="742"/>
      <c r="F205" s="742"/>
      <c r="G205" s="742"/>
      <c r="H205" s="742"/>
      <c r="I205" s="742"/>
      <c r="J205" s="742"/>
      <c r="K205" s="742"/>
      <c r="L205" s="742"/>
      <c r="M205" s="742"/>
    </row>
    <row r="206" spans="1:13">
      <c r="A206" s="744" t="s">
        <v>524</v>
      </c>
      <c r="B206" s="745" t="s">
        <v>106</v>
      </c>
      <c r="C206" s="745" t="s">
        <v>107</v>
      </c>
      <c r="D206" s="745" t="s">
        <v>108</v>
      </c>
      <c r="E206" s="745" t="s">
        <v>109</v>
      </c>
      <c r="F206" s="745" t="s">
        <v>110</v>
      </c>
      <c r="G206" s="745" t="s">
        <v>111</v>
      </c>
      <c r="H206" s="746" t="s">
        <v>112</v>
      </c>
      <c r="I206" s="746" t="s">
        <v>113</v>
      </c>
      <c r="J206" s="747" t="s">
        <v>114</v>
      </c>
      <c r="K206" s="747" t="s">
        <v>115</v>
      </c>
      <c r="L206" s="747" t="s">
        <v>116</v>
      </c>
      <c r="M206" s="747" t="s">
        <v>117</v>
      </c>
    </row>
    <row r="207" spans="1:13">
      <c r="A207" s="744">
        <v>0.1</v>
      </c>
      <c r="B207" s="748">
        <v>12.172000000000001</v>
      </c>
      <c r="C207" s="748">
        <v>12.172000000000001</v>
      </c>
      <c r="D207" s="748">
        <v>12.375999999999999</v>
      </c>
      <c r="E207" s="748">
        <v>12.375999999999999</v>
      </c>
      <c r="F207" s="748">
        <v>12.375999999999999</v>
      </c>
      <c r="G207" s="748">
        <v>12.375999999999999</v>
      </c>
      <c r="H207" s="748">
        <v>12.375999999999999</v>
      </c>
      <c r="I207" s="748">
        <v>11.071999999999999</v>
      </c>
      <c r="J207" s="748">
        <v>11.071999999999999</v>
      </c>
      <c r="K207" s="748">
        <v>11.071999999999999</v>
      </c>
      <c r="L207" s="748">
        <v>11.071999999999999</v>
      </c>
      <c r="M207" s="748">
        <v>11.071999999999999</v>
      </c>
    </row>
    <row r="208" spans="1:13">
      <c r="A208" s="744">
        <v>0.2</v>
      </c>
      <c r="B208" s="748">
        <v>6.0860000000000003</v>
      </c>
      <c r="C208" s="748">
        <v>6.0860000000000003</v>
      </c>
      <c r="D208" s="748">
        <v>6.1879999999999997</v>
      </c>
      <c r="E208" s="748">
        <v>6.1879999999999997</v>
      </c>
      <c r="F208" s="748">
        <v>6.1879999999999997</v>
      </c>
      <c r="G208" s="748">
        <v>6.1879999999999997</v>
      </c>
      <c r="H208" s="748">
        <v>6.1879999999999997</v>
      </c>
      <c r="I208" s="748">
        <v>5.5359999999999996</v>
      </c>
      <c r="J208" s="748">
        <v>5.5359999999999996</v>
      </c>
      <c r="K208" s="748">
        <v>5.5359999999999996</v>
      </c>
      <c r="L208" s="748">
        <v>5.5359999999999996</v>
      </c>
      <c r="M208" s="748">
        <v>5.5359999999999996</v>
      </c>
    </row>
    <row r="209" spans="1:13">
      <c r="A209" s="744">
        <v>0.3</v>
      </c>
      <c r="B209" s="748">
        <v>4.0572999999999997</v>
      </c>
      <c r="C209" s="748">
        <v>4.0572999999999997</v>
      </c>
      <c r="D209" s="748">
        <v>4.1253000000000002</v>
      </c>
      <c r="E209" s="748">
        <v>4.1253000000000002</v>
      </c>
      <c r="F209" s="748">
        <v>4.1253000000000002</v>
      </c>
      <c r="G209" s="748">
        <v>4.1253000000000002</v>
      </c>
      <c r="H209" s="748">
        <v>4.1253000000000002</v>
      </c>
      <c r="I209" s="748">
        <v>3.6907000000000001</v>
      </c>
      <c r="J209" s="748">
        <v>3.6907000000000001</v>
      </c>
      <c r="K209" s="748">
        <v>3.6907000000000001</v>
      </c>
      <c r="L209" s="748">
        <v>3.6907000000000001</v>
      </c>
      <c r="M209" s="748">
        <v>3.6907000000000001</v>
      </c>
    </row>
    <row r="210" spans="1:13">
      <c r="A210" s="744">
        <v>0.4</v>
      </c>
      <c r="B210" s="748">
        <v>3.0430000000000001</v>
      </c>
      <c r="C210" s="748">
        <v>3.0430000000000001</v>
      </c>
      <c r="D210" s="748">
        <v>3.0939999999999999</v>
      </c>
      <c r="E210" s="748">
        <v>3.0939999999999999</v>
      </c>
      <c r="F210" s="748">
        <v>3.0939999999999999</v>
      </c>
      <c r="G210" s="748">
        <v>3.0939999999999999</v>
      </c>
      <c r="H210" s="748">
        <v>3.0939999999999999</v>
      </c>
      <c r="I210" s="748">
        <v>2.7679999999999998</v>
      </c>
      <c r="J210" s="748">
        <v>2.7679999999999998</v>
      </c>
      <c r="K210" s="748">
        <v>2.7679999999999998</v>
      </c>
      <c r="L210" s="748">
        <v>2.7679999999999998</v>
      </c>
      <c r="M210" s="748">
        <v>2.7679999999999998</v>
      </c>
    </row>
    <row r="211" spans="1:13">
      <c r="A211" s="744">
        <v>0.5</v>
      </c>
      <c r="B211" s="748">
        <v>2.4344000000000001</v>
      </c>
      <c r="C211" s="748">
        <v>2.4344000000000001</v>
      </c>
      <c r="D211" s="748">
        <v>2.4752000000000001</v>
      </c>
      <c r="E211" s="748">
        <v>2.4752000000000001</v>
      </c>
      <c r="F211" s="748">
        <v>2.4752000000000001</v>
      </c>
      <c r="G211" s="748">
        <v>2.4752000000000001</v>
      </c>
      <c r="H211" s="748">
        <v>2.4752000000000001</v>
      </c>
      <c r="I211" s="748">
        <v>2.2143999999999999</v>
      </c>
      <c r="J211" s="748">
        <v>2.2143999999999999</v>
      </c>
      <c r="K211" s="748">
        <v>2.2143999999999999</v>
      </c>
      <c r="L211" s="748">
        <v>2.2143999999999999</v>
      </c>
      <c r="M211" s="748">
        <v>2.2143999999999999</v>
      </c>
    </row>
    <row r="212" spans="1:13">
      <c r="A212" s="744">
        <v>0.6</v>
      </c>
      <c r="B212" s="748">
        <v>2.0287000000000002</v>
      </c>
      <c r="C212" s="748">
        <v>2.0287000000000002</v>
      </c>
      <c r="D212" s="748">
        <v>2.0627</v>
      </c>
      <c r="E212" s="748">
        <v>2.0627</v>
      </c>
      <c r="F212" s="748">
        <v>2.0627</v>
      </c>
      <c r="G212" s="748">
        <v>2.0627</v>
      </c>
      <c r="H212" s="748">
        <v>2.0627</v>
      </c>
      <c r="I212" s="748">
        <v>1.8452999999999999</v>
      </c>
      <c r="J212" s="748">
        <v>1.8452999999999999</v>
      </c>
      <c r="K212" s="748">
        <v>1.8452999999999999</v>
      </c>
      <c r="L212" s="748">
        <v>1.8452999999999999</v>
      </c>
      <c r="M212" s="748">
        <v>1.8452999999999999</v>
      </c>
    </row>
    <row r="213" spans="1:13">
      <c r="A213" s="744">
        <v>0.7</v>
      </c>
      <c r="B213" s="748">
        <v>1.7388999999999999</v>
      </c>
      <c r="C213" s="748">
        <v>1.7388999999999999</v>
      </c>
      <c r="D213" s="748">
        <v>1.768</v>
      </c>
      <c r="E213" s="748">
        <v>1.768</v>
      </c>
      <c r="F213" s="748">
        <v>1.768</v>
      </c>
      <c r="G213" s="748">
        <v>1.768</v>
      </c>
      <c r="H213" s="748">
        <v>1.768</v>
      </c>
      <c r="I213" s="748">
        <v>1.5817000000000001</v>
      </c>
      <c r="J213" s="748">
        <v>1.5817000000000001</v>
      </c>
      <c r="K213" s="748">
        <v>1.5817000000000001</v>
      </c>
      <c r="L213" s="748">
        <v>1.5817000000000001</v>
      </c>
      <c r="M213" s="748">
        <v>1.5817000000000001</v>
      </c>
    </row>
    <row r="214" spans="1:13">
      <c r="A214" s="744">
        <v>0.8</v>
      </c>
      <c r="B214" s="748">
        <v>1.5215000000000001</v>
      </c>
      <c r="C214" s="748">
        <v>1.5215000000000001</v>
      </c>
      <c r="D214" s="748">
        <v>1.5469999999999999</v>
      </c>
      <c r="E214" s="748">
        <v>1.5469999999999999</v>
      </c>
      <c r="F214" s="748">
        <v>1.5469999999999999</v>
      </c>
      <c r="G214" s="748">
        <v>1.5469999999999999</v>
      </c>
      <c r="H214" s="748">
        <v>1.5469999999999999</v>
      </c>
      <c r="I214" s="748">
        <v>1.3839999999999999</v>
      </c>
      <c r="J214" s="748">
        <v>1.3839999999999999</v>
      </c>
      <c r="K214" s="748">
        <v>1.3839999999999999</v>
      </c>
      <c r="L214" s="748">
        <v>1.3839999999999999</v>
      </c>
      <c r="M214" s="748">
        <v>1.3839999999999999</v>
      </c>
    </row>
    <row r="215" spans="1:13">
      <c r="A215" s="744">
        <v>0.9</v>
      </c>
      <c r="B215" s="748">
        <v>1.3524</v>
      </c>
      <c r="C215" s="748">
        <v>1.3524</v>
      </c>
      <c r="D215" s="748">
        <v>1.3751</v>
      </c>
      <c r="E215" s="748">
        <v>1.3751</v>
      </c>
      <c r="F215" s="748">
        <v>1.3751</v>
      </c>
      <c r="G215" s="748">
        <v>1.3751</v>
      </c>
      <c r="H215" s="748">
        <v>1.3751</v>
      </c>
      <c r="I215" s="748">
        <v>1.2302</v>
      </c>
      <c r="J215" s="748">
        <v>1.2302</v>
      </c>
      <c r="K215" s="748">
        <v>1.2302</v>
      </c>
      <c r="L215" s="748">
        <v>1.2302</v>
      </c>
      <c r="M215" s="748">
        <v>1.2302</v>
      </c>
    </row>
    <row r="216" spans="1:13">
      <c r="A216" s="744">
        <v>1</v>
      </c>
      <c r="B216" s="748">
        <v>1.2172000000000001</v>
      </c>
      <c r="C216" s="748">
        <v>1.2172000000000001</v>
      </c>
      <c r="D216" s="748">
        <v>1.2376</v>
      </c>
      <c r="E216" s="748">
        <v>1.2376</v>
      </c>
      <c r="F216" s="748">
        <v>1.2376</v>
      </c>
      <c r="G216" s="748">
        <v>1.2376</v>
      </c>
      <c r="H216" s="748">
        <v>1.2376</v>
      </c>
      <c r="I216" s="748">
        <v>1.1072</v>
      </c>
      <c r="J216" s="748">
        <v>1.1072</v>
      </c>
      <c r="K216" s="748">
        <v>1.1072</v>
      </c>
      <c r="L216" s="748">
        <v>1.1072</v>
      </c>
      <c r="M216" s="748">
        <v>1.1072</v>
      </c>
    </row>
    <row r="217" spans="1:13">
      <c r="A217" s="744">
        <v>1.1000000000000001</v>
      </c>
      <c r="B217" s="748">
        <v>1.198</v>
      </c>
      <c r="C217" s="748">
        <v>1.198</v>
      </c>
      <c r="D217" s="748">
        <v>1.2156</v>
      </c>
      <c r="E217" s="748">
        <v>1.2156</v>
      </c>
      <c r="F217" s="748">
        <v>1.2156</v>
      </c>
      <c r="G217" s="748">
        <v>1.2156</v>
      </c>
      <c r="H217" s="748">
        <v>1.2156</v>
      </c>
      <c r="I217" s="748">
        <v>1.0829</v>
      </c>
      <c r="J217" s="748">
        <v>1.0829</v>
      </c>
      <c r="K217" s="748">
        <v>1.0829</v>
      </c>
      <c r="L217" s="748">
        <v>1.0829</v>
      </c>
      <c r="M217" s="748">
        <v>1.0829</v>
      </c>
    </row>
    <row r="218" spans="1:13">
      <c r="A218" s="744">
        <v>1.2</v>
      </c>
      <c r="B218" s="748">
        <v>1.1795</v>
      </c>
      <c r="C218" s="748">
        <v>1.1795</v>
      </c>
      <c r="D218" s="748">
        <v>1.1947000000000001</v>
      </c>
      <c r="E218" s="748">
        <v>1.1947000000000001</v>
      </c>
      <c r="F218" s="748">
        <v>1.1947000000000001</v>
      </c>
      <c r="G218" s="748">
        <v>1.1947000000000001</v>
      </c>
      <c r="H218" s="748">
        <v>1.1947000000000001</v>
      </c>
      <c r="I218" s="748">
        <v>1.0601</v>
      </c>
      <c r="J218" s="748">
        <v>1.0601</v>
      </c>
      <c r="K218" s="748">
        <v>1.0601</v>
      </c>
      <c r="L218" s="748">
        <v>1.0601</v>
      </c>
      <c r="M218" s="748">
        <v>1.0601</v>
      </c>
    </row>
    <row r="219" spans="1:13">
      <c r="A219" s="744">
        <v>1.3</v>
      </c>
      <c r="B219" s="748">
        <v>1.1617999999999999</v>
      </c>
      <c r="C219" s="748">
        <v>1.1617999999999999</v>
      </c>
      <c r="D219" s="748">
        <v>1.1748000000000001</v>
      </c>
      <c r="E219" s="748">
        <v>1.1748000000000001</v>
      </c>
      <c r="F219" s="748">
        <v>1.1748000000000001</v>
      </c>
      <c r="G219" s="748">
        <v>1.1748000000000001</v>
      </c>
      <c r="H219" s="748">
        <v>1.1748000000000001</v>
      </c>
      <c r="I219" s="748">
        <v>1.0387999999999999</v>
      </c>
      <c r="J219" s="748">
        <v>1.0387999999999999</v>
      </c>
      <c r="K219" s="748">
        <v>1.0387999999999999</v>
      </c>
      <c r="L219" s="748">
        <v>1.0387999999999999</v>
      </c>
      <c r="M219" s="748">
        <v>1.0387999999999999</v>
      </c>
    </row>
    <row r="220" spans="1:13">
      <c r="A220" s="744">
        <v>1.4</v>
      </c>
      <c r="B220" s="748">
        <v>1.1448</v>
      </c>
      <c r="C220" s="748">
        <v>1.1448</v>
      </c>
      <c r="D220" s="748">
        <v>1.1557999999999999</v>
      </c>
      <c r="E220" s="748">
        <v>1.1557999999999999</v>
      </c>
      <c r="F220" s="748">
        <v>1.1557999999999999</v>
      </c>
      <c r="G220" s="748">
        <v>1.1557999999999999</v>
      </c>
      <c r="H220" s="748">
        <v>1.1557999999999999</v>
      </c>
      <c r="I220" s="748">
        <v>1.0187999999999999</v>
      </c>
      <c r="J220" s="748">
        <v>1.0187999999999999</v>
      </c>
      <c r="K220" s="748">
        <v>1.0187999999999999</v>
      </c>
      <c r="L220" s="748">
        <v>1.0187999999999999</v>
      </c>
      <c r="M220" s="748">
        <v>1.0187999999999999</v>
      </c>
    </row>
    <row r="221" spans="1:13">
      <c r="A221" s="744">
        <v>1.5</v>
      </c>
      <c r="B221" s="748">
        <v>1.1285000000000001</v>
      </c>
      <c r="C221" s="748">
        <v>1.1285000000000001</v>
      </c>
      <c r="D221" s="748">
        <v>1.1377999999999999</v>
      </c>
      <c r="E221" s="748">
        <v>1.1377999999999999</v>
      </c>
      <c r="F221" s="748">
        <v>1.1377999999999999</v>
      </c>
      <c r="G221" s="748">
        <v>1.1377999999999999</v>
      </c>
      <c r="H221" s="748">
        <v>1.1377999999999999</v>
      </c>
      <c r="I221" s="748">
        <v>1</v>
      </c>
      <c r="J221" s="748">
        <v>1</v>
      </c>
      <c r="K221" s="748">
        <v>1</v>
      </c>
      <c r="L221" s="748">
        <v>1</v>
      </c>
      <c r="M221" s="748">
        <v>1</v>
      </c>
    </row>
    <row r="222" spans="1:13">
      <c r="A222" s="744">
        <v>1.6</v>
      </c>
      <c r="B222" s="748">
        <v>1.1129</v>
      </c>
      <c r="C222" s="748">
        <v>1.1129</v>
      </c>
      <c r="D222" s="748">
        <v>1.1206</v>
      </c>
      <c r="E222" s="748">
        <v>1.1206</v>
      </c>
      <c r="F222" s="748">
        <v>1.1206</v>
      </c>
      <c r="G222" s="748">
        <v>1.1206</v>
      </c>
      <c r="H222" s="748">
        <v>1.1206</v>
      </c>
      <c r="I222" s="748">
        <v>0.98240000000000005</v>
      </c>
      <c r="J222" s="748">
        <v>0.98240000000000005</v>
      </c>
      <c r="K222" s="748">
        <v>0.98240000000000005</v>
      </c>
      <c r="L222" s="748">
        <v>0.98240000000000005</v>
      </c>
      <c r="M222" s="748">
        <v>0.98240000000000005</v>
      </c>
    </row>
    <row r="223" spans="1:13">
      <c r="A223" s="744">
        <v>1.7</v>
      </c>
      <c r="B223" s="748">
        <v>1.0980000000000001</v>
      </c>
      <c r="C223" s="748">
        <v>1.0980000000000001</v>
      </c>
      <c r="D223" s="748">
        <v>1.1043000000000001</v>
      </c>
      <c r="E223" s="748">
        <v>1.1043000000000001</v>
      </c>
      <c r="F223" s="748">
        <v>1.1043000000000001</v>
      </c>
      <c r="G223" s="748">
        <v>1.1043000000000001</v>
      </c>
      <c r="H223" s="748">
        <v>1.1043000000000001</v>
      </c>
      <c r="I223" s="748">
        <v>0.96579999999999999</v>
      </c>
      <c r="J223" s="748">
        <v>0.96579999999999999</v>
      </c>
      <c r="K223" s="748">
        <v>0.96579999999999999</v>
      </c>
      <c r="L223" s="748">
        <v>0.96579999999999999</v>
      </c>
      <c r="M223" s="748">
        <v>0.96579999999999999</v>
      </c>
    </row>
    <row r="224" spans="1:13">
      <c r="A224" s="744">
        <v>1.8</v>
      </c>
      <c r="B224" s="748">
        <v>1.0835999999999999</v>
      </c>
      <c r="C224" s="748">
        <v>1.0835999999999999</v>
      </c>
      <c r="D224" s="748">
        <v>1.0888</v>
      </c>
      <c r="E224" s="748">
        <v>1.0888</v>
      </c>
      <c r="F224" s="748">
        <v>1.0888</v>
      </c>
      <c r="G224" s="748">
        <v>1.0888</v>
      </c>
      <c r="H224" s="748">
        <v>1.0888</v>
      </c>
      <c r="I224" s="748">
        <v>0.95030000000000003</v>
      </c>
      <c r="J224" s="748">
        <v>0.95030000000000003</v>
      </c>
      <c r="K224" s="748">
        <v>0.95030000000000003</v>
      </c>
      <c r="L224" s="748">
        <v>0.95030000000000003</v>
      </c>
      <c r="M224" s="748">
        <v>0.95030000000000003</v>
      </c>
    </row>
    <row r="225" spans="1:13">
      <c r="A225" s="744">
        <v>1.9</v>
      </c>
      <c r="B225" s="748">
        <v>1.0698000000000001</v>
      </c>
      <c r="C225" s="748">
        <v>1.0698000000000001</v>
      </c>
      <c r="D225" s="748">
        <v>1.0741000000000001</v>
      </c>
      <c r="E225" s="748">
        <v>1.0741000000000001</v>
      </c>
      <c r="F225" s="748">
        <v>1.0741000000000001</v>
      </c>
      <c r="G225" s="748">
        <v>1.0741000000000001</v>
      </c>
      <c r="H225" s="748">
        <v>1.0741000000000001</v>
      </c>
      <c r="I225" s="748">
        <v>0.93610000000000004</v>
      </c>
      <c r="J225" s="748">
        <v>0.93610000000000004</v>
      </c>
      <c r="K225" s="748">
        <v>0.93610000000000004</v>
      </c>
      <c r="L225" s="748">
        <v>0.93610000000000004</v>
      </c>
      <c r="M225" s="748">
        <v>0.93610000000000004</v>
      </c>
    </row>
    <row r="226" spans="1:13">
      <c r="A226" s="744">
        <v>2</v>
      </c>
      <c r="B226" s="748">
        <v>1.0568</v>
      </c>
      <c r="C226" s="748">
        <v>1.0568</v>
      </c>
      <c r="D226" s="748">
        <v>1.0601</v>
      </c>
      <c r="E226" s="748">
        <v>1.0601</v>
      </c>
      <c r="F226" s="748">
        <v>1.0601</v>
      </c>
      <c r="G226" s="748">
        <v>1.0601</v>
      </c>
      <c r="H226" s="748">
        <v>1.0601</v>
      </c>
      <c r="I226" s="748">
        <v>0.9224</v>
      </c>
      <c r="J226" s="748">
        <v>0.9224</v>
      </c>
      <c r="K226" s="748">
        <v>0.9224</v>
      </c>
      <c r="L226" s="748">
        <v>0.9224</v>
      </c>
      <c r="M226" s="748">
        <v>0.9224</v>
      </c>
    </row>
    <row r="227" spans="1:13">
      <c r="A227" s="750">
        <v>2.1</v>
      </c>
      <c r="B227" s="748">
        <v>1.0443</v>
      </c>
      <c r="C227" s="748">
        <v>1.0443</v>
      </c>
      <c r="D227" s="748">
        <v>1.0468</v>
      </c>
      <c r="E227" s="748">
        <v>1.0468</v>
      </c>
      <c r="F227" s="748">
        <v>1.0468</v>
      </c>
      <c r="G227" s="748">
        <v>1.0468</v>
      </c>
      <c r="H227" s="748">
        <v>1.0468</v>
      </c>
      <c r="I227" s="748">
        <v>0.90959999999999996</v>
      </c>
      <c r="J227" s="748">
        <v>0.90959999999999996</v>
      </c>
      <c r="K227" s="748">
        <v>0.90959999999999996</v>
      </c>
      <c r="L227" s="748">
        <v>0.90959999999999996</v>
      </c>
      <c r="M227" s="748">
        <v>0.90959999999999996</v>
      </c>
    </row>
    <row r="228" spans="1:13">
      <c r="A228" s="750">
        <v>2.2000000000000002</v>
      </c>
      <c r="B228" s="748">
        <v>1.0325</v>
      </c>
      <c r="C228" s="748">
        <v>1.0325</v>
      </c>
      <c r="D228" s="748">
        <v>1.0342</v>
      </c>
      <c r="E228" s="748">
        <v>1.0342</v>
      </c>
      <c r="F228" s="748">
        <v>1.0342</v>
      </c>
      <c r="G228" s="748">
        <v>1.0342</v>
      </c>
      <c r="H228" s="748">
        <v>1.0342</v>
      </c>
      <c r="I228" s="748">
        <v>0.89749999999999996</v>
      </c>
      <c r="J228" s="748">
        <v>0.89749999999999996</v>
      </c>
      <c r="K228" s="748">
        <v>0.89749999999999996</v>
      </c>
      <c r="L228" s="748">
        <v>0.89749999999999996</v>
      </c>
      <c r="M228" s="748">
        <v>0.89749999999999996</v>
      </c>
    </row>
    <row r="229" spans="1:13">
      <c r="A229" s="750">
        <v>2.2999999999999998</v>
      </c>
      <c r="B229" s="748">
        <v>1.0209999999999999</v>
      </c>
      <c r="C229" s="748">
        <v>1.0209999999999999</v>
      </c>
      <c r="D229" s="748">
        <v>1.0222</v>
      </c>
      <c r="E229" s="748">
        <v>1.0222</v>
      </c>
      <c r="F229" s="748">
        <v>1.0222</v>
      </c>
      <c r="G229" s="748">
        <v>1.0222</v>
      </c>
      <c r="H229" s="748">
        <v>1.0222</v>
      </c>
      <c r="I229" s="748">
        <v>0.88619999999999999</v>
      </c>
      <c r="J229" s="748">
        <v>0.88619999999999999</v>
      </c>
      <c r="K229" s="748">
        <v>0.88619999999999999</v>
      </c>
      <c r="L229" s="748">
        <v>0.88619999999999999</v>
      </c>
      <c r="M229" s="748">
        <v>0.88619999999999999</v>
      </c>
    </row>
    <row r="230" spans="1:13">
      <c r="A230" s="750">
        <v>2.4</v>
      </c>
      <c r="B230" s="748">
        <v>1.0102</v>
      </c>
      <c r="C230" s="748">
        <v>1.0102</v>
      </c>
      <c r="D230" s="748">
        <v>1.0107999999999999</v>
      </c>
      <c r="E230" s="748">
        <v>1.0107999999999999</v>
      </c>
      <c r="F230" s="748">
        <v>1.0107999999999999</v>
      </c>
      <c r="G230" s="748">
        <v>1.0107999999999999</v>
      </c>
      <c r="H230" s="748">
        <v>1.0107999999999999</v>
      </c>
      <c r="I230" s="748">
        <v>0.87529999999999997</v>
      </c>
      <c r="J230" s="748">
        <v>0.87529999999999997</v>
      </c>
      <c r="K230" s="748">
        <v>0.87529999999999997</v>
      </c>
      <c r="L230" s="748">
        <v>0.87529999999999997</v>
      </c>
      <c r="M230" s="748">
        <v>0.87529999999999997</v>
      </c>
    </row>
    <row r="231" spans="1:13">
      <c r="A231" s="750">
        <v>2.5</v>
      </c>
      <c r="B231" s="748">
        <v>1</v>
      </c>
      <c r="C231" s="748">
        <v>1</v>
      </c>
      <c r="D231" s="748">
        <v>1</v>
      </c>
      <c r="E231" s="748">
        <v>1</v>
      </c>
      <c r="F231" s="748">
        <v>1</v>
      </c>
      <c r="G231" s="748">
        <v>1</v>
      </c>
      <c r="H231" s="748">
        <v>1</v>
      </c>
      <c r="I231" s="748">
        <v>0.86509999999999998</v>
      </c>
      <c r="J231" s="748">
        <v>0.86509999999999998</v>
      </c>
      <c r="K231" s="748">
        <v>0.86509999999999998</v>
      </c>
      <c r="L231" s="748">
        <v>0.86509999999999998</v>
      </c>
      <c r="M231" s="748">
        <v>0.86509999999999998</v>
      </c>
    </row>
    <row r="232" spans="1:13">
      <c r="A232" s="750">
        <v>2.6</v>
      </c>
      <c r="B232" s="748">
        <v>0.99029999999999996</v>
      </c>
      <c r="C232" s="748">
        <v>0.99029999999999996</v>
      </c>
      <c r="D232" s="748">
        <v>0.98970000000000002</v>
      </c>
      <c r="E232" s="748">
        <v>0.98970000000000002</v>
      </c>
      <c r="F232" s="748">
        <v>0.98970000000000002</v>
      </c>
      <c r="G232" s="748">
        <v>0.98970000000000002</v>
      </c>
      <c r="H232" s="748">
        <v>0.98970000000000002</v>
      </c>
      <c r="I232" s="748">
        <v>0.85529999999999995</v>
      </c>
      <c r="J232" s="748">
        <v>0.85529999999999995</v>
      </c>
      <c r="K232" s="748">
        <v>0.85529999999999995</v>
      </c>
      <c r="L232" s="748">
        <v>0.85529999999999995</v>
      </c>
      <c r="M232" s="748">
        <v>0.85529999999999995</v>
      </c>
    </row>
    <row r="233" spans="1:13">
      <c r="A233" s="750">
        <v>2.7</v>
      </c>
      <c r="B233" s="748">
        <v>0.98109999999999997</v>
      </c>
      <c r="C233" s="748">
        <v>0.98109999999999997</v>
      </c>
      <c r="D233" s="748">
        <v>0.97989999999999999</v>
      </c>
      <c r="E233" s="748">
        <v>0.97989999999999999</v>
      </c>
      <c r="F233" s="748">
        <v>0.97989999999999999</v>
      </c>
      <c r="G233" s="748">
        <v>0.97989999999999999</v>
      </c>
      <c r="H233" s="748">
        <v>0.97989999999999999</v>
      </c>
      <c r="I233" s="748">
        <v>0.84599999999999997</v>
      </c>
      <c r="J233" s="748">
        <v>0.84599999999999997</v>
      </c>
      <c r="K233" s="748">
        <v>0.84599999999999997</v>
      </c>
      <c r="L233" s="748">
        <v>0.84599999999999997</v>
      </c>
      <c r="M233" s="748">
        <v>0.84599999999999997</v>
      </c>
    </row>
    <row r="234" spans="1:13">
      <c r="A234" s="750">
        <v>2.8</v>
      </c>
      <c r="B234" s="748">
        <v>0.97240000000000004</v>
      </c>
      <c r="C234" s="748">
        <v>0.97240000000000004</v>
      </c>
      <c r="D234" s="748">
        <v>0.97060000000000002</v>
      </c>
      <c r="E234" s="748">
        <v>0.97060000000000002</v>
      </c>
      <c r="F234" s="748">
        <v>0.97060000000000002</v>
      </c>
      <c r="G234" s="748">
        <v>0.97060000000000002</v>
      </c>
      <c r="H234" s="748">
        <v>0.97060000000000002</v>
      </c>
      <c r="I234" s="748">
        <v>0.83709999999999996</v>
      </c>
      <c r="J234" s="748">
        <v>0.83709999999999996</v>
      </c>
      <c r="K234" s="748">
        <v>0.83709999999999996</v>
      </c>
      <c r="L234" s="748">
        <v>0.83709999999999996</v>
      </c>
      <c r="M234" s="748">
        <v>0.83709999999999996</v>
      </c>
    </row>
    <row r="235" spans="1:13">
      <c r="A235" s="750">
        <v>2.9</v>
      </c>
      <c r="B235" s="748">
        <v>0.96419999999999995</v>
      </c>
      <c r="C235" s="748">
        <v>0.96419999999999995</v>
      </c>
      <c r="D235" s="748">
        <v>0.96179999999999999</v>
      </c>
      <c r="E235" s="748">
        <v>0.96179999999999999</v>
      </c>
      <c r="F235" s="748">
        <v>0.96179999999999999</v>
      </c>
      <c r="G235" s="748">
        <v>0.96179999999999999</v>
      </c>
      <c r="H235" s="748">
        <v>0.96179999999999999</v>
      </c>
      <c r="I235" s="748">
        <v>0.82850000000000001</v>
      </c>
      <c r="J235" s="748">
        <v>0.82850000000000001</v>
      </c>
      <c r="K235" s="748">
        <v>0.82850000000000001</v>
      </c>
      <c r="L235" s="748">
        <v>0.82850000000000001</v>
      </c>
      <c r="M235" s="748">
        <v>0.82850000000000001</v>
      </c>
    </row>
    <row r="236" spans="1:13">
      <c r="A236" s="750">
        <v>3</v>
      </c>
      <c r="B236" s="748">
        <v>0.95640000000000003</v>
      </c>
      <c r="C236" s="748">
        <v>0.95640000000000003</v>
      </c>
      <c r="D236" s="748">
        <v>0.95340000000000003</v>
      </c>
      <c r="E236" s="748">
        <v>0.95340000000000003</v>
      </c>
      <c r="F236" s="748">
        <v>0.95340000000000003</v>
      </c>
      <c r="G236" s="748">
        <v>0.95340000000000003</v>
      </c>
      <c r="H236" s="748">
        <v>0.95340000000000003</v>
      </c>
      <c r="I236" s="748">
        <v>0.82040000000000002</v>
      </c>
      <c r="J236" s="748">
        <v>0.82040000000000002</v>
      </c>
      <c r="K236" s="748">
        <v>0.82040000000000002</v>
      </c>
      <c r="L236" s="748">
        <v>0.82040000000000002</v>
      </c>
      <c r="M236" s="748">
        <v>0.82040000000000002</v>
      </c>
    </row>
    <row r="237" spans="1:13">
      <c r="A237" s="750">
        <v>3.1</v>
      </c>
      <c r="B237" s="748">
        <v>0.94899999999999995</v>
      </c>
      <c r="C237" s="748">
        <v>0.94899999999999995</v>
      </c>
      <c r="D237" s="748">
        <v>0.94550000000000001</v>
      </c>
      <c r="E237" s="748">
        <v>0.94550000000000001</v>
      </c>
      <c r="F237" s="748">
        <v>0.94550000000000001</v>
      </c>
      <c r="G237" s="748">
        <v>0.94550000000000001</v>
      </c>
      <c r="H237" s="748">
        <v>0.94550000000000001</v>
      </c>
      <c r="I237" s="748">
        <v>0.81259999999999999</v>
      </c>
      <c r="J237" s="748">
        <v>0.81259999999999999</v>
      </c>
      <c r="K237" s="748">
        <v>0.81259999999999999</v>
      </c>
      <c r="L237" s="748">
        <v>0.81259999999999999</v>
      </c>
      <c r="M237" s="748">
        <v>0.81259999999999999</v>
      </c>
    </row>
    <row r="238" spans="1:13">
      <c r="A238" s="750">
        <v>3.2</v>
      </c>
      <c r="B238" s="748">
        <v>0.94199999999999995</v>
      </c>
      <c r="C238" s="748">
        <v>0.94199999999999995</v>
      </c>
      <c r="D238" s="748">
        <v>0.93789999999999996</v>
      </c>
      <c r="E238" s="748">
        <v>0.93789999999999996</v>
      </c>
      <c r="F238" s="748">
        <v>0.93789999999999996</v>
      </c>
      <c r="G238" s="748">
        <v>0.93789999999999996</v>
      </c>
      <c r="H238" s="748">
        <v>0.93789999999999996</v>
      </c>
      <c r="I238" s="748">
        <v>0.80530000000000002</v>
      </c>
      <c r="J238" s="748">
        <v>0.80530000000000002</v>
      </c>
      <c r="K238" s="748">
        <v>0.80530000000000002</v>
      </c>
      <c r="L238" s="748">
        <v>0.80530000000000002</v>
      </c>
      <c r="M238" s="748">
        <v>0.80530000000000002</v>
      </c>
    </row>
    <row r="239" spans="1:13">
      <c r="A239" s="750">
        <v>3.3</v>
      </c>
      <c r="B239" s="748">
        <v>0.93540000000000001</v>
      </c>
      <c r="C239" s="748">
        <v>0.93540000000000001</v>
      </c>
      <c r="D239" s="748">
        <v>0.93069999999999997</v>
      </c>
      <c r="E239" s="748">
        <v>0.93069999999999997</v>
      </c>
      <c r="F239" s="748">
        <v>0.93069999999999997</v>
      </c>
      <c r="G239" s="748">
        <v>0.93069999999999997</v>
      </c>
      <c r="H239" s="748">
        <v>0.93069999999999997</v>
      </c>
      <c r="I239" s="748">
        <v>0.79820000000000002</v>
      </c>
      <c r="J239" s="748">
        <v>0.79820000000000002</v>
      </c>
      <c r="K239" s="748">
        <v>0.79820000000000002</v>
      </c>
      <c r="L239" s="748">
        <v>0.79820000000000002</v>
      </c>
      <c r="M239" s="748">
        <v>0.79820000000000002</v>
      </c>
    </row>
    <row r="240" spans="1:13">
      <c r="A240" s="750">
        <v>3.4</v>
      </c>
      <c r="B240" s="748">
        <v>0.92920000000000003</v>
      </c>
      <c r="C240" s="748">
        <v>0.92920000000000003</v>
      </c>
      <c r="D240" s="748">
        <v>0.92390000000000005</v>
      </c>
      <c r="E240" s="748">
        <v>0.92390000000000005</v>
      </c>
      <c r="F240" s="748">
        <v>0.92390000000000005</v>
      </c>
      <c r="G240" s="748">
        <v>0.92390000000000005</v>
      </c>
      <c r="H240" s="748">
        <v>0.92390000000000005</v>
      </c>
      <c r="I240" s="748">
        <v>0.79139999999999999</v>
      </c>
      <c r="J240" s="748">
        <v>0.79139999999999999</v>
      </c>
      <c r="K240" s="748">
        <v>0.79139999999999999</v>
      </c>
      <c r="L240" s="748">
        <v>0.79139999999999999</v>
      </c>
      <c r="M240" s="748">
        <v>0.79139999999999999</v>
      </c>
    </row>
    <row r="241" spans="1:13">
      <c r="A241" s="750">
        <v>3.5</v>
      </c>
      <c r="B241" s="748">
        <v>0.9234</v>
      </c>
      <c r="C241" s="748">
        <v>0.9234</v>
      </c>
      <c r="D241" s="748">
        <v>0.91749999999999998</v>
      </c>
      <c r="E241" s="748">
        <v>0.91749999999999998</v>
      </c>
      <c r="F241" s="748">
        <v>0.91749999999999998</v>
      </c>
      <c r="G241" s="748">
        <v>0.91749999999999998</v>
      </c>
      <c r="H241" s="748">
        <v>0.91749999999999998</v>
      </c>
      <c r="I241" s="748">
        <v>0.78490000000000004</v>
      </c>
      <c r="J241" s="748">
        <v>0.78490000000000004</v>
      </c>
      <c r="K241" s="748">
        <v>0.78490000000000004</v>
      </c>
      <c r="L241" s="748">
        <v>0.78490000000000004</v>
      </c>
      <c r="M241" s="748">
        <v>0.78490000000000004</v>
      </c>
    </row>
    <row r="242" spans="1:13">
      <c r="A242" s="750">
        <v>3.6</v>
      </c>
      <c r="B242" s="748">
        <v>0.91790000000000005</v>
      </c>
      <c r="C242" s="748">
        <v>0.91790000000000005</v>
      </c>
      <c r="D242" s="748">
        <v>0.91139999999999999</v>
      </c>
      <c r="E242" s="748">
        <v>0.91139999999999999</v>
      </c>
      <c r="F242" s="748">
        <v>0.91139999999999999</v>
      </c>
      <c r="G242" s="748">
        <v>0.91139999999999999</v>
      </c>
      <c r="H242" s="748">
        <v>0.91139999999999999</v>
      </c>
      <c r="I242" s="748">
        <v>0.77880000000000005</v>
      </c>
      <c r="J242" s="748">
        <v>0.77880000000000005</v>
      </c>
      <c r="K242" s="748">
        <v>0.77880000000000005</v>
      </c>
      <c r="L242" s="748">
        <v>0.77880000000000005</v>
      </c>
      <c r="M242" s="748">
        <v>0.77880000000000005</v>
      </c>
    </row>
    <row r="243" spans="1:13">
      <c r="A243" s="750">
        <v>3.7</v>
      </c>
      <c r="B243" s="748">
        <v>0.91269999999999996</v>
      </c>
      <c r="C243" s="748">
        <v>0.91269999999999996</v>
      </c>
      <c r="D243" s="748">
        <v>0.90559999999999996</v>
      </c>
      <c r="E243" s="748">
        <v>0.90559999999999996</v>
      </c>
      <c r="F243" s="748">
        <v>0.90559999999999996</v>
      </c>
      <c r="G243" s="748">
        <v>0.90559999999999996</v>
      </c>
      <c r="H243" s="748">
        <v>0.90559999999999996</v>
      </c>
      <c r="I243" s="748">
        <v>0.77300000000000002</v>
      </c>
      <c r="J243" s="748">
        <v>0.77300000000000002</v>
      </c>
      <c r="K243" s="748">
        <v>0.77300000000000002</v>
      </c>
      <c r="L243" s="748">
        <v>0.77300000000000002</v>
      </c>
      <c r="M243" s="748">
        <v>0.77300000000000002</v>
      </c>
    </row>
    <row r="244" spans="1:13">
      <c r="A244" s="750">
        <v>3.8</v>
      </c>
      <c r="B244" s="748">
        <v>0.90780000000000005</v>
      </c>
      <c r="C244" s="748">
        <v>0.90780000000000005</v>
      </c>
      <c r="D244" s="748">
        <v>0.90010000000000001</v>
      </c>
      <c r="E244" s="748">
        <v>0.90010000000000001</v>
      </c>
      <c r="F244" s="748">
        <v>0.90010000000000001</v>
      </c>
      <c r="G244" s="748">
        <v>0.90010000000000001</v>
      </c>
      <c r="H244" s="748">
        <v>0.90010000000000001</v>
      </c>
      <c r="I244" s="748">
        <v>0.76739999999999997</v>
      </c>
      <c r="J244" s="748">
        <v>0.76739999999999997</v>
      </c>
      <c r="K244" s="748">
        <v>0.76739999999999997</v>
      </c>
      <c r="L244" s="748">
        <v>0.76739999999999997</v>
      </c>
      <c r="M244" s="748">
        <v>0.76739999999999997</v>
      </c>
    </row>
    <row r="245" spans="1:13">
      <c r="A245" s="750">
        <v>3.9</v>
      </c>
      <c r="B245" s="748">
        <v>0.9032</v>
      </c>
      <c r="C245" s="748">
        <v>0.9032</v>
      </c>
      <c r="D245" s="748">
        <v>0.89490000000000003</v>
      </c>
      <c r="E245" s="748">
        <v>0.89490000000000003</v>
      </c>
      <c r="F245" s="748">
        <v>0.89490000000000003</v>
      </c>
      <c r="G245" s="748">
        <v>0.89490000000000003</v>
      </c>
      <c r="H245" s="748">
        <v>0.89490000000000003</v>
      </c>
      <c r="I245" s="748">
        <v>0.7621</v>
      </c>
      <c r="J245" s="748">
        <v>0.7621</v>
      </c>
      <c r="K245" s="748">
        <v>0.7621</v>
      </c>
      <c r="L245" s="748">
        <v>0.7621</v>
      </c>
      <c r="M245" s="748">
        <v>0.7621</v>
      </c>
    </row>
    <row r="246" spans="1:13">
      <c r="A246" s="750">
        <v>4</v>
      </c>
      <c r="B246" s="748">
        <v>0.89890000000000003</v>
      </c>
      <c r="C246" s="748">
        <v>0.89890000000000003</v>
      </c>
      <c r="D246" s="748">
        <v>0.89</v>
      </c>
      <c r="E246" s="748">
        <v>0.89</v>
      </c>
      <c r="F246" s="748">
        <v>0.89</v>
      </c>
      <c r="G246" s="748">
        <v>0.89</v>
      </c>
      <c r="H246" s="748">
        <v>0.89</v>
      </c>
      <c r="I246" s="748">
        <v>0.7571</v>
      </c>
      <c r="J246" s="748">
        <v>0.7571</v>
      </c>
      <c r="K246" s="748">
        <v>0.7571</v>
      </c>
      <c r="L246" s="748">
        <v>0.7571</v>
      </c>
      <c r="M246" s="748">
        <v>0.7571</v>
      </c>
    </row>
    <row r="247" spans="1:13">
      <c r="A247" s="750">
        <v>4.0999999999999996</v>
      </c>
      <c r="B247" s="748">
        <v>0.89480000000000004</v>
      </c>
      <c r="C247" s="748">
        <v>0.89480000000000004</v>
      </c>
      <c r="D247" s="748">
        <v>0.88539999999999996</v>
      </c>
      <c r="E247" s="748">
        <v>0.88539999999999996</v>
      </c>
      <c r="F247" s="748">
        <v>0.88539999999999996</v>
      </c>
      <c r="G247" s="748">
        <v>0.88539999999999996</v>
      </c>
      <c r="H247" s="748">
        <v>0.88539999999999996</v>
      </c>
      <c r="I247" s="748">
        <v>0.75229999999999997</v>
      </c>
      <c r="J247" s="748">
        <v>0.75229999999999997</v>
      </c>
      <c r="K247" s="748">
        <v>0.75229999999999997</v>
      </c>
      <c r="L247" s="748">
        <v>0.75229999999999997</v>
      </c>
      <c r="M247" s="748">
        <v>0.75229999999999997</v>
      </c>
    </row>
    <row r="248" spans="1:13">
      <c r="A248" s="750">
        <v>4.2</v>
      </c>
      <c r="B248" s="748">
        <v>0.89100000000000001</v>
      </c>
      <c r="C248" s="748">
        <v>0.89100000000000001</v>
      </c>
      <c r="D248" s="748">
        <v>0.88109999999999999</v>
      </c>
      <c r="E248" s="748">
        <v>0.88109999999999999</v>
      </c>
      <c r="F248" s="748">
        <v>0.88109999999999999</v>
      </c>
      <c r="G248" s="748">
        <v>0.88109999999999999</v>
      </c>
      <c r="H248" s="748">
        <v>0.88109999999999999</v>
      </c>
      <c r="I248" s="748">
        <v>0.74780000000000002</v>
      </c>
      <c r="J248" s="748">
        <v>0.74780000000000002</v>
      </c>
      <c r="K248" s="748">
        <v>0.74780000000000002</v>
      </c>
      <c r="L248" s="748">
        <v>0.74780000000000002</v>
      </c>
      <c r="M248" s="748">
        <v>0.74780000000000002</v>
      </c>
    </row>
    <row r="249" spans="1:13">
      <c r="A249" s="750">
        <v>4.3</v>
      </c>
      <c r="B249" s="748">
        <v>0.88739999999999997</v>
      </c>
      <c r="C249" s="748">
        <v>0.88739999999999997</v>
      </c>
      <c r="D249" s="748">
        <v>0.877</v>
      </c>
      <c r="E249" s="748">
        <v>0.877</v>
      </c>
      <c r="F249" s="748">
        <v>0.877</v>
      </c>
      <c r="G249" s="748">
        <v>0.877</v>
      </c>
      <c r="H249" s="748">
        <v>0.877</v>
      </c>
      <c r="I249" s="748">
        <v>0.74329999999999996</v>
      </c>
      <c r="J249" s="748">
        <v>0.74329999999999996</v>
      </c>
      <c r="K249" s="748">
        <v>0.74329999999999996</v>
      </c>
      <c r="L249" s="748">
        <v>0.74329999999999996</v>
      </c>
      <c r="M249" s="748">
        <v>0.74329999999999996</v>
      </c>
    </row>
    <row r="250" spans="1:13">
      <c r="A250" s="750">
        <v>4.4000000000000004</v>
      </c>
      <c r="B250" s="748">
        <v>0.88400000000000001</v>
      </c>
      <c r="C250" s="748">
        <v>0.88400000000000001</v>
      </c>
      <c r="D250" s="748">
        <v>0.87309999999999999</v>
      </c>
      <c r="E250" s="748">
        <v>0.87309999999999999</v>
      </c>
      <c r="F250" s="748">
        <v>0.87309999999999999</v>
      </c>
      <c r="G250" s="748">
        <v>0.87309999999999999</v>
      </c>
      <c r="H250" s="748">
        <v>0.87309999999999999</v>
      </c>
      <c r="I250" s="748">
        <v>0.73909999999999998</v>
      </c>
      <c r="J250" s="748">
        <v>0.73909999999999998</v>
      </c>
      <c r="K250" s="748">
        <v>0.73909999999999998</v>
      </c>
      <c r="L250" s="748">
        <v>0.73909999999999998</v>
      </c>
      <c r="M250" s="748">
        <v>0.73909999999999998</v>
      </c>
    </row>
    <row r="251" spans="1:13">
      <c r="A251" s="750">
        <v>4.5</v>
      </c>
      <c r="B251" s="748">
        <v>0.88080000000000003</v>
      </c>
      <c r="C251" s="748">
        <v>0.88080000000000003</v>
      </c>
      <c r="D251" s="748">
        <v>0.86939999999999995</v>
      </c>
      <c r="E251" s="748">
        <v>0.86939999999999995</v>
      </c>
      <c r="F251" s="748">
        <v>0.86939999999999995</v>
      </c>
      <c r="G251" s="748">
        <v>0.86939999999999995</v>
      </c>
      <c r="H251" s="748">
        <v>0.86939999999999995</v>
      </c>
      <c r="I251" s="748">
        <v>0.73499999999999999</v>
      </c>
      <c r="J251" s="748">
        <v>0.73499999999999999</v>
      </c>
      <c r="K251" s="748">
        <v>0.73499999999999999</v>
      </c>
      <c r="L251" s="748">
        <v>0.73499999999999999</v>
      </c>
      <c r="M251" s="748">
        <v>0.73499999999999999</v>
      </c>
    </row>
    <row r="252" spans="1:13">
      <c r="A252" s="750">
        <v>4.5999999999999996</v>
      </c>
      <c r="B252" s="748">
        <v>0.87780000000000002</v>
      </c>
      <c r="C252" s="748">
        <v>0.87780000000000002</v>
      </c>
      <c r="D252" s="748">
        <v>0.8659</v>
      </c>
      <c r="E252" s="748">
        <v>0.8659</v>
      </c>
      <c r="F252" s="748">
        <v>0.8659</v>
      </c>
      <c r="G252" s="748">
        <v>0.8659</v>
      </c>
      <c r="H252" s="748">
        <v>0.8659</v>
      </c>
      <c r="I252" s="748">
        <v>0.73109999999999997</v>
      </c>
      <c r="J252" s="748">
        <v>0.73109999999999997</v>
      </c>
      <c r="K252" s="748">
        <v>0.73109999999999997</v>
      </c>
      <c r="L252" s="748">
        <v>0.73109999999999997</v>
      </c>
      <c r="M252" s="748">
        <v>0.73109999999999997</v>
      </c>
    </row>
    <row r="253" spans="1:13">
      <c r="A253" s="750">
        <v>4.7</v>
      </c>
      <c r="B253" s="748">
        <v>0.875</v>
      </c>
      <c r="C253" s="748">
        <v>0.875</v>
      </c>
      <c r="D253" s="748">
        <v>0.86260000000000003</v>
      </c>
      <c r="E253" s="748">
        <v>0.86260000000000003</v>
      </c>
      <c r="F253" s="748">
        <v>0.86260000000000003</v>
      </c>
      <c r="G253" s="748">
        <v>0.86260000000000003</v>
      </c>
      <c r="H253" s="748">
        <v>0.86260000000000003</v>
      </c>
      <c r="I253" s="748">
        <v>0.72750000000000004</v>
      </c>
      <c r="J253" s="748">
        <v>0.72750000000000004</v>
      </c>
      <c r="K253" s="748">
        <v>0.72750000000000004</v>
      </c>
      <c r="L253" s="748">
        <v>0.72750000000000004</v>
      </c>
      <c r="M253" s="748">
        <v>0.72750000000000004</v>
      </c>
    </row>
    <row r="254" spans="1:13">
      <c r="A254" s="750">
        <v>4.8</v>
      </c>
      <c r="B254" s="748">
        <v>0.87229999999999996</v>
      </c>
      <c r="C254" s="748">
        <v>0.87229999999999996</v>
      </c>
      <c r="D254" s="748">
        <v>0.85950000000000004</v>
      </c>
      <c r="E254" s="748">
        <v>0.85950000000000004</v>
      </c>
      <c r="F254" s="748">
        <v>0.85950000000000004</v>
      </c>
      <c r="G254" s="748">
        <v>0.85950000000000004</v>
      </c>
      <c r="H254" s="748">
        <v>0.85950000000000004</v>
      </c>
      <c r="I254" s="748">
        <v>0.72399999999999998</v>
      </c>
      <c r="J254" s="748">
        <v>0.72399999999999998</v>
      </c>
      <c r="K254" s="748">
        <v>0.72399999999999998</v>
      </c>
      <c r="L254" s="748">
        <v>0.72399999999999998</v>
      </c>
      <c r="M254" s="748">
        <v>0.72399999999999998</v>
      </c>
    </row>
    <row r="255" spans="1:13">
      <c r="A255" s="750">
        <v>4.9000000000000004</v>
      </c>
      <c r="B255" s="748">
        <v>0.86980000000000002</v>
      </c>
      <c r="C255" s="748">
        <v>0.86980000000000002</v>
      </c>
      <c r="D255" s="748">
        <v>0.85660000000000003</v>
      </c>
      <c r="E255" s="748">
        <v>0.85660000000000003</v>
      </c>
      <c r="F255" s="748">
        <v>0.85660000000000003</v>
      </c>
      <c r="G255" s="748">
        <v>0.85660000000000003</v>
      </c>
      <c r="H255" s="748">
        <v>0.85660000000000003</v>
      </c>
      <c r="I255" s="748">
        <v>0.7208</v>
      </c>
      <c r="J255" s="748">
        <v>0.7208</v>
      </c>
      <c r="K255" s="748">
        <v>0.7208</v>
      </c>
      <c r="L255" s="748">
        <v>0.7208</v>
      </c>
      <c r="M255" s="748">
        <v>0.7208</v>
      </c>
    </row>
    <row r="256" spans="1:13">
      <c r="A256" s="750">
        <v>5</v>
      </c>
      <c r="B256" s="748">
        <v>0.86739999999999995</v>
      </c>
      <c r="C256" s="748">
        <v>0.86739999999999995</v>
      </c>
      <c r="D256" s="748">
        <v>0.8538</v>
      </c>
      <c r="E256" s="748">
        <v>0.8538</v>
      </c>
      <c r="F256" s="748">
        <v>0.8538</v>
      </c>
      <c r="G256" s="748">
        <v>0.8538</v>
      </c>
      <c r="H256" s="748">
        <v>0.8538</v>
      </c>
      <c r="I256" s="748">
        <v>0.71760000000000002</v>
      </c>
      <c r="J256" s="748">
        <v>0.71760000000000002</v>
      </c>
      <c r="K256" s="748">
        <v>0.71760000000000002</v>
      </c>
      <c r="L256" s="748">
        <v>0.71760000000000002</v>
      </c>
      <c r="M256" s="748">
        <v>0.71760000000000002</v>
      </c>
    </row>
    <row r="257" spans="1:13">
      <c r="A257" s="744">
        <v>5.0999999999999996</v>
      </c>
      <c r="B257" s="748">
        <v>0.86519999999999997</v>
      </c>
      <c r="C257" s="748">
        <v>0.86519999999999997</v>
      </c>
      <c r="D257" s="748">
        <v>0.85109999999999997</v>
      </c>
      <c r="E257" s="748">
        <v>0.85109999999999997</v>
      </c>
      <c r="F257" s="748">
        <v>0.85109999999999997</v>
      </c>
      <c r="G257" s="748">
        <v>0.85109999999999997</v>
      </c>
      <c r="H257" s="748">
        <v>0.85109999999999997</v>
      </c>
      <c r="I257" s="748">
        <v>0.7147</v>
      </c>
      <c r="J257" s="748">
        <v>0.7147</v>
      </c>
      <c r="K257" s="748">
        <v>0.7147</v>
      </c>
      <c r="L257" s="748">
        <v>0.7147</v>
      </c>
      <c r="M257" s="748">
        <v>0.7147</v>
      </c>
    </row>
    <row r="258" spans="1:13">
      <c r="A258" s="744">
        <v>5.2</v>
      </c>
      <c r="B258" s="748">
        <v>0.86309999999999998</v>
      </c>
      <c r="C258" s="748">
        <v>0.86309999999999998</v>
      </c>
      <c r="D258" s="748">
        <v>0.84860000000000002</v>
      </c>
      <c r="E258" s="748">
        <v>0.84860000000000002</v>
      </c>
      <c r="F258" s="748">
        <v>0.84860000000000002</v>
      </c>
      <c r="G258" s="748">
        <v>0.84860000000000002</v>
      </c>
      <c r="H258" s="748">
        <v>0.84860000000000002</v>
      </c>
      <c r="I258" s="748">
        <v>0.71189999999999998</v>
      </c>
      <c r="J258" s="748">
        <v>0.71189999999999998</v>
      </c>
      <c r="K258" s="748">
        <v>0.71189999999999998</v>
      </c>
      <c r="L258" s="748">
        <v>0.71189999999999998</v>
      </c>
      <c r="M258" s="748">
        <v>0.71189999999999998</v>
      </c>
    </row>
    <row r="259" spans="1:13">
      <c r="A259" s="744">
        <v>5.3</v>
      </c>
      <c r="B259" s="748">
        <v>0.86119999999999997</v>
      </c>
      <c r="C259" s="748">
        <v>0.86119999999999997</v>
      </c>
      <c r="D259" s="748">
        <v>0.84619999999999995</v>
      </c>
      <c r="E259" s="748">
        <v>0.84619999999999995</v>
      </c>
      <c r="F259" s="748">
        <v>0.84619999999999995</v>
      </c>
      <c r="G259" s="748">
        <v>0.84619999999999995</v>
      </c>
      <c r="H259" s="748">
        <v>0.84619999999999995</v>
      </c>
      <c r="I259" s="748">
        <v>0.70909999999999995</v>
      </c>
      <c r="J259" s="748">
        <v>0.70909999999999995</v>
      </c>
      <c r="K259" s="748">
        <v>0.70909999999999995</v>
      </c>
      <c r="L259" s="748">
        <v>0.70909999999999995</v>
      </c>
      <c r="M259" s="748">
        <v>0.70909999999999995</v>
      </c>
    </row>
    <row r="260" spans="1:13">
      <c r="A260" s="744">
        <v>5.4</v>
      </c>
      <c r="B260" s="748">
        <v>0.85940000000000005</v>
      </c>
      <c r="C260" s="748">
        <v>0.85940000000000005</v>
      </c>
      <c r="D260" s="748">
        <v>0.84389999999999998</v>
      </c>
      <c r="E260" s="748">
        <v>0.84389999999999998</v>
      </c>
      <c r="F260" s="748">
        <v>0.84389999999999998</v>
      </c>
      <c r="G260" s="748">
        <v>0.84389999999999998</v>
      </c>
      <c r="H260" s="748">
        <v>0.84389999999999998</v>
      </c>
      <c r="I260" s="748">
        <v>0.70650000000000002</v>
      </c>
      <c r="J260" s="748">
        <v>0.70650000000000002</v>
      </c>
      <c r="K260" s="748">
        <v>0.70650000000000002</v>
      </c>
      <c r="L260" s="748">
        <v>0.70650000000000002</v>
      </c>
      <c r="M260" s="748">
        <v>0.70650000000000002</v>
      </c>
    </row>
    <row r="261" spans="1:13">
      <c r="A261" s="744">
        <v>5.5</v>
      </c>
      <c r="B261" s="748">
        <v>0.85770000000000002</v>
      </c>
      <c r="C261" s="748">
        <v>0.85770000000000002</v>
      </c>
      <c r="D261" s="748">
        <v>0.84179999999999999</v>
      </c>
      <c r="E261" s="748">
        <v>0.84179999999999999</v>
      </c>
      <c r="F261" s="748">
        <v>0.84179999999999999</v>
      </c>
      <c r="G261" s="748">
        <v>0.84179999999999999</v>
      </c>
      <c r="H261" s="748">
        <v>0.84179999999999999</v>
      </c>
      <c r="I261" s="748">
        <v>0.70399999999999996</v>
      </c>
      <c r="J261" s="748">
        <v>0.70399999999999996</v>
      </c>
      <c r="K261" s="748">
        <v>0.70399999999999996</v>
      </c>
      <c r="L261" s="748">
        <v>0.70399999999999996</v>
      </c>
      <c r="M261" s="748">
        <v>0.70399999999999996</v>
      </c>
    </row>
    <row r="262" spans="1:13">
      <c r="A262" s="744">
        <v>5.6</v>
      </c>
      <c r="B262" s="748">
        <v>0.85599999999999998</v>
      </c>
      <c r="C262" s="748">
        <v>0.85599999999999998</v>
      </c>
      <c r="D262" s="748">
        <v>0.83979999999999999</v>
      </c>
      <c r="E262" s="748">
        <v>0.83979999999999999</v>
      </c>
      <c r="F262" s="748">
        <v>0.83979999999999999</v>
      </c>
      <c r="G262" s="748">
        <v>0.83979999999999999</v>
      </c>
      <c r="H262" s="748">
        <v>0.83979999999999999</v>
      </c>
      <c r="I262" s="748">
        <v>0.7016</v>
      </c>
      <c r="J262" s="748">
        <v>0.7016</v>
      </c>
      <c r="K262" s="748">
        <v>0.7016</v>
      </c>
      <c r="L262" s="748">
        <v>0.7016</v>
      </c>
      <c r="M262" s="748">
        <v>0.7016</v>
      </c>
    </row>
    <row r="263" spans="1:13">
      <c r="A263" s="750">
        <v>5.7</v>
      </c>
      <c r="B263" s="748">
        <v>0.85440000000000005</v>
      </c>
      <c r="C263" s="748">
        <v>0.85440000000000005</v>
      </c>
      <c r="D263" s="748">
        <v>0.83789999999999998</v>
      </c>
      <c r="E263" s="748">
        <v>0.83789999999999998</v>
      </c>
      <c r="F263" s="748">
        <v>0.83789999999999998</v>
      </c>
      <c r="G263" s="748">
        <v>0.83789999999999998</v>
      </c>
      <c r="H263" s="748">
        <v>0.83789999999999998</v>
      </c>
      <c r="I263" s="748">
        <v>0.69940000000000002</v>
      </c>
      <c r="J263" s="748">
        <v>0.69940000000000002</v>
      </c>
      <c r="K263" s="748">
        <v>0.69940000000000002</v>
      </c>
      <c r="L263" s="748">
        <v>0.69940000000000002</v>
      </c>
      <c r="M263" s="748">
        <v>0.69940000000000002</v>
      </c>
    </row>
    <row r="264" spans="1:13">
      <c r="A264" s="744">
        <v>5.8</v>
      </c>
      <c r="B264" s="748">
        <v>0.85289999999999999</v>
      </c>
      <c r="C264" s="748">
        <v>0.85289999999999999</v>
      </c>
      <c r="D264" s="748">
        <v>0.83599999999999997</v>
      </c>
      <c r="E264" s="748">
        <v>0.83599999999999997</v>
      </c>
      <c r="F264" s="748">
        <v>0.83599999999999997</v>
      </c>
      <c r="G264" s="748">
        <v>0.83599999999999997</v>
      </c>
      <c r="H264" s="748">
        <v>0.83599999999999997</v>
      </c>
      <c r="I264" s="748">
        <v>0.69720000000000004</v>
      </c>
      <c r="J264" s="748">
        <v>0.69720000000000004</v>
      </c>
      <c r="K264" s="748">
        <v>0.69720000000000004</v>
      </c>
      <c r="L264" s="748">
        <v>0.69720000000000004</v>
      </c>
      <c r="M264" s="748">
        <v>0.69720000000000004</v>
      </c>
    </row>
    <row r="265" spans="1:13">
      <c r="A265" s="744">
        <v>5.9</v>
      </c>
      <c r="B265" s="748">
        <v>0.85150000000000003</v>
      </c>
      <c r="C265" s="748">
        <v>0.85150000000000003</v>
      </c>
      <c r="D265" s="748">
        <v>0.83430000000000004</v>
      </c>
      <c r="E265" s="748">
        <v>0.83430000000000004</v>
      </c>
      <c r="F265" s="748">
        <v>0.83430000000000004</v>
      </c>
      <c r="G265" s="748">
        <v>0.83430000000000004</v>
      </c>
      <c r="H265" s="748">
        <v>0.83430000000000004</v>
      </c>
      <c r="I265" s="748">
        <v>0.69520000000000004</v>
      </c>
      <c r="J265" s="748">
        <v>0.69520000000000004</v>
      </c>
      <c r="K265" s="748">
        <v>0.69520000000000004</v>
      </c>
      <c r="L265" s="748">
        <v>0.69520000000000004</v>
      </c>
      <c r="M265" s="748">
        <v>0.69520000000000004</v>
      </c>
    </row>
    <row r="266" spans="1:13">
      <c r="A266" s="744">
        <v>6</v>
      </c>
      <c r="B266" s="748">
        <v>0.85019999999999996</v>
      </c>
      <c r="C266" s="748">
        <v>0.85019999999999996</v>
      </c>
      <c r="D266" s="748">
        <v>0.8327</v>
      </c>
      <c r="E266" s="748">
        <v>0.8327</v>
      </c>
      <c r="F266" s="748">
        <v>0.8327</v>
      </c>
      <c r="G266" s="748">
        <v>0.8327</v>
      </c>
      <c r="H266" s="748">
        <v>0.8327</v>
      </c>
      <c r="I266" s="748">
        <v>0.69320000000000004</v>
      </c>
      <c r="J266" s="748">
        <v>0.69320000000000004</v>
      </c>
      <c r="K266" s="748">
        <v>0.69320000000000004</v>
      </c>
      <c r="L266" s="748">
        <v>0.69320000000000004</v>
      </c>
      <c r="M266" s="748">
        <v>0.69320000000000004</v>
      </c>
    </row>
    <row r="267" spans="1:13">
      <c r="A267" s="744">
        <v>6.1</v>
      </c>
      <c r="B267" s="748">
        <v>0.84899999999999998</v>
      </c>
      <c r="C267" s="748">
        <v>0.84899999999999998</v>
      </c>
      <c r="D267" s="748">
        <v>0.83109999999999995</v>
      </c>
      <c r="E267" s="748">
        <v>0.83109999999999995</v>
      </c>
      <c r="F267" s="748">
        <v>0.83109999999999995</v>
      </c>
      <c r="G267" s="748">
        <v>0.83109999999999995</v>
      </c>
      <c r="H267" s="748">
        <v>0.83109999999999995</v>
      </c>
      <c r="I267" s="748">
        <v>0.69130000000000003</v>
      </c>
      <c r="J267" s="748">
        <v>0.69130000000000003</v>
      </c>
      <c r="K267" s="748">
        <v>0.69130000000000003</v>
      </c>
      <c r="L267" s="748">
        <v>0.69130000000000003</v>
      </c>
      <c r="M267" s="748">
        <v>0.69130000000000003</v>
      </c>
    </row>
    <row r="268" spans="1:13">
      <c r="A268" s="744">
        <v>6.2</v>
      </c>
      <c r="B268" s="748">
        <v>0.8478</v>
      </c>
      <c r="C268" s="748">
        <v>0.8478</v>
      </c>
      <c r="D268" s="748">
        <v>0.8296</v>
      </c>
      <c r="E268" s="748">
        <v>0.8296</v>
      </c>
      <c r="F268" s="748">
        <v>0.8296</v>
      </c>
      <c r="G268" s="748">
        <v>0.8296</v>
      </c>
      <c r="H268" s="748">
        <v>0.8296</v>
      </c>
      <c r="I268" s="748">
        <v>0.68940000000000001</v>
      </c>
      <c r="J268" s="748">
        <v>0.68940000000000001</v>
      </c>
      <c r="K268" s="748">
        <v>0.68940000000000001</v>
      </c>
      <c r="L268" s="748">
        <v>0.68940000000000001</v>
      </c>
      <c r="M268" s="748">
        <v>0.68940000000000001</v>
      </c>
    </row>
    <row r="269" spans="1:13">
      <c r="A269" s="744">
        <v>6.3</v>
      </c>
      <c r="B269" s="748">
        <v>0.84670000000000001</v>
      </c>
      <c r="C269" s="748">
        <v>0.84670000000000001</v>
      </c>
      <c r="D269" s="748">
        <v>0.82820000000000005</v>
      </c>
      <c r="E269" s="748">
        <v>0.82820000000000005</v>
      </c>
      <c r="F269" s="748">
        <v>0.82820000000000005</v>
      </c>
      <c r="G269" s="748">
        <v>0.82820000000000005</v>
      </c>
      <c r="H269" s="748">
        <v>0.82820000000000005</v>
      </c>
      <c r="I269" s="748">
        <v>0.68769999999999998</v>
      </c>
      <c r="J269" s="748">
        <v>0.68769999999999998</v>
      </c>
      <c r="K269" s="748">
        <v>0.68769999999999998</v>
      </c>
      <c r="L269" s="748">
        <v>0.68769999999999998</v>
      </c>
      <c r="M269" s="748">
        <v>0.68769999999999998</v>
      </c>
    </row>
    <row r="270" spans="1:13">
      <c r="A270" s="744">
        <v>6.4</v>
      </c>
      <c r="B270" s="748">
        <v>0.84570000000000001</v>
      </c>
      <c r="C270" s="748">
        <v>0.84570000000000001</v>
      </c>
      <c r="D270" s="748">
        <v>0.82689999999999997</v>
      </c>
      <c r="E270" s="748">
        <v>0.82689999999999997</v>
      </c>
      <c r="F270" s="748">
        <v>0.82689999999999997</v>
      </c>
      <c r="G270" s="748">
        <v>0.82689999999999997</v>
      </c>
      <c r="H270" s="748">
        <v>0.82689999999999997</v>
      </c>
      <c r="I270" s="748">
        <v>0.68610000000000004</v>
      </c>
      <c r="J270" s="748">
        <v>0.68610000000000004</v>
      </c>
      <c r="K270" s="748">
        <v>0.68610000000000004</v>
      </c>
      <c r="L270" s="748">
        <v>0.68610000000000004</v>
      </c>
      <c r="M270" s="748">
        <v>0.68610000000000004</v>
      </c>
    </row>
    <row r="271" spans="1:13">
      <c r="A271" s="744">
        <v>6.5</v>
      </c>
      <c r="B271" s="748">
        <v>0.84470000000000001</v>
      </c>
      <c r="C271" s="748">
        <v>0.84470000000000001</v>
      </c>
      <c r="D271" s="748">
        <v>0.82569999999999999</v>
      </c>
      <c r="E271" s="748">
        <v>0.82569999999999999</v>
      </c>
      <c r="F271" s="748">
        <v>0.82569999999999999</v>
      </c>
      <c r="G271" s="748">
        <v>0.82569999999999999</v>
      </c>
      <c r="H271" s="748">
        <v>0.82569999999999999</v>
      </c>
      <c r="I271" s="748">
        <v>0.68440000000000001</v>
      </c>
      <c r="J271" s="748">
        <v>0.68440000000000001</v>
      </c>
      <c r="K271" s="748">
        <v>0.68440000000000001</v>
      </c>
      <c r="L271" s="748">
        <v>0.68440000000000001</v>
      </c>
      <c r="M271" s="748">
        <v>0.68440000000000001</v>
      </c>
    </row>
    <row r="272" spans="1:13">
      <c r="A272" s="744">
        <v>6.6</v>
      </c>
      <c r="B272" s="748">
        <v>0.84370000000000001</v>
      </c>
      <c r="C272" s="748">
        <v>0.84370000000000001</v>
      </c>
      <c r="D272" s="748">
        <v>0.82450000000000001</v>
      </c>
      <c r="E272" s="748">
        <v>0.82450000000000001</v>
      </c>
      <c r="F272" s="748">
        <v>0.82450000000000001</v>
      </c>
      <c r="G272" s="748">
        <v>0.82450000000000001</v>
      </c>
      <c r="H272" s="748">
        <v>0.82450000000000001</v>
      </c>
      <c r="I272" s="748">
        <v>0.68289999999999995</v>
      </c>
      <c r="J272" s="748">
        <v>0.68289999999999995</v>
      </c>
      <c r="K272" s="748">
        <v>0.68289999999999995</v>
      </c>
      <c r="L272" s="748">
        <v>0.68289999999999995</v>
      </c>
      <c r="M272" s="748">
        <v>0.68289999999999995</v>
      </c>
    </row>
    <row r="273" spans="1:13">
      <c r="A273" s="744">
        <v>6.7</v>
      </c>
      <c r="B273" s="748">
        <v>0.8427</v>
      </c>
      <c r="C273" s="748">
        <v>0.8427</v>
      </c>
      <c r="D273" s="748">
        <v>0.82330000000000003</v>
      </c>
      <c r="E273" s="748">
        <v>0.82330000000000003</v>
      </c>
      <c r="F273" s="748">
        <v>0.82330000000000003</v>
      </c>
      <c r="G273" s="748">
        <v>0.82330000000000003</v>
      </c>
      <c r="H273" s="748">
        <v>0.82330000000000003</v>
      </c>
      <c r="I273" s="748">
        <v>0.68130000000000002</v>
      </c>
      <c r="J273" s="748">
        <v>0.68130000000000002</v>
      </c>
      <c r="K273" s="748">
        <v>0.68130000000000002</v>
      </c>
      <c r="L273" s="748">
        <v>0.68130000000000002</v>
      </c>
      <c r="M273" s="748">
        <v>0.68130000000000002</v>
      </c>
    </row>
    <row r="274" spans="1:13">
      <c r="A274" s="744">
        <v>6.8</v>
      </c>
      <c r="B274" s="748">
        <v>0.84179999999999999</v>
      </c>
      <c r="C274" s="748">
        <v>0.84179999999999999</v>
      </c>
      <c r="D274" s="748">
        <v>0.82210000000000005</v>
      </c>
      <c r="E274" s="748">
        <v>0.82210000000000005</v>
      </c>
      <c r="F274" s="748">
        <v>0.82210000000000005</v>
      </c>
      <c r="G274" s="748">
        <v>0.82210000000000005</v>
      </c>
      <c r="H274" s="748">
        <v>0.82210000000000005</v>
      </c>
      <c r="I274" s="748">
        <v>0.67979999999999996</v>
      </c>
      <c r="J274" s="748">
        <v>0.67979999999999996</v>
      </c>
      <c r="K274" s="748">
        <v>0.67979999999999996</v>
      </c>
      <c r="L274" s="748">
        <v>0.67979999999999996</v>
      </c>
      <c r="M274" s="748">
        <v>0.67979999999999996</v>
      </c>
    </row>
    <row r="275" spans="1:13">
      <c r="A275" s="744">
        <v>6.9</v>
      </c>
      <c r="B275" s="748">
        <v>0.84089999999999998</v>
      </c>
      <c r="C275" s="748">
        <v>0.84089999999999998</v>
      </c>
      <c r="D275" s="748">
        <v>0.82099999999999995</v>
      </c>
      <c r="E275" s="748">
        <v>0.82099999999999995</v>
      </c>
      <c r="F275" s="748">
        <v>0.82099999999999995</v>
      </c>
      <c r="G275" s="748">
        <v>0.82099999999999995</v>
      </c>
      <c r="H275" s="748">
        <v>0.82099999999999995</v>
      </c>
      <c r="I275" s="748">
        <v>0.67849999999999999</v>
      </c>
      <c r="J275" s="748">
        <v>0.67849999999999999</v>
      </c>
      <c r="K275" s="748">
        <v>0.67849999999999999</v>
      </c>
      <c r="L275" s="748">
        <v>0.67849999999999999</v>
      </c>
      <c r="M275" s="748">
        <v>0.67849999999999999</v>
      </c>
    </row>
    <row r="276" spans="1:13">
      <c r="A276" s="744">
        <v>7</v>
      </c>
      <c r="B276" s="748">
        <v>0.84009999999999996</v>
      </c>
      <c r="C276" s="748">
        <v>0.84009999999999996</v>
      </c>
      <c r="D276" s="748">
        <v>0.81989999999999996</v>
      </c>
      <c r="E276" s="748">
        <v>0.81989999999999996</v>
      </c>
      <c r="F276" s="748">
        <v>0.81989999999999996</v>
      </c>
      <c r="G276" s="748">
        <v>0.81989999999999996</v>
      </c>
      <c r="H276" s="748">
        <v>0.81989999999999996</v>
      </c>
      <c r="I276" s="748">
        <v>0.67720000000000002</v>
      </c>
      <c r="J276" s="748">
        <v>0.67720000000000002</v>
      </c>
      <c r="K276" s="748">
        <v>0.67720000000000002</v>
      </c>
      <c r="L276" s="748">
        <v>0.67720000000000002</v>
      </c>
      <c r="M276" s="748">
        <v>0.67720000000000002</v>
      </c>
    </row>
    <row r="277" spans="1:13">
      <c r="A277" s="744">
        <v>7.1</v>
      </c>
      <c r="B277" s="748">
        <v>0.83930000000000005</v>
      </c>
      <c r="C277" s="748">
        <v>0.83930000000000005</v>
      </c>
      <c r="D277" s="748">
        <v>0.81889999999999996</v>
      </c>
      <c r="E277" s="748">
        <v>0.81889999999999996</v>
      </c>
      <c r="F277" s="748">
        <v>0.81889999999999996</v>
      </c>
      <c r="G277" s="748">
        <v>0.81889999999999996</v>
      </c>
      <c r="H277" s="748">
        <v>0.81889999999999996</v>
      </c>
      <c r="I277" s="748">
        <v>0.67589999999999995</v>
      </c>
      <c r="J277" s="748">
        <v>0.67589999999999995</v>
      </c>
      <c r="K277" s="748">
        <v>0.67589999999999995</v>
      </c>
      <c r="L277" s="748">
        <v>0.67589999999999995</v>
      </c>
      <c r="M277" s="748">
        <v>0.67589999999999995</v>
      </c>
    </row>
    <row r="278" spans="1:13">
      <c r="A278" s="744">
        <v>7.2</v>
      </c>
      <c r="B278" s="748">
        <v>0.83850000000000002</v>
      </c>
      <c r="C278" s="748">
        <v>0.83850000000000002</v>
      </c>
      <c r="D278" s="748">
        <v>0.81789999999999996</v>
      </c>
      <c r="E278" s="748">
        <v>0.81789999999999996</v>
      </c>
      <c r="F278" s="748">
        <v>0.81789999999999996</v>
      </c>
      <c r="G278" s="748">
        <v>0.81789999999999996</v>
      </c>
      <c r="H278" s="748">
        <v>0.81789999999999996</v>
      </c>
      <c r="I278" s="748">
        <v>0.67459999999999998</v>
      </c>
      <c r="J278" s="748">
        <v>0.67459999999999998</v>
      </c>
      <c r="K278" s="748">
        <v>0.67459999999999998</v>
      </c>
      <c r="L278" s="748">
        <v>0.67459999999999998</v>
      </c>
      <c r="M278" s="748">
        <v>0.67459999999999998</v>
      </c>
    </row>
    <row r="279" spans="1:13">
      <c r="A279" s="744">
        <v>7.3</v>
      </c>
      <c r="B279" s="748">
        <v>0.8377</v>
      </c>
      <c r="C279" s="748">
        <v>0.8377</v>
      </c>
      <c r="D279" s="748">
        <v>0.81689999999999996</v>
      </c>
      <c r="E279" s="748">
        <v>0.81689999999999996</v>
      </c>
      <c r="F279" s="748">
        <v>0.81689999999999996</v>
      </c>
      <c r="G279" s="748">
        <v>0.81689999999999996</v>
      </c>
      <c r="H279" s="748">
        <v>0.81689999999999996</v>
      </c>
      <c r="I279" s="748">
        <v>0.6734</v>
      </c>
      <c r="J279" s="748">
        <v>0.6734</v>
      </c>
      <c r="K279" s="748">
        <v>0.6734</v>
      </c>
      <c r="L279" s="748">
        <v>0.6734</v>
      </c>
      <c r="M279" s="748">
        <v>0.6734</v>
      </c>
    </row>
    <row r="280" spans="1:13">
      <c r="A280" s="744">
        <v>7.4</v>
      </c>
      <c r="B280" s="748">
        <v>0.83699999999999997</v>
      </c>
      <c r="C280" s="748">
        <v>0.83699999999999997</v>
      </c>
      <c r="D280" s="748">
        <v>0.81599999999999995</v>
      </c>
      <c r="E280" s="748">
        <v>0.81599999999999995</v>
      </c>
      <c r="F280" s="748">
        <v>0.81599999999999995</v>
      </c>
      <c r="G280" s="748">
        <v>0.81599999999999995</v>
      </c>
      <c r="H280" s="748">
        <v>0.81599999999999995</v>
      </c>
      <c r="I280" s="748">
        <v>0.67210000000000003</v>
      </c>
      <c r="J280" s="748">
        <v>0.67210000000000003</v>
      </c>
      <c r="K280" s="748">
        <v>0.67210000000000003</v>
      </c>
      <c r="L280" s="748">
        <v>0.67210000000000003</v>
      </c>
      <c r="M280" s="748">
        <v>0.67210000000000003</v>
      </c>
    </row>
    <row r="281" spans="1:13">
      <c r="A281" s="744">
        <v>7.5</v>
      </c>
      <c r="B281" s="748">
        <v>0.83630000000000004</v>
      </c>
      <c r="C281" s="748">
        <v>0.83630000000000004</v>
      </c>
      <c r="D281" s="748">
        <v>0.81510000000000005</v>
      </c>
      <c r="E281" s="748">
        <v>0.81510000000000005</v>
      </c>
      <c r="F281" s="748">
        <v>0.81510000000000005</v>
      </c>
      <c r="G281" s="748">
        <v>0.81510000000000005</v>
      </c>
      <c r="H281" s="748">
        <v>0.81510000000000005</v>
      </c>
      <c r="I281" s="748">
        <v>0.67090000000000005</v>
      </c>
      <c r="J281" s="748">
        <v>0.67090000000000005</v>
      </c>
      <c r="K281" s="748">
        <v>0.67090000000000005</v>
      </c>
      <c r="L281" s="748">
        <v>0.67090000000000005</v>
      </c>
      <c r="M281" s="748">
        <v>0.67090000000000005</v>
      </c>
    </row>
    <row r="282" spans="1:13">
      <c r="A282" s="744">
        <v>7.6</v>
      </c>
      <c r="B282" s="748">
        <v>0.83560000000000001</v>
      </c>
      <c r="C282" s="748">
        <v>0.83560000000000001</v>
      </c>
      <c r="D282" s="748">
        <v>0.81420000000000003</v>
      </c>
      <c r="E282" s="748">
        <v>0.81420000000000003</v>
      </c>
      <c r="F282" s="748">
        <v>0.81420000000000003</v>
      </c>
      <c r="G282" s="748">
        <v>0.81420000000000003</v>
      </c>
      <c r="H282" s="748">
        <v>0.81420000000000003</v>
      </c>
      <c r="I282" s="748">
        <v>0.66979999999999995</v>
      </c>
      <c r="J282" s="748">
        <v>0.66979999999999995</v>
      </c>
      <c r="K282" s="748">
        <v>0.66979999999999995</v>
      </c>
      <c r="L282" s="748">
        <v>0.66979999999999995</v>
      </c>
      <c r="M282" s="748">
        <v>0.66979999999999995</v>
      </c>
    </row>
    <row r="283" spans="1:13">
      <c r="A283" s="744">
        <v>7.7</v>
      </c>
      <c r="B283" s="748">
        <v>0.83489999999999998</v>
      </c>
      <c r="C283" s="748">
        <v>0.83489999999999998</v>
      </c>
      <c r="D283" s="748">
        <v>0.81330000000000002</v>
      </c>
      <c r="E283" s="748">
        <v>0.81330000000000002</v>
      </c>
      <c r="F283" s="748">
        <v>0.81330000000000002</v>
      </c>
      <c r="G283" s="748">
        <v>0.81330000000000002</v>
      </c>
      <c r="H283" s="748">
        <v>0.81330000000000002</v>
      </c>
      <c r="I283" s="748">
        <v>0.66869999999999996</v>
      </c>
      <c r="J283" s="748">
        <v>0.66869999999999996</v>
      </c>
      <c r="K283" s="748">
        <v>0.66869999999999996</v>
      </c>
      <c r="L283" s="748">
        <v>0.66869999999999996</v>
      </c>
      <c r="M283" s="748">
        <v>0.66869999999999996</v>
      </c>
    </row>
    <row r="284" spans="1:13">
      <c r="A284" s="744">
        <v>7.8</v>
      </c>
      <c r="B284" s="748">
        <v>0.83420000000000005</v>
      </c>
      <c r="C284" s="748">
        <v>0.83420000000000005</v>
      </c>
      <c r="D284" s="748">
        <v>0.81240000000000001</v>
      </c>
      <c r="E284" s="748">
        <v>0.81240000000000001</v>
      </c>
      <c r="F284" s="748">
        <v>0.81240000000000001</v>
      </c>
      <c r="G284" s="748">
        <v>0.81240000000000001</v>
      </c>
      <c r="H284" s="748">
        <v>0.81240000000000001</v>
      </c>
      <c r="I284" s="748">
        <v>0.66759999999999997</v>
      </c>
      <c r="J284" s="748">
        <v>0.66759999999999997</v>
      </c>
      <c r="K284" s="748">
        <v>0.66759999999999997</v>
      </c>
      <c r="L284" s="748">
        <v>0.66759999999999997</v>
      </c>
      <c r="M284" s="748">
        <v>0.66759999999999997</v>
      </c>
    </row>
    <row r="285" spans="1:13">
      <c r="A285" s="744">
        <v>7.9</v>
      </c>
      <c r="B285" s="748">
        <v>0.83350000000000002</v>
      </c>
      <c r="C285" s="748">
        <v>0.83350000000000002</v>
      </c>
      <c r="D285" s="748">
        <v>0.81159999999999999</v>
      </c>
      <c r="E285" s="748">
        <v>0.81159999999999999</v>
      </c>
      <c r="F285" s="748">
        <v>0.81159999999999999</v>
      </c>
      <c r="G285" s="748">
        <v>0.81159999999999999</v>
      </c>
      <c r="H285" s="748">
        <v>0.81159999999999999</v>
      </c>
      <c r="I285" s="748">
        <v>0.66649999999999998</v>
      </c>
      <c r="J285" s="748">
        <v>0.66649999999999998</v>
      </c>
      <c r="K285" s="748">
        <v>0.66649999999999998</v>
      </c>
      <c r="L285" s="748">
        <v>0.66649999999999998</v>
      </c>
      <c r="M285" s="748">
        <v>0.66649999999999998</v>
      </c>
    </row>
    <row r="286" spans="1:13">
      <c r="A286" s="744">
        <v>8</v>
      </c>
      <c r="B286" s="748">
        <v>0.83279999999999998</v>
      </c>
      <c r="C286" s="748">
        <v>0.83279999999999998</v>
      </c>
      <c r="D286" s="748">
        <v>0.81079999999999997</v>
      </c>
      <c r="E286" s="748">
        <v>0.81079999999999997</v>
      </c>
      <c r="F286" s="748">
        <v>0.81079999999999997</v>
      </c>
      <c r="G286" s="748">
        <v>0.81079999999999997</v>
      </c>
      <c r="H286" s="748">
        <v>0.81079999999999997</v>
      </c>
      <c r="I286" s="748">
        <v>0.66549999999999998</v>
      </c>
      <c r="J286" s="748">
        <v>0.66549999999999998</v>
      </c>
      <c r="K286" s="748">
        <v>0.66549999999999998</v>
      </c>
      <c r="L286" s="748">
        <v>0.66549999999999998</v>
      </c>
      <c r="M286" s="748">
        <v>0.66549999999999998</v>
      </c>
    </row>
    <row r="287" spans="1:13">
      <c r="A287" s="744">
        <v>8.1</v>
      </c>
      <c r="B287" s="748">
        <v>0.83220000000000005</v>
      </c>
      <c r="C287" s="748">
        <v>0.83220000000000005</v>
      </c>
      <c r="D287" s="748">
        <v>0.81</v>
      </c>
      <c r="E287" s="748">
        <v>0.81</v>
      </c>
      <c r="F287" s="748">
        <v>0.81</v>
      </c>
      <c r="G287" s="748">
        <v>0.81</v>
      </c>
      <c r="H287" s="748">
        <v>0.81</v>
      </c>
      <c r="I287" s="748">
        <v>0.66439999999999999</v>
      </c>
      <c r="J287" s="748">
        <v>0.66439999999999999</v>
      </c>
      <c r="K287" s="748">
        <v>0.66439999999999999</v>
      </c>
      <c r="L287" s="748">
        <v>0.66439999999999999</v>
      </c>
      <c r="M287" s="748">
        <v>0.66439999999999999</v>
      </c>
    </row>
    <row r="288" spans="1:13">
      <c r="A288" s="744">
        <v>8.1999999999999993</v>
      </c>
      <c r="B288" s="748">
        <v>0.83160000000000001</v>
      </c>
      <c r="C288" s="748">
        <v>0.83160000000000001</v>
      </c>
      <c r="D288" s="748">
        <v>0.80920000000000003</v>
      </c>
      <c r="E288" s="748">
        <v>0.80920000000000003</v>
      </c>
      <c r="F288" s="748">
        <v>0.80920000000000003</v>
      </c>
      <c r="G288" s="748">
        <v>0.80920000000000003</v>
      </c>
      <c r="H288" s="748">
        <v>0.80920000000000003</v>
      </c>
      <c r="I288" s="748">
        <v>0.66339999999999999</v>
      </c>
      <c r="J288" s="748">
        <v>0.66339999999999999</v>
      </c>
      <c r="K288" s="748">
        <v>0.66339999999999999</v>
      </c>
      <c r="L288" s="748">
        <v>0.66339999999999999</v>
      </c>
      <c r="M288" s="748">
        <v>0.66339999999999999</v>
      </c>
    </row>
    <row r="289" spans="1:13">
      <c r="A289" s="744">
        <v>8.3000000000000007</v>
      </c>
      <c r="B289" s="748">
        <v>0.83099999999999996</v>
      </c>
      <c r="C289" s="748">
        <v>0.83099999999999996</v>
      </c>
      <c r="D289" s="748">
        <v>0.80840000000000001</v>
      </c>
      <c r="E289" s="748">
        <v>0.80840000000000001</v>
      </c>
      <c r="F289" s="748">
        <v>0.80840000000000001</v>
      </c>
      <c r="G289" s="748">
        <v>0.80840000000000001</v>
      </c>
      <c r="H289" s="748">
        <v>0.80840000000000001</v>
      </c>
      <c r="I289" s="748">
        <v>0.66239999999999999</v>
      </c>
      <c r="J289" s="748">
        <v>0.66239999999999999</v>
      </c>
      <c r="K289" s="748">
        <v>0.66239999999999999</v>
      </c>
      <c r="L289" s="748">
        <v>0.66239999999999999</v>
      </c>
      <c r="M289" s="748">
        <v>0.66239999999999999</v>
      </c>
    </row>
    <row r="290" spans="1:13">
      <c r="A290" s="744">
        <v>8.4</v>
      </c>
      <c r="B290" s="748">
        <v>0.83040000000000003</v>
      </c>
      <c r="C290" s="748">
        <v>0.83040000000000003</v>
      </c>
      <c r="D290" s="748">
        <v>0.80759999999999998</v>
      </c>
      <c r="E290" s="748">
        <v>0.80759999999999998</v>
      </c>
      <c r="F290" s="748">
        <v>0.80759999999999998</v>
      </c>
      <c r="G290" s="748">
        <v>0.80759999999999998</v>
      </c>
      <c r="H290" s="748">
        <v>0.80759999999999998</v>
      </c>
      <c r="I290" s="748">
        <v>0.66139999999999999</v>
      </c>
      <c r="J290" s="748">
        <v>0.66139999999999999</v>
      </c>
      <c r="K290" s="748">
        <v>0.66139999999999999</v>
      </c>
      <c r="L290" s="748">
        <v>0.66139999999999999</v>
      </c>
      <c r="M290" s="748">
        <v>0.66139999999999999</v>
      </c>
    </row>
    <row r="291" spans="1:13">
      <c r="A291" s="744">
        <v>8.5</v>
      </c>
      <c r="B291" s="748">
        <v>0.82979999999999998</v>
      </c>
      <c r="C291" s="748">
        <v>0.82979999999999998</v>
      </c>
      <c r="D291" s="748">
        <v>0.80679999999999996</v>
      </c>
      <c r="E291" s="748">
        <v>0.80679999999999996</v>
      </c>
      <c r="F291" s="748">
        <v>0.80679999999999996</v>
      </c>
      <c r="G291" s="748">
        <v>0.80679999999999996</v>
      </c>
      <c r="H291" s="748">
        <v>0.80679999999999996</v>
      </c>
      <c r="I291" s="748">
        <v>0.66049999999999998</v>
      </c>
      <c r="J291" s="748">
        <v>0.66049999999999998</v>
      </c>
      <c r="K291" s="748">
        <v>0.66049999999999998</v>
      </c>
      <c r="L291" s="748">
        <v>0.66049999999999998</v>
      </c>
      <c r="M291" s="748">
        <v>0.66049999999999998</v>
      </c>
    </row>
    <row r="292" spans="1:13">
      <c r="A292" s="744">
        <v>8.6</v>
      </c>
      <c r="B292" s="748">
        <v>0.82920000000000005</v>
      </c>
      <c r="C292" s="748">
        <v>0.82920000000000005</v>
      </c>
      <c r="D292" s="748">
        <v>0.80600000000000005</v>
      </c>
      <c r="E292" s="748">
        <v>0.80600000000000005</v>
      </c>
      <c r="F292" s="748">
        <v>0.80600000000000005</v>
      </c>
      <c r="G292" s="748">
        <v>0.80600000000000005</v>
      </c>
      <c r="H292" s="748">
        <v>0.80600000000000005</v>
      </c>
      <c r="I292" s="748">
        <v>0.65949999999999998</v>
      </c>
      <c r="J292" s="748">
        <v>0.65949999999999998</v>
      </c>
      <c r="K292" s="748">
        <v>0.65949999999999998</v>
      </c>
      <c r="L292" s="748">
        <v>0.65949999999999998</v>
      </c>
      <c r="M292" s="748">
        <v>0.65949999999999998</v>
      </c>
    </row>
    <row r="293" spans="1:13">
      <c r="A293" s="744">
        <v>8.6999999999999993</v>
      </c>
      <c r="B293" s="748">
        <v>0.8286</v>
      </c>
      <c r="C293" s="748">
        <v>0.8286</v>
      </c>
      <c r="D293" s="748">
        <v>0.80520000000000003</v>
      </c>
      <c r="E293" s="748">
        <v>0.80520000000000003</v>
      </c>
      <c r="F293" s="748">
        <v>0.80520000000000003</v>
      </c>
      <c r="G293" s="748">
        <v>0.80520000000000003</v>
      </c>
      <c r="H293" s="748">
        <v>0.80520000000000003</v>
      </c>
      <c r="I293" s="748">
        <v>0.65859999999999996</v>
      </c>
      <c r="J293" s="748">
        <v>0.65859999999999996</v>
      </c>
      <c r="K293" s="748">
        <v>0.65859999999999996</v>
      </c>
      <c r="L293" s="748">
        <v>0.65859999999999996</v>
      </c>
      <c r="M293" s="748">
        <v>0.65859999999999996</v>
      </c>
    </row>
    <row r="294" spans="1:13">
      <c r="A294" s="744">
        <v>8.8000000000000007</v>
      </c>
      <c r="B294" s="748">
        <v>0.82799999999999996</v>
      </c>
      <c r="C294" s="748">
        <v>0.82799999999999996</v>
      </c>
      <c r="D294" s="748">
        <v>0.8044</v>
      </c>
      <c r="E294" s="748">
        <v>0.8044</v>
      </c>
      <c r="F294" s="748">
        <v>0.8044</v>
      </c>
      <c r="G294" s="748">
        <v>0.8044</v>
      </c>
      <c r="H294" s="748">
        <v>0.8044</v>
      </c>
      <c r="I294" s="748">
        <v>0.65759999999999996</v>
      </c>
      <c r="J294" s="748">
        <v>0.65759999999999996</v>
      </c>
      <c r="K294" s="748">
        <v>0.65759999999999996</v>
      </c>
      <c r="L294" s="748">
        <v>0.65759999999999996</v>
      </c>
      <c r="M294" s="748">
        <v>0.65759999999999996</v>
      </c>
    </row>
    <row r="295" spans="1:13">
      <c r="A295" s="744">
        <v>8.9</v>
      </c>
      <c r="B295" s="748">
        <v>0.82740000000000002</v>
      </c>
      <c r="C295" s="748">
        <v>0.82740000000000002</v>
      </c>
      <c r="D295" s="748">
        <v>0.80359999999999998</v>
      </c>
      <c r="E295" s="748">
        <v>0.80359999999999998</v>
      </c>
      <c r="F295" s="748">
        <v>0.80359999999999998</v>
      </c>
      <c r="G295" s="748">
        <v>0.80359999999999998</v>
      </c>
      <c r="H295" s="748">
        <v>0.80359999999999998</v>
      </c>
      <c r="I295" s="748">
        <v>0.65669999999999995</v>
      </c>
      <c r="J295" s="748">
        <v>0.65669999999999995</v>
      </c>
      <c r="K295" s="748">
        <v>0.65669999999999995</v>
      </c>
      <c r="L295" s="748">
        <v>0.65669999999999995</v>
      </c>
      <c r="M295" s="748">
        <v>0.65669999999999995</v>
      </c>
    </row>
    <row r="296" spans="1:13">
      <c r="A296" s="750">
        <v>9</v>
      </c>
      <c r="B296" s="748">
        <v>0.82679999999999998</v>
      </c>
      <c r="C296" s="748">
        <v>0.82679999999999998</v>
      </c>
      <c r="D296" s="748">
        <v>0.80279999999999996</v>
      </c>
      <c r="E296" s="748">
        <v>0.80279999999999996</v>
      </c>
      <c r="F296" s="748">
        <v>0.80279999999999996</v>
      </c>
      <c r="G296" s="748">
        <v>0.80279999999999996</v>
      </c>
      <c r="H296" s="748">
        <v>0.80279999999999996</v>
      </c>
      <c r="I296" s="748">
        <v>0.65569999999999995</v>
      </c>
      <c r="J296" s="748">
        <v>0.65569999999999995</v>
      </c>
      <c r="K296" s="748">
        <v>0.65569999999999995</v>
      </c>
      <c r="L296" s="748">
        <v>0.65569999999999995</v>
      </c>
      <c r="M296" s="748">
        <v>0.65569999999999995</v>
      </c>
    </row>
    <row r="297" spans="1:13">
      <c r="A297" s="750">
        <v>9.1</v>
      </c>
      <c r="B297" s="748">
        <v>0.82620000000000005</v>
      </c>
      <c r="C297" s="748">
        <v>0.82620000000000005</v>
      </c>
      <c r="D297" s="748">
        <v>0.80200000000000005</v>
      </c>
      <c r="E297" s="748">
        <v>0.80200000000000005</v>
      </c>
      <c r="F297" s="748">
        <v>0.80200000000000005</v>
      </c>
      <c r="G297" s="748">
        <v>0.80200000000000005</v>
      </c>
      <c r="H297" s="748">
        <v>0.80200000000000005</v>
      </c>
      <c r="I297" s="748">
        <v>0.65480000000000005</v>
      </c>
      <c r="J297" s="748">
        <v>0.65480000000000005</v>
      </c>
      <c r="K297" s="748">
        <v>0.65480000000000005</v>
      </c>
      <c r="L297" s="748">
        <v>0.65480000000000005</v>
      </c>
      <c r="M297" s="748">
        <v>0.65480000000000005</v>
      </c>
    </row>
    <row r="298" spans="1:13">
      <c r="A298" s="750">
        <v>9.1999999999999993</v>
      </c>
      <c r="B298" s="748">
        <v>0.8256</v>
      </c>
      <c r="C298" s="748">
        <v>0.8256</v>
      </c>
      <c r="D298" s="748">
        <v>0.80120000000000002</v>
      </c>
      <c r="E298" s="748">
        <v>0.80120000000000002</v>
      </c>
      <c r="F298" s="748">
        <v>0.80120000000000002</v>
      </c>
      <c r="G298" s="748">
        <v>0.80120000000000002</v>
      </c>
      <c r="H298" s="748">
        <v>0.80120000000000002</v>
      </c>
      <c r="I298" s="748">
        <v>0.65380000000000005</v>
      </c>
      <c r="J298" s="748">
        <v>0.65380000000000005</v>
      </c>
      <c r="K298" s="748">
        <v>0.65380000000000005</v>
      </c>
      <c r="L298" s="748">
        <v>0.65380000000000005</v>
      </c>
      <c r="M298" s="748">
        <v>0.65380000000000005</v>
      </c>
    </row>
    <row r="299" spans="1:13">
      <c r="A299" s="750">
        <v>9.3000000000000007</v>
      </c>
      <c r="B299" s="748">
        <v>0.82499999999999996</v>
      </c>
      <c r="C299" s="748">
        <v>0.82499999999999996</v>
      </c>
      <c r="D299" s="748">
        <v>0.8004</v>
      </c>
      <c r="E299" s="748">
        <v>0.8004</v>
      </c>
      <c r="F299" s="748">
        <v>0.8004</v>
      </c>
      <c r="G299" s="748">
        <v>0.8004</v>
      </c>
      <c r="H299" s="748">
        <v>0.8004</v>
      </c>
      <c r="I299" s="748">
        <v>0.65290000000000004</v>
      </c>
      <c r="J299" s="748">
        <v>0.65290000000000004</v>
      </c>
      <c r="K299" s="748">
        <v>0.65290000000000004</v>
      </c>
      <c r="L299" s="748">
        <v>0.65290000000000004</v>
      </c>
      <c r="M299" s="748">
        <v>0.65290000000000004</v>
      </c>
    </row>
    <row r="300" spans="1:13">
      <c r="A300" s="750">
        <v>9.4</v>
      </c>
      <c r="B300" s="748">
        <v>0.82440000000000002</v>
      </c>
      <c r="C300" s="748">
        <v>0.82440000000000002</v>
      </c>
      <c r="D300" s="748">
        <v>0.79959999999999998</v>
      </c>
      <c r="E300" s="748">
        <v>0.79959999999999998</v>
      </c>
      <c r="F300" s="748">
        <v>0.79959999999999998</v>
      </c>
      <c r="G300" s="748">
        <v>0.79959999999999998</v>
      </c>
      <c r="H300" s="748">
        <v>0.79959999999999998</v>
      </c>
      <c r="I300" s="748">
        <v>0.65190000000000003</v>
      </c>
      <c r="J300" s="748">
        <v>0.65190000000000003</v>
      </c>
      <c r="K300" s="748">
        <v>0.65190000000000003</v>
      </c>
      <c r="L300" s="748">
        <v>0.65190000000000003</v>
      </c>
      <c r="M300" s="748">
        <v>0.65190000000000003</v>
      </c>
    </row>
    <row r="301" spans="1:13">
      <c r="A301" s="750">
        <v>9.5</v>
      </c>
      <c r="B301" s="748">
        <v>0.82379999999999998</v>
      </c>
      <c r="C301" s="748">
        <v>0.82379999999999998</v>
      </c>
      <c r="D301" s="748">
        <v>0.79879999999999995</v>
      </c>
      <c r="E301" s="748">
        <v>0.79879999999999995</v>
      </c>
      <c r="F301" s="748">
        <v>0.79879999999999995</v>
      </c>
      <c r="G301" s="748">
        <v>0.79879999999999995</v>
      </c>
      <c r="H301" s="748">
        <v>0.79879999999999995</v>
      </c>
      <c r="I301" s="748">
        <v>0.65100000000000002</v>
      </c>
      <c r="J301" s="748">
        <v>0.65100000000000002</v>
      </c>
      <c r="K301" s="748">
        <v>0.65100000000000002</v>
      </c>
      <c r="L301" s="748">
        <v>0.65100000000000002</v>
      </c>
      <c r="M301" s="748">
        <v>0.65100000000000002</v>
      </c>
    </row>
    <row r="302" spans="1:13">
      <c r="A302" s="750">
        <v>9.6</v>
      </c>
      <c r="B302" s="748">
        <v>0.82320000000000004</v>
      </c>
      <c r="C302" s="748">
        <v>0.82320000000000004</v>
      </c>
      <c r="D302" s="748">
        <v>0.79800000000000004</v>
      </c>
      <c r="E302" s="748">
        <v>0.79800000000000004</v>
      </c>
      <c r="F302" s="748">
        <v>0.79800000000000004</v>
      </c>
      <c r="G302" s="748">
        <v>0.79800000000000004</v>
      </c>
      <c r="H302" s="748">
        <v>0.79800000000000004</v>
      </c>
      <c r="I302" s="748">
        <v>0.65</v>
      </c>
      <c r="J302" s="748">
        <v>0.65</v>
      </c>
      <c r="K302" s="748">
        <v>0.65</v>
      </c>
      <c r="L302" s="748">
        <v>0.65</v>
      </c>
      <c r="M302" s="748">
        <v>0.65</v>
      </c>
    </row>
    <row r="303" spans="1:13">
      <c r="A303" s="750">
        <v>9.6999999999999993</v>
      </c>
      <c r="B303" s="748">
        <v>0.8226</v>
      </c>
      <c r="C303" s="748">
        <v>0.8226</v>
      </c>
      <c r="D303" s="748">
        <v>0.79720000000000002</v>
      </c>
      <c r="E303" s="748">
        <v>0.79720000000000002</v>
      </c>
      <c r="F303" s="748">
        <v>0.79720000000000002</v>
      </c>
      <c r="G303" s="748">
        <v>0.79720000000000002</v>
      </c>
      <c r="H303" s="748">
        <v>0.79720000000000002</v>
      </c>
      <c r="I303" s="748">
        <v>0.64900000000000002</v>
      </c>
      <c r="J303" s="748">
        <v>0.64900000000000002</v>
      </c>
      <c r="K303" s="748">
        <v>0.64900000000000002</v>
      </c>
      <c r="L303" s="748">
        <v>0.64900000000000002</v>
      </c>
      <c r="M303" s="748">
        <v>0.64900000000000002</v>
      </c>
    </row>
    <row r="304" spans="1:13">
      <c r="A304" s="750">
        <v>9.8000000000000007</v>
      </c>
      <c r="B304" s="748">
        <v>0.82199999999999995</v>
      </c>
      <c r="C304" s="748">
        <v>0.82199999999999995</v>
      </c>
      <c r="D304" s="748">
        <v>0.7964</v>
      </c>
      <c r="E304" s="748">
        <v>0.7964</v>
      </c>
      <c r="F304" s="748">
        <v>0.7964</v>
      </c>
      <c r="G304" s="748">
        <v>0.7964</v>
      </c>
      <c r="H304" s="748">
        <v>0.7964</v>
      </c>
      <c r="I304" s="748">
        <v>0.64810000000000001</v>
      </c>
      <c r="J304" s="748">
        <v>0.64810000000000001</v>
      </c>
      <c r="K304" s="748">
        <v>0.64810000000000001</v>
      </c>
      <c r="L304" s="748">
        <v>0.64810000000000001</v>
      </c>
      <c r="M304" s="748">
        <v>0.64810000000000001</v>
      </c>
    </row>
    <row r="305" spans="1:13">
      <c r="A305" s="750">
        <v>9.9</v>
      </c>
      <c r="B305" s="748">
        <v>0.82140000000000002</v>
      </c>
      <c r="C305" s="748">
        <v>0.82140000000000002</v>
      </c>
      <c r="D305" s="748">
        <v>0.79559999999999997</v>
      </c>
      <c r="E305" s="748">
        <v>0.79559999999999997</v>
      </c>
      <c r="F305" s="748">
        <v>0.79559999999999997</v>
      </c>
      <c r="G305" s="748">
        <v>0.79559999999999997</v>
      </c>
      <c r="H305" s="748">
        <v>0.79559999999999997</v>
      </c>
      <c r="I305" s="748">
        <v>0.64710000000000001</v>
      </c>
      <c r="J305" s="748">
        <v>0.64710000000000001</v>
      </c>
      <c r="K305" s="748">
        <v>0.64710000000000001</v>
      </c>
      <c r="L305" s="748">
        <v>0.64710000000000001</v>
      </c>
      <c r="M305" s="748">
        <v>0.64710000000000001</v>
      </c>
    </row>
    <row r="306" spans="1:13">
      <c r="A306" s="750">
        <v>10</v>
      </c>
      <c r="B306" s="748">
        <v>0.82079999999999997</v>
      </c>
      <c r="C306" s="748">
        <v>0.82079999999999997</v>
      </c>
      <c r="D306" s="748">
        <v>0.79479999999999995</v>
      </c>
      <c r="E306" s="748">
        <v>0.79479999999999995</v>
      </c>
      <c r="F306" s="748">
        <v>0.79479999999999995</v>
      </c>
      <c r="G306" s="748">
        <v>0.79479999999999995</v>
      </c>
      <c r="H306" s="748">
        <v>0.79479999999999995</v>
      </c>
      <c r="I306" s="748">
        <v>0.6462</v>
      </c>
      <c r="J306" s="748">
        <v>0.6462</v>
      </c>
      <c r="K306" s="748">
        <v>0.6462</v>
      </c>
      <c r="L306" s="748">
        <v>0.6462</v>
      </c>
      <c r="M306" s="748">
        <v>0.6462</v>
      </c>
    </row>
    <row r="307" spans="1:13" ht="14.25">
      <c r="A307" s="741" t="s">
        <v>528</v>
      </c>
      <c r="B307" s="742"/>
      <c r="C307" s="742"/>
      <c r="D307" s="742"/>
      <c r="E307" s="742"/>
      <c r="F307" s="742"/>
      <c r="G307" s="742"/>
      <c r="H307" s="742"/>
      <c r="I307" s="742"/>
      <c r="J307" s="742"/>
      <c r="K307" s="742"/>
      <c r="L307" s="742"/>
      <c r="M307" s="742"/>
    </row>
    <row r="308" spans="1:13">
      <c r="A308" s="744" t="s">
        <v>524</v>
      </c>
      <c r="B308" s="745" t="s">
        <v>106</v>
      </c>
      <c r="C308" s="745" t="s">
        <v>107</v>
      </c>
      <c r="D308" s="745" t="s">
        <v>108</v>
      </c>
      <c r="E308" s="745" t="s">
        <v>109</v>
      </c>
      <c r="F308" s="745" t="s">
        <v>110</v>
      </c>
      <c r="G308" s="745" t="s">
        <v>111</v>
      </c>
      <c r="H308" s="746" t="s">
        <v>112</v>
      </c>
      <c r="I308" s="746" t="s">
        <v>113</v>
      </c>
      <c r="J308" s="747" t="s">
        <v>114</v>
      </c>
      <c r="K308" s="747" t="s">
        <v>115</v>
      </c>
      <c r="L308" s="747" t="s">
        <v>116</v>
      </c>
      <c r="M308" s="747" t="s">
        <v>117</v>
      </c>
    </row>
    <row r="309" spans="1:13">
      <c r="A309" s="744">
        <v>0.1</v>
      </c>
      <c r="B309" s="748">
        <v>11.506</v>
      </c>
      <c r="C309" s="748">
        <v>11.506</v>
      </c>
      <c r="D309" s="748">
        <v>12.015000000000001</v>
      </c>
      <c r="E309" s="748">
        <v>12.015000000000001</v>
      </c>
      <c r="F309" s="748">
        <v>12.015000000000001</v>
      </c>
      <c r="G309" s="748">
        <v>11.118</v>
      </c>
      <c r="H309" s="748">
        <v>11.118</v>
      </c>
      <c r="I309" s="748">
        <v>10</v>
      </c>
      <c r="J309" s="748">
        <v>10</v>
      </c>
      <c r="K309" s="748">
        <v>10</v>
      </c>
      <c r="L309" s="748">
        <v>10</v>
      </c>
      <c r="M309" s="748">
        <v>10</v>
      </c>
    </row>
    <row r="310" spans="1:13">
      <c r="A310" s="744">
        <v>0.2</v>
      </c>
      <c r="B310" s="748">
        <v>5.7530000000000001</v>
      </c>
      <c r="C310" s="748">
        <v>5.7530000000000001</v>
      </c>
      <c r="D310" s="748">
        <v>6.0075000000000003</v>
      </c>
      <c r="E310" s="748">
        <v>6.0075000000000003</v>
      </c>
      <c r="F310" s="748">
        <v>6.0075000000000003</v>
      </c>
      <c r="G310" s="748">
        <v>5.5590000000000002</v>
      </c>
      <c r="H310" s="748">
        <v>5.5590000000000002</v>
      </c>
      <c r="I310" s="748">
        <v>5</v>
      </c>
      <c r="J310" s="748">
        <v>5</v>
      </c>
      <c r="K310" s="748">
        <v>5</v>
      </c>
      <c r="L310" s="748">
        <v>5</v>
      </c>
      <c r="M310" s="748">
        <v>5</v>
      </c>
    </row>
    <row r="311" spans="1:13">
      <c r="A311" s="744">
        <v>0.3</v>
      </c>
      <c r="B311" s="748">
        <v>3.8353000000000002</v>
      </c>
      <c r="C311" s="748">
        <v>3.8353000000000002</v>
      </c>
      <c r="D311" s="748">
        <v>4.0049999999999999</v>
      </c>
      <c r="E311" s="748">
        <v>4.0049999999999999</v>
      </c>
      <c r="F311" s="748">
        <v>4.0049999999999999</v>
      </c>
      <c r="G311" s="748">
        <v>3.706</v>
      </c>
      <c r="H311" s="748">
        <v>3.706</v>
      </c>
      <c r="I311" s="748">
        <v>3.3332999999999999</v>
      </c>
      <c r="J311" s="748">
        <v>3.3332999999999999</v>
      </c>
      <c r="K311" s="748">
        <v>3.3332999999999999</v>
      </c>
      <c r="L311" s="748">
        <v>3.3332999999999999</v>
      </c>
      <c r="M311" s="748">
        <v>3.3332999999999999</v>
      </c>
    </row>
    <row r="312" spans="1:13">
      <c r="A312" s="744">
        <v>0.4</v>
      </c>
      <c r="B312" s="748">
        <v>2.8765000000000001</v>
      </c>
      <c r="C312" s="748">
        <v>2.8765000000000001</v>
      </c>
      <c r="D312" s="748">
        <v>3.0038</v>
      </c>
      <c r="E312" s="748">
        <v>3.0038</v>
      </c>
      <c r="F312" s="748">
        <v>3.0038</v>
      </c>
      <c r="G312" s="748">
        <v>2.7795000000000001</v>
      </c>
      <c r="H312" s="748">
        <v>2.7795000000000001</v>
      </c>
      <c r="I312" s="748">
        <v>2.5</v>
      </c>
      <c r="J312" s="748">
        <v>2.5</v>
      </c>
      <c r="K312" s="748">
        <v>2.5</v>
      </c>
      <c r="L312" s="748">
        <v>2.5</v>
      </c>
      <c r="M312" s="748">
        <v>2.5</v>
      </c>
    </row>
    <row r="313" spans="1:13">
      <c r="A313" s="744">
        <v>0.5</v>
      </c>
      <c r="B313" s="748">
        <v>2.3012000000000001</v>
      </c>
      <c r="C313" s="748">
        <v>2.3012000000000001</v>
      </c>
      <c r="D313" s="748">
        <v>2.403</v>
      </c>
      <c r="E313" s="748">
        <v>2.403</v>
      </c>
      <c r="F313" s="748">
        <v>2.403</v>
      </c>
      <c r="G313" s="748">
        <v>2.2235999999999998</v>
      </c>
      <c r="H313" s="748">
        <v>2.2235999999999998</v>
      </c>
      <c r="I313" s="748">
        <v>2</v>
      </c>
      <c r="J313" s="748">
        <v>2</v>
      </c>
      <c r="K313" s="748">
        <v>2</v>
      </c>
      <c r="L313" s="748">
        <v>2</v>
      </c>
      <c r="M313" s="748">
        <v>2</v>
      </c>
    </row>
    <row r="314" spans="1:13">
      <c r="A314" s="744">
        <v>0.6</v>
      </c>
      <c r="B314" s="748">
        <v>1.9177</v>
      </c>
      <c r="C314" s="748">
        <v>1.9177</v>
      </c>
      <c r="D314" s="748">
        <v>2.0024999999999999</v>
      </c>
      <c r="E314" s="748">
        <v>2.0024999999999999</v>
      </c>
      <c r="F314" s="748">
        <v>2.0024999999999999</v>
      </c>
      <c r="G314" s="748">
        <v>1.853</v>
      </c>
      <c r="H314" s="748">
        <v>1.853</v>
      </c>
      <c r="I314" s="748">
        <v>1.6667000000000001</v>
      </c>
      <c r="J314" s="748">
        <v>1.6667000000000001</v>
      </c>
      <c r="K314" s="748">
        <v>1.6667000000000001</v>
      </c>
      <c r="L314" s="748">
        <v>1.6667000000000001</v>
      </c>
      <c r="M314" s="748">
        <v>1.6667000000000001</v>
      </c>
    </row>
    <row r="315" spans="1:13">
      <c r="A315" s="744">
        <v>0.7</v>
      </c>
      <c r="B315" s="748">
        <v>1.6436999999999999</v>
      </c>
      <c r="C315" s="748">
        <v>1.6436999999999999</v>
      </c>
      <c r="D315" s="748">
        <v>1.7163999999999999</v>
      </c>
      <c r="E315" s="748">
        <v>1.7163999999999999</v>
      </c>
      <c r="F315" s="748">
        <v>1.7163999999999999</v>
      </c>
      <c r="G315" s="748">
        <v>1.5883</v>
      </c>
      <c r="H315" s="748">
        <v>1.5883</v>
      </c>
      <c r="I315" s="748">
        <v>1.4286000000000001</v>
      </c>
      <c r="J315" s="748">
        <v>1.4286000000000001</v>
      </c>
      <c r="K315" s="748">
        <v>1.4286000000000001</v>
      </c>
      <c r="L315" s="748">
        <v>1.4286000000000001</v>
      </c>
      <c r="M315" s="748">
        <v>1.4286000000000001</v>
      </c>
    </row>
    <row r="316" spans="1:13">
      <c r="A316" s="744">
        <v>0.8</v>
      </c>
      <c r="B316" s="748">
        <v>1.4382999999999999</v>
      </c>
      <c r="C316" s="748">
        <v>1.4382999999999999</v>
      </c>
      <c r="D316" s="748">
        <v>1.5019</v>
      </c>
      <c r="E316" s="748">
        <v>1.5019</v>
      </c>
      <c r="F316" s="748">
        <v>1.5019</v>
      </c>
      <c r="G316" s="748">
        <v>1.3897999999999999</v>
      </c>
      <c r="H316" s="748">
        <v>1.3897999999999999</v>
      </c>
      <c r="I316" s="748">
        <v>1.25</v>
      </c>
      <c r="J316" s="748">
        <v>1.25</v>
      </c>
      <c r="K316" s="748">
        <v>1.25</v>
      </c>
      <c r="L316" s="748">
        <v>1.25</v>
      </c>
      <c r="M316" s="748">
        <v>1.25</v>
      </c>
    </row>
    <row r="317" spans="1:13">
      <c r="A317" s="744">
        <v>0.9</v>
      </c>
      <c r="B317" s="748">
        <v>1.2784</v>
      </c>
      <c r="C317" s="748">
        <v>1.2784</v>
      </c>
      <c r="D317" s="748">
        <v>1.335</v>
      </c>
      <c r="E317" s="748">
        <v>1.335</v>
      </c>
      <c r="F317" s="748">
        <v>1.335</v>
      </c>
      <c r="G317" s="748">
        <v>1.2353000000000001</v>
      </c>
      <c r="H317" s="748">
        <v>1.2353000000000001</v>
      </c>
      <c r="I317" s="748">
        <v>1.1111</v>
      </c>
      <c r="J317" s="748">
        <v>1.1111</v>
      </c>
      <c r="K317" s="748">
        <v>1.1111</v>
      </c>
      <c r="L317" s="748">
        <v>1.1111</v>
      </c>
      <c r="M317" s="748">
        <v>1.1111</v>
      </c>
    </row>
    <row r="318" spans="1:13">
      <c r="A318" s="744">
        <v>1</v>
      </c>
      <c r="B318" s="748">
        <v>1.1506000000000001</v>
      </c>
      <c r="C318" s="748">
        <v>1.1506000000000001</v>
      </c>
      <c r="D318" s="748">
        <v>1.2015</v>
      </c>
      <c r="E318" s="748">
        <v>1.2015</v>
      </c>
      <c r="F318" s="748">
        <v>1.2015</v>
      </c>
      <c r="G318" s="748">
        <v>1.1117999999999999</v>
      </c>
      <c r="H318" s="748">
        <v>1.1117999999999999</v>
      </c>
      <c r="I318" s="748">
        <v>1</v>
      </c>
      <c r="J318" s="748">
        <v>1</v>
      </c>
      <c r="K318" s="748">
        <v>1</v>
      </c>
      <c r="L318" s="748">
        <v>1</v>
      </c>
      <c r="M318" s="748">
        <v>1</v>
      </c>
    </row>
    <row r="319" spans="1:13">
      <c r="A319" s="744">
        <v>1.1000000000000001</v>
      </c>
      <c r="B319" s="748">
        <v>1.1158999999999999</v>
      </c>
      <c r="C319" s="748">
        <v>1.1158999999999999</v>
      </c>
      <c r="D319" s="748">
        <v>1.1440999999999999</v>
      </c>
      <c r="E319" s="748">
        <v>1.1440999999999999</v>
      </c>
      <c r="F319" s="748">
        <v>1.1440999999999999</v>
      </c>
      <c r="G319" s="748">
        <v>1.0492999999999999</v>
      </c>
      <c r="H319" s="748">
        <v>1.0492999999999999</v>
      </c>
      <c r="I319" s="748">
        <v>0.93730000000000002</v>
      </c>
      <c r="J319" s="748">
        <v>0.93730000000000002</v>
      </c>
      <c r="K319" s="748">
        <v>0.93730000000000002</v>
      </c>
      <c r="L319" s="748">
        <v>0.93730000000000002</v>
      </c>
      <c r="M319" s="748">
        <v>0.93730000000000002</v>
      </c>
    </row>
    <row r="320" spans="1:13">
      <c r="A320" s="744">
        <v>1.2</v>
      </c>
      <c r="B320" s="748">
        <v>1.0837000000000001</v>
      </c>
      <c r="C320" s="748">
        <v>1.0837000000000001</v>
      </c>
      <c r="D320" s="748">
        <v>1.0972999999999999</v>
      </c>
      <c r="E320" s="748">
        <v>1.0972999999999999</v>
      </c>
      <c r="F320" s="748">
        <v>1.0972999999999999</v>
      </c>
      <c r="G320" s="748">
        <v>1</v>
      </c>
      <c r="H320" s="748">
        <v>1</v>
      </c>
      <c r="I320" s="748">
        <v>0.88890000000000002</v>
      </c>
      <c r="J320" s="748">
        <v>0.88890000000000002</v>
      </c>
      <c r="K320" s="748">
        <v>0.88890000000000002</v>
      </c>
      <c r="L320" s="748">
        <v>0.88890000000000002</v>
      </c>
      <c r="M320" s="748">
        <v>0.88890000000000002</v>
      </c>
    </row>
    <row r="321" spans="1:13">
      <c r="A321" s="744">
        <v>1.3</v>
      </c>
      <c r="B321" s="748">
        <v>1.0538000000000001</v>
      </c>
      <c r="C321" s="748">
        <v>1.0538000000000001</v>
      </c>
      <c r="D321" s="748">
        <v>1.0589999999999999</v>
      </c>
      <c r="E321" s="748">
        <v>1.0589999999999999</v>
      </c>
      <c r="F321" s="748">
        <v>1.0589999999999999</v>
      </c>
      <c r="G321" s="748">
        <v>0.96140000000000003</v>
      </c>
      <c r="H321" s="748">
        <v>0.96140000000000003</v>
      </c>
      <c r="I321" s="748">
        <v>0.85209999999999997</v>
      </c>
      <c r="J321" s="748">
        <v>0.85209999999999997</v>
      </c>
      <c r="K321" s="748">
        <v>0.85209999999999997</v>
      </c>
      <c r="L321" s="748">
        <v>0.85209999999999997</v>
      </c>
      <c r="M321" s="748">
        <v>0.85209999999999997</v>
      </c>
    </row>
    <row r="322" spans="1:13">
      <c r="A322" s="744">
        <v>1.4</v>
      </c>
      <c r="B322" s="748">
        <v>1.026</v>
      </c>
      <c r="C322" s="748">
        <v>1.026</v>
      </c>
      <c r="D322" s="748">
        <v>1.0271999999999999</v>
      </c>
      <c r="E322" s="748">
        <v>1.0271999999999999</v>
      </c>
      <c r="F322" s="748">
        <v>1.0271999999999999</v>
      </c>
      <c r="G322" s="748">
        <v>0.93079999999999996</v>
      </c>
      <c r="H322" s="748">
        <v>0.93079999999999996</v>
      </c>
      <c r="I322" s="748">
        <v>0.82379999999999998</v>
      </c>
      <c r="J322" s="748">
        <v>0.82379999999999998</v>
      </c>
      <c r="K322" s="748">
        <v>0.82379999999999998</v>
      </c>
      <c r="L322" s="748">
        <v>0.82379999999999998</v>
      </c>
      <c r="M322" s="748">
        <v>0.82379999999999998</v>
      </c>
    </row>
    <row r="323" spans="1:13">
      <c r="A323" s="744">
        <v>1.5</v>
      </c>
      <c r="B323" s="748">
        <v>1</v>
      </c>
      <c r="C323" s="748">
        <v>1</v>
      </c>
      <c r="D323" s="748">
        <v>1</v>
      </c>
      <c r="E323" s="748">
        <v>1</v>
      </c>
      <c r="F323" s="748">
        <v>1</v>
      </c>
      <c r="G323" s="748">
        <v>0.90559999999999996</v>
      </c>
      <c r="H323" s="748">
        <v>0.90559999999999996</v>
      </c>
      <c r="I323" s="748">
        <v>0.80110000000000003</v>
      </c>
      <c r="J323" s="748">
        <v>0.80110000000000003</v>
      </c>
      <c r="K323" s="748">
        <v>0.80110000000000003</v>
      </c>
      <c r="L323" s="748">
        <v>0.80110000000000003</v>
      </c>
      <c r="M323" s="748">
        <v>0.80110000000000003</v>
      </c>
    </row>
    <row r="324" spans="1:13">
      <c r="A324" s="744">
        <v>1.6</v>
      </c>
      <c r="B324" s="748">
        <v>0.97570000000000001</v>
      </c>
      <c r="C324" s="748">
        <v>0.97570000000000001</v>
      </c>
      <c r="D324" s="748">
        <v>0.97519999999999996</v>
      </c>
      <c r="E324" s="748">
        <v>0.97519999999999996</v>
      </c>
      <c r="F324" s="748">
        <v>0.97519999999999996</v>
      </c>
      <c r="G324" s="748">
        <v>0.8831</v>
      </c>
      <c r="H324" s="748">
        <v>0.8831</v>
      </c>
      <c r="I324" s="748">
        <v>0.78100000000000003</v>
      </c>
      <c r="J324" s="748">
        <v>0.78100000000000003</v>
      </c>
      <c r="K324" s="748">
        <v>0.78100000000000003</v>
      </c>
      <c r="L324" s="748">
        <v>0.78100000000000003</v>
      </c>
      <c r="M324" s="748">
        <v>0.78100000000000003</v>
      </c>
    </row>
    <row r="325" spans="1:13">
      <c r="A325" s="744">
        <v>1.7</v>
      </c>
      <c r="B325" s="748">
        <v>0.95289999999999997</v>
      </c>
      <c r="C325" s="748">
        <v>0.95289999999999997</v>
      </c>
      <c r="D325" s="748">
        <v>0.95189999999999997</v>
      </c>
      <c r="E325" s="748">
        <v>0.95189999999999997</v>
      </c>
      <c r="F325" s="748">
        <v>0.95189999999999997</v>
      </c>
      <c r="G325" s="748">
        <v>0.86180000000000001</v>
      </c>
      <c r="H325" s="748">
        <v>0.86180000000000001</v>
      </c>
      <c r="I325" s="748">
        <v>0.7621</v>
      </c>
      <c r="J325" s="748">
        <v>0.7621</v>
      </c>
      <c r="K325" s="748">
        <v>0.7621</v>
      </c>
      <c r="L325" s="748">
        <v>0.7621</v>
      </c>
      <c r="M325" s="748">
        <v>0.7621</v>
      </c>
    </row>
    <row r="326" spans="1:13">
      <c r="A326" s="744">
        <v>1.8</v>
      </c>
      <c r="B326" s="748">
        <v>0.93149999999999999</v>
      </c>
      <c r="C326" s="748">
        <v>0.93149999999999999</v>
      </c>
      <c r="D326" s="748">
        <v>0.93</v>
      </c>
      <c r="E326" s="748">
        <v>0.93</v>
      </c>
      <c r="F326" s="748">
        <v>0.93</v>
      </c>
      <c r="G326" s="748">
        <v>0.84179999999999999</v>
      </c>
      <c r="H326" s="748">
        <v>0.84179999999999999</v>
      </c>
      <c r="I326" s="748">
        <v>0.74419999999999997</v>
      </c>
      <c r="J326" s="748">
        <v>0.74419999999999997</v>
      </c>
      <c r="K326" s="748">
        <v>0.74419999999999997</v>
      </c>
      <c r="L326" s="748">
        <v>0.74419999999999997</v>
      </c>
      <c r="M326" s="748">
        <v>0.74419999999999997</v>
      </c>
    </row>
    <row r="327" spans="1:13">
      <c r="A327" s="744">
        <v>1.9</v>
      </c>
      <c r="B327" s="748">
        <v>0.91139999999999999</v>
      </c>
      <c r="C327" s="748">
        <v>0.91139999999999999</v>
      </c>
      <c r="D327" s="748">
        <v>0.90939999999999999</v>
      </c>
      <c r="E327" s="748">
        <v>0.90939999999999999</v>
      </c>
      <c r="F327" s="748">
        <v>0.90939999999999999</v>
      </c>
      <c r="G327" s="748">
        <v>0.82289999999999996</v>
      </c>
      <c r="H327" s="748">
        <v>0.82289999999999996</v>
      </c>
      <c r="I327" s="748">
        <v>0.72740000000000005</v>
      </c>
      <c r="J327" s="748">
        <v>0.72740000000000005</v>
      </c>
      <c r="K327" s="748">
        <v>0.72740000000000005</v>
      </c>
      <c r="L327" s="748">
        <v>0.72740000000000005</v>
      </c>
      <c r="M327" s="748">
        <v>0.72740000000000005</v>
      </c>
    </row>
    <row r="328" spans="1:13">
      <c r="A328" s="744">
        <v>2</v>
      </c>
      <c r="B328" s="748">
        <v>0.89270000000000005</v>
      </c>
      <c r="C328" s="748">
        <v>0.89270000000000005</v>
      </c>
      <c r="D328" s="748">
        <v>0.8901</v>
      </c>
      <c r="E328" s="748">
        <v>0.8901</v>
      </c>
      <c r="F328" s="748">
        <v>0.8901</v>
      </c>
      <c r="G328" s="748">
        <v>0.80530000000000002</v>
      </c>
      <c r="H328" s="748">
        <v>0.80530000000000002</v>
      </c>
      <c r="I328" s="748">
        <v>0.71160000000000001</v>
      </c>
      <c r="J328" s="748">
        <v>0.71160000000000001</v>
      </c>
      <c r="K328" s="748">
        <v>0.71160000000000001</v>
      </c>
      <c r="L328" s="748">
        <v>0.71160000000000001</v>
      </c>
      <c r="M328" s="748">
        <v>0.71160000000000001</v>
      </c>
    </row>
    <row r="329" spans="1:13">
      <c r="A329" s="750">
        <v>2.1</v>
      </c>
      <c r="B329" s="748">
        <v>0.87519999999999998</v>
      </c>
      <c r="C329" s="748">
        <v>0.87519999999999998</v>
      </c>
      <c r="D329" s="748">
        <v>0.872</v>
      </c>
      <c r="E329" s="748">
        <v>0.872</v>
      </c>
      <c r="F329" s="748">
        <v>0.872</v>
      </c>
      <c r="G329" s="748">
        <v>0.78869999999999996</v>
      </c>
      <c r="H329" s="748">
        <v>0.78869999999999996</v>
      </c>
      <c r="I329" s="748">
        <v>0.69669999999999999</v>
      </c>
      <c r="J329" s="748">
        <v>0.69669999999999999</v>
      </c>
      <c r="K329" s="748">
        <v>0.69669999999999999</v>
      </c>
      <c r="L329" s="748">
        <v>0.69669999999999999</v>
      </c>
      <c r="M329" s="748">
        <v>0.69669999999999999</v>
      </c>
    </row>
    <row r="330" spans="1:13">
      <c r="A330" s="750">
        <v>2.2000000000000002</v>
      </c>
      <c r="B330" s="748">
        <v>0.85880000000000001</v>
      </c>
      <c r="C330" s="748">
        <v>0.85880000000000001</v>
      </c>
      <c r="D330" s="748">
        <v>0.85499999999999998</v>
      </c>
      <c r="E330" s="748">
        <v>0.85499999999999998</v>
      </c>
      <c r="F330" s="748">
        <v>0.85499999999999998</v>
      </c>
      <c r="G330" s="748">
        <v>0.77300000000000002</v>
      </c>
      <c r="H330" s="748">
        <v>0.77300000000000002</v>
      </c>
      <c r="I330" s="748">
        <v>0.68269999999999997</v>
      </c>
      <c r="J330" s="748">
        <v>0.68269999999999997</v>
      </c>
      <c r="K330" s="748">
        <v>0.68269999999999997</v>
      </c>
      <c r="L330" s="748">
        <v>0.68269999999999997</v>
      </c>
      <c r="M330" s="748">
        <v>0.68269999999999997</v>
      </c>
    </row>
    <row r="331" spans="1:13">
      <c r="A331" s="750">
        <v>2.2999999999999998</v>
      </c>
      <c r="B331" s="748">
        <v>0.84360000000000002</v>
      </c>
      <c r="C331" s="748">
        <v>0.84360000000000002</v>
      </c>
      <c r="D331" s="748">
        <v>0.83899999999999997</v>
      </c>
      <c r="E331" s="748">
        <v>0.83899999999999997</v>
      </c>
      <c r="F331" s="748">
        <v>0.83899999999999997</v>
      </c>
      <c r="G331" s="748">
        <v>0.75839999999999996</v>
      </c>
      <c r="H331" s="748">
        <v>0.75839999999999996</v>
      </c>
      <c r="I331" s="748">
        <v>0.66949999999999998</v>
      </c>
      <c r="J331" s="748">
        <v>0.66949999999999998</v>
      </c>
      <c r="K331" s="748">
        <v>0.66949999999999998</v>
      </c>
      <c r="L331" s="748">
        <v>0.66949999999999998</v>
      </c>
      <c r="M331" s="748">
        <v>0.66949999999999998</v>
      </c>
    </row>
    <row r="332" spans="1:13">
      <c r="A332" s="750">
        <v>2.4</v>
      </c>
      <c r="B332" s="748">
        <v>0.82940000000000003</v>
      </c>
      <c r="C332" s="748">
        <v>0.82940000000000003</v>
      </c>
      <c r="D332" s="748">
        <v>0.82410000000000005</v>
      </c>
      <c r="E332" s="748">
        <v>0.82410000000000005</v>
      </c>
      <c r="F332" s="748">
        <v>0.82410000000000005</v>
      </c>
      <c r="G332" s="748">
        <v>0.74460000000000004</v>
      </c>
      <c r="H332" s="748">
        <v>0.74460000000000004</v>
      </c>
      <c r="I332" s="748">
        <v>0.65710000000000002</v>
      </c>
      <c r="J332" s="748">
        <v>0.65710000000000002</v>
      </c>
      <c r="K332" s="748">
        <v>0.65710000000000002</v>
      </c>
      <c r="L332" s="748">
        <v>0.65710000000000002</v>
      </c>
      <c r="M332" s="748">
        <v>0.65710000000000002</v>
      </c>
    </row>
    <row r="333" spans="1:13">
      <c r="A333" s="750">
        <v>2.5</v>
      </c>
      <c r="B333" s="748">
        <v>0.81620000000000004</v>
      </c>
      <c r="C333" s="748">
        <v>0.81620000000000004</v>
      </c>
      <c r="D333" s="748">
        <v>0.81020000000000003</v>
      </c>
      <c r="E333" s="748">
        <v>0.81020000000000003</v>
      </c>
      <c r="F333" s="748">
        <v>0.81020000000000003</v>
      </c>
      <c r="G333" s="748">
        <v>0.73180000000000001</v>
      </c>
      <c r="H333" s="748">
        <v>0.73180000000000001</v>
      </c>
      <c r="I333" s="748">
        <v>0.64549999999999996</v>
      </c>
      <c r="J333" s="748">
        <v>0.64549999999999996</v>
      </c>
      <c r="K333" s="748">
        <v>0.64549999999999996</v>
      </c>
      <c r="L333" s="748">
        <v>0.64549999999999996</v>
      </c>
      <c r="M333" s="748">
        <v>0.64549999999999996</v>
      </c>
    </row>
    <row r="334" spans="1:13">
      <c r="A334" s="750">
        <v>2.6</v>
      </c>
      <c r="B334" s="748">
        <v>0.80389999999999995</v>
      </c>
      <c r="C334" s="748">
        <v>0.80389999999999995</v>
      </c>
      <c r="D334" s="748">
        <v>0.79710000000000003</v>
      </c>
      <c r="E334" s="748">
        <v>0.79710000000000003</v>
      </c>
      <c r="F334" s="748">
        <v>0.79710000000000003</v>
      </c>
      <c r="G334" s="748">
        <v>0.71970000000000001</v>
      </c>
      <c r="H334" s="748">
        <v>0.71970000000000001</v>
      </c>
      <c r="I334" s="748">
        <v>0.63460000000000005</v>
      </c>
      <c r="J334" s="748">
        <v>0.63460000000000005</v>
      </c>
      <c r="K334" s="748">
        <v>0.63460000000000005</v>
      </c>
      <c r="L334" s="748">
        <v>0.63460000000000005</v>
      </c>
      <c r="M334" s="748">
        <v>0.63460000000000005</v>
      </c>
    </row>
    <row r="335" spans="1:13">
      <c r="A335" s="750">
        <v>2.7</v>
      </c>
      <c r="B335" s="748">
        <v>0.79249999999999998</v>
      </c>
      <c r="C335" s="748">
        <v>0.79249999999999998</v>
      </c>
      <c r="D335" s="748">
        <v>0.78490000000000004</v>
      </c>
      <c r="E335" s="748">
        <v>0.78490000000000004</v>
      </c>
      <c r="F335" s="748">
        <v>0.78490000000000004</v>
      </c>
      <c r="G335" s="748">
        <v>0.70840000000000003</v>
      </c>
      <c r="H335" s="748">
        <v>0.70840000000000003</v>
      </c>
      <c r="I335" s="748">
        <v>0.62439999999999996</v>
      </c>
      <c r="J335" s="748">
        <v>0.62439999999999996</v>
      </c>
      <c r="K335" s="748">
        <v>0.62439999999999996</v>
      </c>
      <c r="L335" s="748">
        <v>0.62439999999999996</v>
      </c>
      <c r="M335" s="748">
        <v>0.62439999999999996</v>
      </c>
    </row>
    <row r="336" spans="1:13">
      <c r="A336" s="750">
        <v>2.8</v>
      </c>
      <c r="B336" s="748">
        <v>0.78190000000000004</v>
      </c>
      <c r="C336" s="748">
        <v>0.78190000000000004</v>
      </c>
      <c r="D336" s="748">
        <v>0.77359999999999995</v>
      </c>
      <c r="E336" s="748">
        <v>0.77359999999999995</v>
      </c>
      <c r="F336" s="748">
        <v>0.77359999999999995</v>
      </c>
      <c r="G336" s="748">
        <v>0.69789999999999996</v>
      </c>
      <c r="H336" s="748">
        <v>0.69789999999999996</v>
      </c>
      <c r="I336" s="748">
        <v>0.61480000000000001</v>
      </c>
      <c r="J336" s="748">
        <v>0.61480000000000001</v>
      </c>
      <c r="K336" s="748">
        <v>0.61480000000000001</v>
      </c>
      <c r="L336" s="748">
        <v>0.61480000000000001</v>
      </c>
      <c r="M336" s="748">
        <v>0.61480000000000001</v>
      </c>
    </row>
    <row r="337" spans="1:13">
      <c r="A337" s="750">
        <v>2.9</v>
      </c>
      <c r="B337" s="748">
        <v>0.77210000000000001</v>
      </c>
      <c r="C337" s="748">
        <v>0.77210000000000001</v>
      </c>
      <c r="D337" s="748">
        <v>0.76300000000000001</v>
      </c>
      <c r="E337" s="748">
        <v>0.76300000000000001</v>
      </c>
      <c r="F337" s="748">
        <v>0.76300000000000001</v>
      </c>
      <c r="G337" s="748">
        <v>0.68799999999999994</v>
      </c>
      <c r="H337" s="748">
        <v>0.68799999999999994</v>
      </c>
      <c r="I337" s="748">
        <v>0.60589999999999999</v>
      </c>
      <c r="J337" s="748">
        <v>0.60589999999999999</v>
      </c>
      <c r="K337" s="748">
        <v>0.60589999999999999</v>
      </c>
      <c r="L337" s="748">
        <v>0.60589999999999999</v>
      </c>
      <c r="M337" s="748">
        <v>0.60589999999999999</v>
      </c>
    </row>
    <row r="338" spans="1:13">
      <c r="A338" s="750">
        <v>3</v>
      </c>
      <c r="B338" s="748">
        <v>0.7631</v>
      </c>
      <c r="C338" s="748">
        <v>0.7631</v>
      </c>
      <c r="D338" s="748">
        <v>0.75309999999999999</v>
      </c>
      <c r="E338" s="748">
        <v>0.75309999999999999</v>
      </c>
      <c r="F338" s="748">
        <v>0.75309999999999999</v>
      </c>
      <c r="G338" s="748">
        <v>0.67879999999999996</v>
      </c>
      <c r="H338" s="748">
        <v>0.67879999999999996</v>
      </c>
      <c r="I338" s="748">
        <v>0.59750000000000003</v>
      </c>
      <c r="J338" s="748">
        <v>0.59750000000000003</v>
      </c>
      <c r="K338" s="748">
        <v>0.59750000000000003</v>
      </c>
      <c r="L338" s="748">
        <v>0.59750000000000003</v>
      </c>
      <c r="M338" s="748">
        <v>0.59750000000000003</v>
      </c>
    </row>
    <row r="339" spans="1:13">
      <c r="A339" s="750">
        <v>3.1</v>
      </c>
      <c r="B339" s="748">
        <v>0.75470000000000004</v>
      </c>
      <c r="C339" s="748">
        <v>0.75470000000000004</v>
      </c>
      <c r="D339" s="748">
        <v>0.74399999999999999</v>
      </c>
      <c r="E339" s="748">
        <v>0.74399999999999999</v>
      </c>
      <c r="F339" s="748">
        <v>0.74399999999999999</v>
      </c>
      <c r="G339" s="748">
        <v>0.67020000000000002</v>
      </c>
      <c r="H339" s="748">
        <v>0.67020000000000002</v>
      </c>
      <c r="I339" s="748">
        <v>0.5897</v>
      </c>
      <c r="J339" s="748">
        <v>0.5897</v>
      </c>
      <c r="K339" s="748">
        <v>0.5897</v>
      </c>
      <c r="L339" s="748">
        <v>0.5897</v>
      </c>
      <c r="M339" s="748">
        <v>0.5897</v>
      </c>
    </row>
    <row r="340" spans="1:13">
      <c r="A340" s="750">
        <v>3.2</v>
      </c>
      <c r="B340" s="748">
        <v>0.747</v>
      </c>
      <c r="C340" s="748">
        <v>0.747</v>
      </c>
      <c r="D340" s="748">
        <v>0.73540000000000005</v>
      </c>
      <c r="E340" s="748">
        <v>0.73540000000000005</v>
      </c>
      <c r="F340" s="748">
        <v>0.73540000000000005</v>
      </c>
      <c r="G340" s="748">
        <v>0.66220000000000001</v>
      </c>
      <c r="H340" s="748">
        <v>0.66220000000000001</v>
      </c>
      <c r="I340" s="748">
        <v>0.58230000000000004</v>
      </c>
      <c r="J340" s="748">
        <v>0.58230000000000004</v>
      </c>
      <c r="K340" s="748">
        <v>0.58230000000000004</v>
      </c>
      <c r="L340" s="748">
        <v>0.58230000000000004</v>
      </c>
      <c r="M340" s="748">
        <v>0.58230000000000004</v>
      </c>
    </row>
    <row r="341" spans="1:13">
      <c r="A341" s="750">
        <v>3.3</v>
      </c>
      <c r="B341" s="748">
        <v>0.7399</v>
      </c>
      <c r="C341" s="748">
        <v>0.7399</v>
      </c>
      <c r="D341" s="748">
        <v>0.72750000000000004</v>
      </c>
      <c r="E341" s="748">
        <v>0.72750000000000004</v>
      </c>
      <c r="F341" s="748">
        <v>0.72750000000000004</v>
      </c>
      <c r="G341" s="748">
        <v>0.65480000000000005</v>
      </c>
      <c r="H341" s="748">
        <v>0.65480000000000005</v>
      </c>
      <c r="I341" s="748">
        <v>0.57540000000000002</v>
      </c>
      <c r="J341" s="748">
        <v>0.57540000000000002</v>
      </c>
      <c r="K341" s="748">
        <v>0.57540000000000002</v>
      </c>
      <c r="L341" s="748">
        <v>0.57540000000000002</v>
      </c>
      <c r="M341" s="748">
        <v>0.57540000000000002</v>
      </c>
    </row>
    <row r="342" spans="1:13">
      <c r="A342" s="750">
        <v>3.4</v>
      </c>
      <c r="B342" s="748">
        <v>0.73340000000000005</v>
      </c>
      <c r="C342" s="748">
        <v>0.73340000000000005</v>
      </c>
      <c r="D342" s="748">
        <v>0.72009999999999996</v>
      </c>
      <c r="E342" s="748">
        <v>0.72009999999999996</v>
      </c>
      <c r="F342" s="748">
        <v>0.72009999999999996</v>
      </c>
      <c r="G342" s="748">
        <v>0.64780000000000004</v>
      </c>
      <c r="H342" s="748">
        <v>0.64780000000000004</v>
      </c>
      <c r="I342" s="748">
        <v>0.56899999999999995</v>
      </c>
      <c r="J342" s="748">
        <v>0.56899999999999995</v>
      </c>
      <c r="K342" s="748">
        <v>0.56899999999999995</v>
      </c>
      <c r="L342" s="748">
        <v>0.56899999999999995</v>
      </c>
      <c r="M342" s="748">
        <v>0.56899999999999995</v>
      </c>
    </row>
    <row r="343" spans="1:13">
      <c r="A343" s="750">
        <v>3.5</v>
      </c>
      <c r="B343" s="748">
        <v>0.72740000000000005</v>
      </c>
      <c r="C343" s="748">
        <v>0.72740000000000005</v>
      </c>
      <c r="D343" s="748">
        <v>0.71330000000000005</v>
      </c>
      <c r="E343" s="748">
        <v>0.71330000000000005</v>
      </c>
      <c r="F343" s="748">
        <v>0.71330000000000005</v>
      </c>
      <c r="G343" s="748">
        <v>0.64129999999999998</v>
      </c>
      <c r="H343" s="748">
        <v>0.64129999999999998</v>
      </c>
      <c r="I343" s="748">
        <v>0.56310000000000004</v>
      </c>
      <c r="J343" s="748">
        <v>0.56310000000000004</v>
      </c>
      <c r="K343" s="748">
        <v>0.56310000000000004</v>
      </c>
      <c r="L343" s="748">
        <v>0.56310000000000004</v>
      </c>
      <c r="M343" s="748">
        <v>0.56310000000000004</v>
      </c>
    </row>
    <row r="344" spans="1:13">
      <c r="A344" s="750">
        <v>3.6</v>
      </c>
      <c r="B344" s="748">
        <v>0.72189999999999999</v>
      </c>
      <c r="C344" s="748">
        <v>0.72189999999999999</v>
      </c>
      <c r="D344" s="748">
        <v>0.70699999999999996</v>
      </c>
      <c r="E344" s="748">
        <v>0.70699999999999996</v>
      </c>
      <c r="F344" s="748">
        <v>0.70699999999999996</v>
      </c>
      <c r="G344" s="748">
        <v>0.63529999999999998</v>
      </c>
      <c r="H344" s="748">
        <v>0.63529999999999998</v>
      </c>
      <c r="I344" s="748">
        <v>0.5575</v>
      </c>
      <c r="J344" s="748">
        <v>0.5575</v>
      </c>
      <c r="K344" s="748">
        <v>0.5575</v>
      </c>
      <c r="L344" s="748">
        <v>0.5575</v>
      </c>
      <c r="M344" s="748">
        <v>0.5575</v>
      </c>
    </row>
    <row r="345" spans="1:13">
      <c r="A345" s="750">
        <v>3.7</v>
      </c>
      <c r="B345" s="748">
        <v>0.71679999999999999</v>
      </c>
      <c r="C345" s="748">
        <v>0.71679999999999999</v>
      </c>
      <c r="D345" s="748">
        <v>0.70109999999999995</v>
      </c>
      <c r="E345" s="748">
        <v>0.70109999999999995</v>
      </c>
      <c r="F345" s="748">
        <v>0.70109999999999995</v>
      </c>
      <c r="G345" s="748">
        <v>0.62970000000000004</v>
      </c>
      <c r="H345" s="748">
        <v>0.62970000000000004</v>
      </c>
      <c r="I345" s="748">
        <v>0.55230000000000001</v>
      </c>
      <c r="J345" s="748">
        <v>0.55230000000000001</v>
      </c>
      <c r="K345" s="748">
        <v>0.55230000000000001</v>
      </c>
      <c r="L345" s="748">
        <v>0.55230000000000001</v>
      </c>
      <c r="M345" s="748">
        <v>0.55230000000000001</v>
      </c>
    </row>
    <row r="346" spans="1:13">
      <c r="A346" s="750">
        <v>3.8</v>
      </c>
      <c r="B346" s="748">
        <v>0.71220000000000006</v>
      </c>
      <c r="C346" s="748">
        <v>0.71220000000000006</v>
      </c>
      <c r="D346" s="748">
        <v>0.6956</v>
      </c>
      <c r="E346" s="748">
        <v>0.6956</v>
      </c>
      <c r="F346" s="748">
        <v>0.6956</v>
      </c>
      <c r="G346" s="748">
        <v>0.62439999999999996</v>
      </c>
      <c r="H346" s="748">
        <v>0.62439999999999996</v>
      </c>
      <c r="I346" s="748">
        <v>0.5474</v>
      </c>
      <c r="J346" s="748">
        <v>0.5474</v>
      </c>
      <c r="K346" s="748">
        <v>0.5474</v>
      </c>
      <c r="L346" s="748">
        <v>0.5474</v>
      </c>
      <c r="M346" s="748">
        <v>0.5474</v>
      </c>
    </row>
    <row r="347" spans="1:13">
      <c r="A347" s="750">
        <v>3.9</v>
      </c>
      <c r="B347" s="748">
        <v>0.70799999999999996</v>
      </c>
      <c r="C347" s="748">
        <v>0.70799999999999996</v>
      </c>
      <c r="D347" s="748">
        <v>0.69059999999999999</v>
      </c>
      <c r="E347" s="748">
        <v>0.69059999999999999</v>
      </c>
      <c r="F347" s="748">
        <v>0.69059999999999999</v>
      </c>
      <c r="G347" s="748">
        <v>0.61950000000000005</v>
      </c>
      <c r="H347" s="748">
        <v>0.61950000000000005</v>
      </c>
      <c r="I347" s="748">
        <v>0.54279999999999995</v>
      </c>
      <c r="J347" s="748">
        <v>0.54279999999999995</v>
      </c>
      <c r="K347" s="748">
        <v>0.54279999999999995</v>
      </c>
      <c r="L347" s="748">
        <v>0.54279999999999995</v>
      </c>
      <c r="M347" s="748">
        <v>0.54279999999999995</v>
      </c>
    </row>
    <row r="348" spans="1:13">
      <c r="A348" s="750">
        <v>4</v>
      </c>
      <c r="B348" s="748">
        <v>0.70409999999999995</v>
      </c>
      <c r="C348" s="748">
        <v>0.70409999999999995</v>
      </c>
      <c r="D348" s="748">
        <v>0.68589999999999995</v>
      </c>
      <c r="E348" s="748">
        <v>0.68589999999999995</v>
      </c>
      <c r="F348" s="748">
        <v>0.68589999999999995</v>
      </c>
      <c r="G348" s="748">
        <v>0.61499999999999999</v>
      </c>
      <c r="H348" s="748">
        <v>0.61499999999999999</v>
      </c>
      <c r="I348" s="748">
        <v>0.53859999999999997</v>
      </c>
      <c r="J348" s="748">
        <v>0.53859999999999997</v>
      </c>
      <c r="K348" s="748">
        <v>0.53859999999999997</v>
      </c>
      <c r="L348" s="748">
        <v>0.53859999999999997</v>
      </c>
      <c r="M348" s="748">
        <v>0.53859999999999997</v>
      </c>
    </row>
    <row r="349" spans="1:13">
      <c r="A349" s="750">
        <v>4.0999999999999996</v>
      </c>
      <c r="B349" s="748">
        <v>0.7006</v>
      </c>
      <c r="C349" s="748">
        <v>0.7006</v>
      </c>
      <c r="D349" s="748">
        <v>0.68159999999999998</v>
      </c>
      <c r="E349" s="748">
        <v>0.68159999999999998</v>
      </c>
      <c r="F349" s="748">
        <v>0.68159999999999998</v>
      </c>
      <c r="G349" s="748">
        <v>0.61080000000000001</v>
      </c>
      <c r="H349" s="748">
        <v>0.61080000000000001</v>
      </c>
      <c r="I349" s="748">
        <v>0.53459999999999996</v>
      </c>
      <c r="J349" s="748">
        <v>0.53459999999999996</v>
      </c>
      <c r="K349" s="748">
        <v>0.53459999999999996</v>
      </c>
      <c r="L349" s="748">
        <v>0.53459999999999996</v>
      </c>
      <c r="M349" s="748">
        <v>0.53459999999999996</v>
      </c>
    </row>
    <row r="350" spans="1:13">
      <c r="A350" s="750">
        <v>4.2</v>
      </c>
      <c r="B350" s="748">
        <v>0.69740000000000002</v>
      </c>
      <c r="C350" s="748">
        <v>0.69740000000000002</v>
      </c>
      <c r="D350" s="748">
        <v>0.67759999999999998</v>
      </c>
      <c r="E350" s="748">
        <v>0.67759999999999998</v>
      </c>
      <c r="F350" s="748">
        <v>0.67759999999999998</v>
      </c>
      <c r="G350" s="748">
        <v>0.60699999999999998</v>
      </c>
      <c r="H350" s="748">
        <v>0.60699999999999998</v>
      </c>
      <c r="I350" s="748">
        <v>0.53090000000000004</v>
      </c>
      <c r="J350" s="748">
        <v>0.53090000000000004</v>
      </c>
      <c r="K350" s="748">
        <v>0.53090000000000004</v>
      </c>
      <c r="L350" s="748">
        <v>0.53090000000000004</v>
      </c>
      <c r="M350" s="748">
        <v>0.53090000000000004</v>
      </c>
    </row>
    <row r="351" spans="1:13">
      <c r="A351" s="750">
        <v>4.3</v>
      </c>
      <c r="B351" s="748">
        <v>0.69450000000000001</v>
      </c>
      <c r="C351" s="748">
        <v>0.69450000000000001</v>
      </c>
      <c r="D351" s="748">
        <v>0.67390000000000005</v>
      </c>
      <c r="E351" s="748">
        <v>0.67390000000000005</v>
      </c>
      <c r="F351" s="748">
        <v>0.67390000000000005</v>
      </c>
      <c r="G351" s="748">
        <v>0.60329999999999995</v>
      </c>
      <c r="H351" s="748">
        <v>0.60329999999999995</v>
      </c>
      <c r="I351" s="748">
        <v>0.52739999999999998</v>
      </c>
      <c r="J351" s="748">
        <v>0.52739999999999998</v>
      </c>
      <c r="K351" s="748">
        <v>0.52739999999999998</v>
      </c>
      <c r="L351" s="748">
        <v>0.52739999999999998</v>
      </c>
      <c r="M351" s="748">
        <v>0.52739999999999998</v>
      </c>
    </row>
    <row r="352" spans="1:13">
      <c r="A352" s="750">
        <v>4.4000000000000004</v>
      </c>
      <c r="B352" s="748">
        <v>0.69179999999999997</v>
      </c>
      <c r="C352" s="748">
        <v>0.69179999999999997</v>
      </c>
      <c r="D352" s="748">
        <v>0.67049999999999998</v>
      </c>
      <c r="E352" s="748">
        <v>0.67049999999999998</v>
      </c>
      <c r="F352" s="748">
        <v>0.67049999999999998</v>
      </c>
      <c r="G352" s="748">
        <v>0.59989999999999999</v>
      </c>
      <c r="H352" s="748">
        <v>0.59989999999999999</v>
      </c>
      <c r="I352" s="748">
        <v>0.5242</v>
      </c>
      <c r="J352" s="748">
        <v>0.5242</v>
      </c>
      <c r="K352" s="748">
        <v>0.5242</v>
      </c>
      <c r="L352" s="748">
        <v>0.5242</v>
      </c>
      <c r="M352" s="748">
        <v>0.5242</v>
      </c>
    </row>
    <row r="353" spans="1:13">
      <c r="A353" s="750">
        <v>4.5</v>
      </c>
      <c r="B353" s="748">
        <v>0.68940000000000001</v>
      </c>
      <c r="C353" s="748">
        <v>0.68940000000000001</v>
      </c>
      <c r="D353" s="748">
        <v>0.6673</v>
      </c>
      <c r="E353" s="748">
        <v>0.6673</v>
      </c>
      <c r="F353" s="748">
        <v>0.6673</v>
      </c>
      <c r="G353" s="748">
        <v>0.59670000000000001</v>
      </c>
      <c r="H353" s="748">
        <v>0.59670000000000001</v>
      </c>
      <c r="I353" s="748">
        <v>0.52110000000000001</v>
      </c>
      <c r="J353" s="748">
        <v>0.52110000000000001</v>
      </c>
      <c r="K353" s="748">
        <v>0.52110000000000001</v>
      </c>
      <c r="L353" s="748">
        <v>0.52110000000000001</v>
      </c>
      <c r="M353" s="748">
        <v>0.52110000000000001</v>
      </c>
    </row>
    <row r="354" spans="1:13">
      <c r="A354" s="750">
        <v>4.5999999999999996</v>
      </c>
      <c r="B354" s="748">
        <v>0.68720000000000003</v>
      </c>
      <c r="C354" s="748">
        <v>0.68720000000000003</v>
      </c>
      <c r="D354" s="748">
        <v>0.6643</v>
      </c>
      <c r="E354" s="748">
        <v>0.6643</v>
      </c>
      <c r="F354" s="748">
        <v>0.6643</v>
      </c>
      <c r="G354" s="748">
        <v>0.59379999999999999</v>
      </c>
      <c r="H354" s="748">
        <v>0.59379999999999999</v>
      </c>
      <c r="I354" s="748">
        <v>0.51819999999999999</v>
      </c>
      <c r="J354" s="748">
        <v>0.51819999999999999</v>
      </c>
      <c r="K354" s="748">
        <v>0.51819999999999999</v>
      </c>
      <c r="L354" s="748">
        <v>0.51819999999999999</v>
      </c>
      <c r="M354" s="748">
        <v>0.51819999999999999</v>
      </c>
    </row>
    <row r="355" spans="1:13">
      <c r="A355" s="750">
        <v>4.7</v>
      </c>
      <c r="B355" s="748">
        <v>0.68520000000000003</v>
      </c>
      <c r="C355" s="748">
        <v>0.68520000000000003</v>
      </c>
      <c r="D355" s="748">
        <v>0.66149999999999998</v>
      </c>
      <c r="E355" s="748">
        <v>0.66149999999999998</v>
      </c>
      <c r="F355" s="748">
        <v>0.66149999999999998</v>
      </c>
      <c r="G355" s="748">
        <v>0.59109999999999996</v>
      </c>
      <c r="H355" s="748">
        <v>0.59109999999999996</v>
      </c>
      <c r="I355" s="748">
        <v>0.51559999999999995</v>
      </c>
      <c r="J355" s="748">
        <v>0.51559999999999995</v>
      </c>
      <c r="K355" s="748">
        <v>0.51559999999999995</v>
      </c>
      <c r="L355" s="748">
        <v>0.51559999999999995</v>
      </c>
      <c r="M355" s="748">
        <v>0.51559999999999995</v>
      </c>
    </row>
    <row r="356" spans="1:13">
      <c r="A356" s="750">
        <v>4.8</v>
      </c>
      <c r="B356" s="748">
        <v>0.68340000000000001</v>
      </c>
      <c r="C356" s="748">
        <v>0.68340000000000001</v>
      </c>
      <c r="D356" s="748">
        <v>0.65900000000000003</v>
      </c>
      <c r="E356" s="748">
        <v>0.65900000000000003</v>
      </c>
      <c r="F356" s="748">
        <v>0.65900000000000003</v>
      </c>
      <c r="G356" s="748">
        <v>0.58850000000000002</v>
      </c>
      <c r="H356" s="748">
        <v>0.58850000000000002</v>
      </c>
      <c r="I356" s="748">
        <v>0.51300000000000001</v>
      </c>
      <c r="J356" s="748">
        <v>0.51300000000000001</v>
      </c>
      <c r="K356" s="748">
        <v>0.51300000000000001</v>
      </c>
      <c r="L356" s="748">
        <v>0.51300000000000001</v>
      </c>
      <c r="M356" s="748">
        <v>0.51300000000000001</v>
      </c>
    </row>
    <row r="357" spans="1:13">
      <c r="A357" s="750">
        <v>4.9000000000000004</v>
      </c>
      <c r="B357" s="748">
        <v>0.68179999999999996</v>
      </c>
      <c r="C357" s="748">
        <v>0.68179999999999996</v>
      </c>
      <c r="D357" s="748">
        <v>0.65659999999999996</v>
      </c>
      <c r="E357" s="748">
        <v>0.65659999999999996</v>
      </c>
      <c r="F357" s="748">
        <v>0.65659999999999996</v>
      </c>
      <c r="G357" s="748">
        <v>0.58599999999999997</v>
      </c>
      <c r="H357" s="748">
        <v>0.58599999999999997</v>
      </c>
      <c r="I357" s="748">
        <v>0.51060000000000005</v>
      </c>
      <c r="J357" s="748">
        <v>0.51060000000000005</v>
      </c>
      <c r="K357" s="748">
        <v>0.51060000000000005</v>
      </c>
      <c r="L357" s="748">
        <v>0.51060000000000005</v>
      </c>
      <c r="M357" s="748">
        <v>0.51060000000000005</v>
      </c>
    </row>
    <row r="358" spans="1:13">
      <c r="A358" s="750">
        <v>5</v>
      </c>
      <c r="B358" s="748">
        <v>0.68030000000000002</v>
      </c>
      <c r="C358" s="748">
        <v>0.68030000000000002</v>
      </c>
      <c r="D358" s="748">
        <v>0.65439999999999998</v>
      </c>
      <c r="E358" s="748">
        <v>0.65439999999999998</v>
      </c>
      <c r="F358" s="748">
        <v>0.65439999999999998</v>
      </c>
      <c r="G358" s="748">
        <v>0.58379999999999999</v>
      </c>
      <c r="H358" s="748">
        <v>0.58379999999999999</v>
      </c>
      <c r="I358" s="748">
        <v>0.50839999999999996</v>
      </c>
      <c r="J358" s="748">
        <v>0.50839999999999996</v>
      </c>
      <c r="K358" s="748">
        <v>0.50839999999999996</v>
      </c>
      <c r="L358" s="748">
        <v>0.50839999999999996</v>
      </c>
      <c r="M358" s="748">
        <v>0.50839999999999996</v>
      </c>
    </row>
    <row r="359" spans="1:13">
      <c r="A359" s="744">
        <v>5.0999999999999996</v>
      </c>
      <c r="B359" s="748">
        <v>0.67889999999999995</v>
      </c>
      <c r="C359" s="748">
        <v>0.67889999999999995</v>
      </c>
      <c r="D359" s="748">
        <v>0.65229999999999999</v>
      </c>
      <c r="E359" s="748">
        <v>0.65229999999999999</v>
      </c>
      <c r="F359" s="748">
        <v>0.65229999999999999</v>
      </c>
      <c r="G359" s="748">
        <v>0.58160000000000001</v>
      </c>
      <c r="H359" s="748">
        <v>0.58160000000000001</v>
      </c>
      <c r="I359" s="748">
        <v>0.50629999999999997</v>
      </c>
      <c r="J359" s="748">
        <v>0.50629999999999997</v>
      </c>
      <c r="K359" s="748">
        <v>0.50629999999999997</v>
      </c>
      <c r="L359" s="748">
        <v>0.50629999999999997</v>
      </c>
      <c r="M359" s="748">
        <v>0.50629999999999997</v>
      </c>
    </row>
    <row r="360" spans="1:13">
      <c r="A360" s="744">
        <v>5.2</v>
      </c>
      <c r="B360" s="748">
        <v>0.67749999999999999</v>
      </c>
      <c r="C360" s="748">
        <v>0.67749999999999999</v>
      </c>
      <c r="D360" s="748">
        <v>0.65029999999999999</v>
      </c>
      <c r="E360" s="748">
        <v>0.65029999999999999</v>
      </c>
      <c r="F360" s="748">
        <v>0.65029999999999999</v>
      </c>
      <c r="G360" s="748">
        <v>0.57950000000000002</v>
      </c>
      <c r="H360" s="748">
        <v>0.57950000000000002</v>
      </c>
      <c r="I360" s="748">
        <v>0.50419999999999998</v>
      </c>
      <c r="J360" s="748">
        <v>0.50419999999999998</v>
      </c>
      <c r="K360" s="748">
        <v>0.50419999999999998</v>
      </c>
      <c r="L360" s="748">
        <v>0.50419999999999998</v>
      </c>
      <c r="M360" s="748">
        <v>0.50419999999999998</v>
      </c>
    </row>
    <row r="361" spans="1:13">
      <c r="A361" s="744">
        <v>5.3</v>
      </c>
      <c r="B361" s="748">
        <v>0.67620000000000002</v>
      </c>
      <c r="C361" s="748">
        <v>0.67620000000000002</v>
      </c>
      <c r="D361" s="748">
        <v>0.64839999999999998</v>
      </c>
      <c r="E361" s="748">
        <v>0.64839999999999998</v>
      </c>
      <c r="F361" s="748">
        <v>0.64839999999999998</v>
      </c>
      <c r="G361" s="748">
        <v>0.5776</v>
      </c>
      <c r="H361" s="748">
        <v>0.5776</v>
      </c>
      <c r="I361" s="748">
        <v>0.50229999999999997</v>
      </c>
      <c r="J361" s="748">
        <v>0.50229999999999997</v>
      </c>
      <c r="K361" s="748">
        <v>0.50229999999999997</v>
      </c>
      <c r="L361" s="748">
        <v>0.50229999999999997</v>
      </c>
      <c r="M361" s="748">
        <v>0.50229999999999997</v>
      </c>
    </row>
    <row r="362" spans="1:13">
      <c r="A362" s="744">
        <v>5.4</v>
      </c>
      <c r="B362" s="748">
        <v>0.67500000000000004</v>
      </c>
      <c r="C362" s="748">
        <v>0.67500000000000004</v>
      </c>
      <c r="D362" s="748">
        <v>0.64670000000000005</v>
      </c>
      <c r="E362" s="748">
        <v>0.64670000000000005</v>
      </c>
      <c r="F362" s="748">
        <v>0.64670000000000005</v>
      </c>
      <c r="G362" s="748">
        <v>0.57579999999999998</v>
      </c>
      <c r="H362" s="748">
        <v>0.57579999999999998</v>
      </c>
      <c r="I362" s="748">
        <v>0.50039999999999996</v>
      </c>
      <c r="J362" s="748">
        <v>0.50039999999999996</v>
      </c>
      <c r="K362" s="748">
        <v>0.50039999999999996</v>
      </c>
      <c r="L362" s="748">
        <v>0.50039999999999996</v>
      </c>
      <c r="M362" s="748">
        <v>0.50039999999999996</v>
      </c>
    </row>
    <row r="363" spans="1:13">
      <c r="A363" s="744">
        <v>5.5</v>
      </c>
      <c r="B363" s="748">
        <v>0.67379999999999995</v>
      </c>
      <c r="C363" s="748">
        <v>0.67379999999999995</v>
      </c>
      <c r="D363" s="748">
        <v>0.64500000000000002</v>
      </c>
      <c r="E363" s="748">
        <v>0.64500000000000002</v>
      </c>
      <c r="F363" s="748">
        <v>0.64500000000000002</v>
      </c>
      <c r="G363" s="748">
        <v>0.57399999999999995</v>
      </c>
      <c r="H363" s="748">
        <v>0.57399999999999995</v>
      </c>
      <c r="I363" s="748">
        <v>0.49869999999999998</v>
      </c>
      <c r="J363" s="748">
        <v>0.49869999999999998</v>
      </c>
      <c r="K363" s="748">
        <v>0.49869999999999998</v>
      </c>
      <c r="L363" s="748">
        <v>0.49869999999999998</v>
      </c>
      <c r="M363" s="748">
        <v>0.49869999999999998</v>
      </c>
    </row>
    <row r="364" spans="1:13">
      <c r="A364" s="744">
        <v>5.6</v>
      </c>
      <c r="B364" s="748">
        <v>0.67259999999999998</v>
      </c>
      <c r="C364" s="748">
        <v>0.67259999999999998</v>
      </c>
      <c r="D364" s="748">
        <v>0.64339999999999997</v>
      </c>
      <c r="E364" s="748">
        <v>0.64339999999999997</v>
      </c>
      <c r="F364" s="748">
        <v>0.64339999999999997</v>
      </c>
      <c r="G364" s="748">
        <v>0.57240000000000002</v>
      </c>
      <c r="H364" s="748">
        <v>0.57240000000000002</v>
      </c>
      <c r="I364" s="748">
        <v>0.49690000000000001</v>
      </c>
      <c r="J364" s="748">
        <v>0.49690000000000001</v>
      </c>
      <c r="K364" s="748">
        <v>0.49690000000000001</v>
      </c>
      <c r="L364" s="748">
        <v>0.49690000000000001</v>
      </c>
      <c r="M364" s="748">
        <v>0.49690000000000001</v>
      </c>
    </row>
    <row r="365" spans="1:13">
      <c r="A365" s="750">
        <v>5.7</v>
      </c>
      <c r="B365" s="748">
        <v>0.6714</v>
      </c>
      <c r="C365" s="748">
        <v>0.6714</v>
      </c>
      <c r="D365" s="748">
        <v>0.64190000000000003</v>
      </c>
      <c r="E365" s="748">
        <v>0.64190000000000003</v>
      </c>
      <c r="F365" s="748">
        <v>0.64190000000000003</v>
      </c>
      <c r="G365" s="748">
        <v>0.57069999999999999</v>
      </c>
      <c r="H365" s="748">
        <v>0.57069999999999999</v>
      </c>
      <c r="I365" s="748">
        <v>0.49519999999999997</v>
      </c>
      <c r="J365" s="748">
        <v>0.49519999999999997</v>
      </c>
      <c r="K365" s="748">
        <v>0.49519999999999997</v>
      </c>
      <c r="L365" s="748">
        <v>0.49519999999999997</v>
      </c>
      <c r="M365" s="748">
        <v>0.49519999999999997</v>
      </c>
    </row>
    <row r="366" spans="1:13">
      <c r="A366" s="744">
        <v>5.8</v>
      </c>
      <c r="B366" s="748">
        <v>0.67020000000000002</v>
      </c>
      <c r="C366" s="748">
        <v>0.67020000000000002</v>
      </c>
      <c r="D366" s="748">
        <v>0.64039999999999997</v>
      </c>
      <c r="E366" s="748">
        <v>0.64039999999999997</v>
      </c>
      <c r="F366" s="748">
        <v>0.64039999999999997</v>
      </c>
      <c r="G366" s="748">
        <v>0.56910000000000005</v>
      </c>
      <c r="H366" s="748">
        <v>0.56910000000000005</v>
      </c>
      <c r="I366" s="748">
        <v>0.49359999999999998</v>
      </c>
      <c r="J366" s="748">
        <v>0.49359999999999998</v>
      </c>
      <c r="K366" s="748">
        <v>0.49359999999999998</v>
      </c>
      <c r="L366" s="748">
        <v>0.49359999999999998</v>
      </c>
      <c r="M366" s="748">
        <v>0.49359999999999998</v>
      </c>
    </row>
    <row r="367" spans="1:13">
      <c r="A367" s="744">
        <v>5.9</v>
      </c>
      <c r="B367" s="748">
        <v>0.66910000000000003</v>
      </c>
      <c r="C367" s="748">
        <v>0.66910000000000003</v>
      </c>
      <c r="D367" s="748">
        <v>0.63890000000000002</v>
      </c>
      <c r="E367" s="748">
        <v>0.63890000000000002</v>
      </c>
      <c r="F367" s="748">
        <v>0.63890000000000002</v>
      </c>
      <c r="G367" s="748">
        <v>0.5675</v>
      </c>
      <c r="H367" s="748">
        <v>0.5675</v>
      </c>
      <c r="I367" s="748">
        <v>0.4919</v>
      </c>
      <c r="J367" s="748">
        <v>0.4919</v>
      </c>
      <c r="K367" s="748">
        <v>0.4919</v>
      </c>
      <c r="L367" s="748">
        <v>0.4919</v>
      </c>
      <c r="M367" s="748">
        <v>0.4919</v>
      </c>
    </row>
    <row r="368" spans="1:13">
      <c r="A368" s="744">
        <v>6</v>
      </c>
      <c r="B368" s="748">
        <v>0.66800000000000004</v>
      </c>
      <c r="C368" s="748">
        <v>0.66800000000000004</v>
      </c>
      <c r="D368" s="748">
        <v>0.63739999999999997</v>
      </c>
      <c r="E368" s="748">
        <v>0.63739999999999997</v>
      </c>
      <c r="F368" s="748">
        <v>0.63739999999999997</v>
      </c>
      <c r="G368" s="748">
        <v>0.56589999999999996</v>
      </c>
      <c r="H368" s="748">
        <v>0.56589999999999996</v>
      </c>
      <c r="I368" s="748">
        <v>0.49020000000000002</v>
      </c>
      <c r="J368" s="748">
        <v>0.49020000000000002</v>
      </c>
      <c r="K368" s="748">
        <v>0.49020000000000002</v>
      </c>
      <c r="L368" s="748">
        <v>0.49020000000000002</v>
      </c>
      <c r="M368" s="748">
        <v>0.49020000000000002</v>
      </c>
    </row>
    <row r="369" spans="1:13">
      <c r="A369" s="744">
        <v>6.1</v>
      </c>
      <c r="B369" s="748">
        <v>0.66690000000000005</v>
      </c>
      <c r="C369" s="748">
        <v>0.66690000000000005</v>
      </c>
      <c r="D369" s="748">
        <v>0.63590000000000002</v>
      </c>
      <c r="E369" s="748">
        <v>0.63590000000000002</v>
      </c>
      <c r="F369" s="748">
        <v>0.63590000000000002</v>
      </c>
      <c r="G369" s="748">
        <v>0.56440000000000001</v>
      </c>
      <c r="H369" s="748">
        <v>0.56440000000000001</v>
      </c>
      <c r="I369" s="748">
        <v>0.48849999999999999</v>
      </c>
      <c r="J369" s="748">
        <v>0.48849999999999999</v>
      </c>
      <c r="K369" s="748">
        <v>0.48849999999999999</v>
      </c>
      <c r="L369" s="748">
        <v>0.48849999999999999</v>
      </c>
      <c r="M369" s="748">
        <v>0.48849999999999999</v>
      </c>
    </row>
    <row r="370" spans="1:13">
      <c r="A370" s="744">
        <v>6.2</v>
      </c>
      <c r="B370" s="748">
        <v>0.66579999999999995</v>
      </c>
      <c r="C370" s="748">
        <v>0.66579999999999995</v>
      </c>
      <c r="D370" s="748">
        <v>0.63439999999999996</v>
      </c>
      <c r="E370" s="748">
        <v>0.63439999999999996</v>
      </c>
      <c r="F370" s="748">
        <v>0.63439999999999996</v>
      </c>
      <c r="G370" s="748">
        <v>0.56289999999999996</v>
      </c>
      <c r="H370" s="748">
        <v>0.56289999999999996</v>
      </c>
      <c r="I370" s="748">
        <v>0.48680000000000001</v>
      </c>
      <c r="J370" s="748">
        <v>0.48680000000000001</v>
      </c>
      <c r="K370" s="748">
        <v>0.48680000000000001</v>
      </c>
      <c r="L370" s="748">
        <v>0.48680000000000001</v>
      </c>
      <c r="M370" s="748">
        <v>0.48680000000000001</v>
      </c>
    </row>
    <row r="371" spans="1:13">
      <c r="A371" s="744">
        <v>6.3</v>
      </c>
      <c r="B371" s="748">
        <v>0.66469999999999996</v>
      </c>
      <c r="C371" s="748">
        <v>0.66469999999999996</v>
      </c>
      <c r="D371" s="748">
        <v>0.63290000000000002</v>
      </c>
      <c r="E371" s="748">
        <v>0.63290000000000002</v>
      </c>
      <c r="F371" s="748">
        <v>0.63290000000000002</v>
      </c>
      <c r="G371" s="748">
        <v>0.56130000000000002</v>
      </c>
      <c r="H371" s="748">
        <v>0.56130000000000002</v>
      </c>
      <c r="I371" s="748">
        <v>0.48509999999999998</v>
      </c>
      <c r="J371" s="748">
        <v>0.48509999999999998</v>
      </c>
      <c r="K371" s="748">
        <v>0.48509999999999998</v>
      </c>
      <c r="L371" s="748">
        <v>0.48509999999999998</v>
      </c>
      <c r="M371" s="748">
        <v>0.48509999999999998</v>
      </c>
    </row>
    <row r="372" spans="1:13">
      <c r="A372" s="744">
        <v>6.4</v>
      </c>
      <c r="B372" s="748">
        <v>0.66359999999999997</v>
      </c>
      <c r="C372" s="748">
        <v>0.66359999999999997</v>
      </c>
      <c r="D372" s="748">
        <v>0.63139999999999996</v>
      </c>
      <c r="E372" s="748">
        <v>0.63139999999999996</v>
      </c>
      <c r="F372" s="748">
        <v>0.63139999999999996</v>
      </c>
      <c r="G372" s="748">
        <v>0.55979999999999996</v>
      </c>
      <c r="H372" s="748">
        <v>0.55979999999999996</v>
      </c>
      <c r="I372" s="748">
        <v>0.48349999999999999</v>
      </c>
      <c r="J372" s="748">
        <v>0.48349999999999999</v>
      </c>
      <c r="K372" s="748">
        <v>0.48349999999999999</v>
      </c>
      <c r="L372" s="748">
        <v>0.48349999999999999</v>
      </c>
      <c r="M372" s="748">
        <v>0.48349999999999999</v>
      </c>
    </row>
    <row r="373" spans="1:13">
      <c r="A373" s="744">
        <v>6.5</v>
      </c>
      <c r="B373" s="748">
        <v>0.66249999999999998</v>
      </c>
      <c r="C373" s="748">
        <v>0.66249999999999998</v>
      </c>
      <c r="D373" s="748">
        <v>0.63</v>
      </c>
      <c r="E373" s="748">
        <v>0.63</v>
      </c>
      <c r="F373" s="748">
        <v>0.63</v>
      </c>
      <c r="G373" s="748">
        <v>0.55820000000000003</v>
      </c>
      <c r="H373" s="748">
        <v>0.55820000000000003</v>
      </c>
      <c r="I373" s="748">
        <v>0.4819</v>
      </c>
      <c r="J373" s="748">
        <v>0.4819</v>
      </c>
      <c r="K373" s="748">
        <v>0.4819</v>
      </c>
      <c r="L373" s="748">
        <v>0.4819</v>
      </c>
      <c r="M373" s="748">
        <v>0.4819</v>
      </c>
    </row>
    <row r="374" spans="1:13">
      <c r="A374" s="744">
        <v>6.6</v>
      </c>
      <c r="B374" s="748">
        <v>0.66149999999999998</v>
      </c>
      <c r="C374" s="748">
        <v>0.66149999999999998</v>
      </c>
      <c r="D374" s="748">
        <v>0.62860000000000005</v>
      </c>
      <c r="E374" s="748">
        <v>0.62860000000000005</v>
      </c>
      <c r="F374" s="748">
        <v>0.62860000000000005</v>
      </c>
      <c r="G374" s="748">
        <v>0.55669999999999997</v>
      </c>
      <c r="H374" s="748">
        <v>0.55669999999999997</v>
      </c>
      <c r="I374" s="748">
        <v>0.4803</v>
      </c>
      <c r="J374" s="748">
        <v>0.4803</v>
      </c>
      <c r="K374" s="748">
        <v>0.4803</v>
      </c>
      <c r="L374" s="748">
        <v>0.4803</v>
      </c>
      <c r="M374" s="748">
        <v>0.4803</v>
      </c>
    </row>
    <row r="375" spans="1:13">
      <c r="A375" s="744">
        <v>6.7</v>
      </c>
      <c r="B375" s="748">
        <v>0.66049999999999998</v>
      </c>
      <c r="C375" s="748">
        <v>0.66049999999999998</v>
      </c>
      <c r="D375" s="748">
        <v>0.62719999999999998</v>
      </c>
      <c r="E375" s="748">
        <v>0.62719999999999998</v>
      </c>
      <c r="F375" s="748">
        <v>0.62719999999999998</v>
      </c>
      <c r="G375" s="748">
        <v>0.55520000000000003</v>
      </c>
      <c r="H375" s="748">
        <v>0.55520000000000003</v>
      </c>
      <c r="I375" s="748">
        <v>0.47870000000000001</v>
      </c>
      <c r="J375" s="748">
        <v>0.47870000000000001</v>
      </c>
      <c r="K375" s="748">
        <v>0.47870000000000001</v>
      </c>
      <c r="L375" s="748">
        <v>0.47870000000000001</v>
      </c>
      <c r="M375" s="748">
        <v>0.47870000000000001</v>
      </c>
    </row>
    <row r="376" spans="1:13">
      <c r="A376" s="744">
        <v>6.8</v>
      </c>
      <c r="B376" s="748">
        <v>0.65949999999999998</v>
      </c>
      <c r="C376" s="748">
        <v>0.65949999999999998</v>
      </c>
      <c r="D376" s="748">
        <v>0.62580000000000002</v>
      </c>
      <c r="E376" s="748">
        <v>0.62580000000000002</v>
      </c>
      <c r="F376" s="748">
        <v>0.62580000000000002</v>
      </c>
      <c r="G376" s="748">
        <v>0.55359999999999998</v>
      </c>
      <c r="H376" s="748">
        <v>0.55359999999999998</v>
      </c>
      <c r="I376" s="748">
        <v>0.47710000000000002</v>
      </c>
      <c r="J376" s="748">
        <v>0.47710000000000002</v>
      </c>
      <c r="K376" s="748">
        <v>0.47710000000000002</v>
      </c>
      <c r="L376" s="748">
        <v>0.47710000000000002</v>
      </c>
      <c r="M376" s="748">
        <v>0.47710000000000002</v>
      </c>
    </row>
    <row r="377" spans="1:13">
      <c r="A377" s="744">
        <v>6.9</v>
      </c>
      <c r="B377" s="748">
        <v>0.65849999999999997</v>
      </c>
      <c r="C377" s="748">
        <v>0.65849999999999997</v>
      </c>
      <c r="D377" s="748">
        <v>0.62439999999999996</v>
      </c>
      <c r="E377" s="748">
        <v>0.62439999999999996</v>
      </c>
      <c r="F377" s="748">
        <v>0.62439999999999996</v>
      </c>
      <c r="G377" s="748">
        <v>0.55220000000000002</v>
      </c>
      <c r="H377" s="748">
        <v>0.55220000000000002</v>
      </c>
      <c r="I377" s="748">
        <v>0.47549999999999998</v>
      </c>
      <c r="J377" s="748">
        <v>0.47549999999999998</v>
      </c>
      <c r="K377" s="748">
        <v>0.47549999999999998</v>
      </c>
      <c r="L377" s="748">
        <v>0.47549999999999998</v>
      </c>
      <c r="M377" s="748">
        <v>0.47549999999999998</v>
      </c>
    </row>
    <row r="378" spans="1:13">
      <c r="A378" s="744">
        <v>7</v>
      </c>
      <c r="B378" s="748">
        <v>0.65749999999999997</v>
      </c>
      <c r="C378" s="748">
        <v>0.65749999999999997</v>
      </c>
      <c r="D378" s="748">
        <v>0.623</v>
      </c>
      <c r="E378" s="748">
        <v>0.623</v>
      </c>
      <c r="F378" s="748">
        <v>0.623</v>
      </c>
      <c r="G378" s="748">
        <v>0.55069999999999997</v>
      </c>
      <c r="H378" s="748">
        <v>0.55069999999999997</v>
      </c>
      <c r="I378" s="748">
        <v>0.47389999999999999</v>
      </c>
      <c r="J378" s="748">
        <v>0.47389999999999999</v>
      </c>
      <c r="K378" s="748">
        <v>0.47389999999999999</v>
      </c>
      <c r="L378" s="748">
        <v>0.47389999999999999</v>
      </c>
      <c r="M378" s="748">
        <v>0.47389999999999999</v>
      </c>
    </row>
    <row r="379" spans="1:13">
      <c r="A379" s="744">
        <v>7.1</v>
      </c>
      <c r="B379" s="748">
        <v>0.65649999999999997</v>
      </c>
      <c r="C379" s="748">
        <v>0.65649999999999997</v>
      </c>
      <c r="D379" s="748">
        <v>0.62160000000000004</v>
      </c>
      <c r="E379" s="748">
        <v>0.62160000000000004</v>
      </c>
      <c r="F379" s="748">
        <v>0.62160000000000004</v>
      </c>
      <c r="G379" s="748">
        <v>0.54930000000000001</v>
      </c>
      <c r="H379" s="748">
        <v>0.54930000000000001</v>
      </c>
      <c r="I379" s="748">
        <v>0.47239999999999999</v>
      </c>
      <c r="J379" s="748">
        <v>0.47239999999999999</v>
      </c>
      <c r="K379" s="748">
        <v>0.47239999999999999</v>
      </c>
      <c r="L379" s="748">
        <v>0.47239999999999999</v>
      </c>
      <c r="M379" s="748">
        <v>0.47239999999999999</v>
      </c>
    </row>
    <row r="380" spans="1:13">
      <c r="A380" s="744">
        <v>7.2</v>
      </c>
      <c r="B380" s="748">
        <v>0.65549999999999997</v>
      </c>
      <c r="C380" s="748">
        <v>0.65549999999999997</v>
      </c>
      <c r="D380" s="748">
        <v>0.62019999999999997</v>
      </c>
      <c r="E380" s="748">
        <v>0.62019999999999997</v>
      </c>
      <c r="F380" s="748">
        <v>0.62019999999999997</v>
      </c>
      <c r="G380" s="748">
        <v>0.54779999999999995</v>
      </c>
      <c r="H380" s="748">
        <v>0.54779999999999995</v>
      </c>
      <c r="I380" s="748">
        <v>0.47089999999999999</v>
      </c>
      <c r="J380" s="748">
        <v>0.47089999999999999</v>
      </c>
      <c r="K380" s="748">
        <v>0.47089999999999999</v>
      </c>
      <c r="L380" s="748">
        <v>0.47089999999999999</v>
      </c>
      <c r="M380" s="748">
        <v>0.47089999999999999</v>
      </c>
    </row>
    <row r="381" spans="1:13">
      <c r="A381" s="744">
        <v>7.3</v>
      </c>
      <c r="B381" s="748">
        <v>0.65449999999999997</v>
      </c>
      <c r="C381" s="748">
        <v>0.65449999999999997</v>
      </c>
      <c r="D381" s="748">
        <v>0.61880000000000002</v>
      </c>
      <c r="E381" s="748">
        <v>0.61880000000000002</v>
      </c>
      <c r="F381" s="748">
        <v>0.61880000000000002</v>
      </c>
      <c r="G381" s="748">
        <v>0.5464</v>
      </c>
      <c r="H381" s="748">
        <v>0.5464</v>
      </c>
      <c r="I381" s="748">
        <v>0.46939999999999998</v>
      </c>
      <c r="J381" s="748">
        <v>0.46939999999999998</v>
      </c>
      <c r="K381" s="748">
        <v>0.46939999999999998</v>
      </c>
      <c r="L381" s="748">
        <v>0.46939999999999998</v>
      </c>
      <c r="M381" s="748">
        <v>0.46939999999999998</v>
      </c>
    </row>
    <row r="382" spans="1:13">
      <c r="A382" s="744">
        <v>7.4</v>
      </c>
      <c r="B382" s="748">
        <v>0.65349999999999997</v>
      </c>
      <c r="C382" s="748">
        <v>0.65349999999999997</v>
      </c>
      <c r="D382" s="748">
        <v>0.61750000000000005</v>
      </c>
      <c r="E382" s="748">
        <v>0.61750000000000005</v>
      </c>
      <c r="F382" s="748">
        <v>0.61750000000000005</v>
      </c>
      <c r="G382" s="748">
        <v>0.54490000000000005</v>
      </c>
      <c r="H382" s="748">
        <v>0.54490000000000005</v>
      </c>
      <c r="I382" s="748">
        <v>0.46779999999999999</v>
      </c>
      <c r="J382" s="748">
        <v>0.46779999999999999</v>
      </c>
      <c r="K382" s="748">
        <v>0.46779999999999999</v>
      </c>
      <c r="L382" s="748">
        <v>0.46779999999999999</v>
      </c>
      <c r="M382" s="748">
        <v>0.46779999999999999</v>
      </c>
    </row>
    <row r="383" spans="1:13">
      <c r="A383" s="744">
        <v>7.5</v>
      </c>
      <c r="B383" s="748">
        <v>0.65249999999999997</v>
      </c>
      <c r="C383" s="748">
        <v>0.65249999999999997</v>
      </c>
      <c r="D383" s="748">
        <v>0.61619999999999997</v>
      </c>
      <c r="E383" s="748">
        <v>0.61619999999999997</v>
      </c>
      <c r="F383" s="748">
        <v>0.61619999999999997</v>
      </c>
      <c r="G383" s="748">
        <v>0.54349999999999998</v>
      </c>
      <c r="H383" s="748">
        <v>0.54349999999999998</v>
      </c>
      <c r="I383" s="748">
        <v>0.46629999999999999</v>
      </c>
      <c r="J383" s="748">
        <v>0.46629999999999999</v>
      </c>
      <c r="K383" s="748">
        <v>0.46629999999999999</v>
      </c>
      <c r="L383" s="748">
        <v>0.46629999999999999</v>
      </c>
      <c r="M383" s="748">
        <v>0.46629999999999999</v>
      </c>
    </row>
    <row r="384" spans="1:13">
      <c r="A384" s="744">
        <v>7.6</v>
      </c>
      <c r="B384" s="748">
        <v>0.65149999999999997</v>
      </c>
      <c r="C384" s="748">
        <v>0.65149999999999997</v>
      </c>
      <c r="D384" s="748">
        <v>0.6149</v>
      </c>
      <c r="E384" s="748">
        <v>0.6149</v>
      </c>
      <c r="F384" s="748">
        <v>0.6149</v>
      </c>
      <c r="G384" s="748">
        <v>0.54200000000000004</v>
      </c>
      <c r="H384" s="748">
        <v>0.54200000000000004</v>
      </c>
      <c r="I384" s="748">
        <v>0.46479999999999999</v>
      </c>
      <c r="J384" s="748">
        <v>0.46479999999999999</v>
      </c>
      <c r="K384" s="748">
        <v>0.46479999999999999</v>
      </c>
      <c r="L384" s="748">
        <v>0.46479999999999999</v>
      </c>
      <c r="M384" s="748">
        <v>0.46479999999999999</v>
      </c>
    </row>
    <row r="385" spans="1:13">
      <c r="A385" s="744">
        <v>7.7</v>
      </c>
      <c r="B385" s="748">
        <v>0.65049999999999997</v>
      </c>
      <c r="C385" s="748">
        <v>0.65049999999999997</v>
      </c>
      <c r="D385" s="748">
        <v>0.61360000000000003</v>
      </c>
      <c r="E385" s="748">
        <v>0.61360000000000003</v>
      </c>
      <c r="F385" s="748">
        <v>0.61360000000000003</v>
      </c>
      <c r="G385" s="748">
        <v>0.54059999999999997</v>
      </c>
      <c r="H385" s="748">
        <v>0.54059999999999997</v>
      </c>
      <c r="I385" s="748">
        <v>0.46329999999999999</v>
      </c>
      <c r="J385" s="748">
        <v>0.46329999999999999</v>
      </c>
      <c r="K385" s="748">
        <v>0.46329999999999999</v>
      </c>
      <c r="L385" s="748">
        <v>0.46329999999999999</v>
      </c>
      <c r="M385" s="748">
        <v>0.46329999999999999</v>
      </c>
    </row>
    <row r="386" spans="1:13">
      <c r="A386" s="744">
        <v>7.8</v>
      </c>
      <c r="B386" s="748">
        <v>0.64949999999999997</v>
      </c>
      <c r="C386" s="748">
        <v>0.64949999999999997</v>
      </c>
      <c r="D386" s="748">
        <v>0.61229999999999996</v>
      </c>
      <c r="E386" s="748">
        <v>0.61229999999999996</v>
      </c>
      <c r="F386" s="748">
        <v>0.61229999999999996</v>
      </c>
      <c r="G386" s="748">
        <v>0.53910000000000002</v>
      </c>
      <c r="H386" s="748">
        <v>0.53910000000000002</v>
      </c>
      <c r="I386" s="748">
        <v>0.4617</v>
      </c>
      <c r="J386" s="748">
        <v>0.4617</v>
      </c>
      <c r="K386" s="748">
        <v>0.4617</v>
      </c>
      <c r="L386" s="748">
        <v>0.4617</v>
      </c>
      <c r="M386" s="748">
        <v>0.4617</v>
      </c>
    </row>
    <row r="387" spans="1:13">
      <c r="A387" s="744">
        <v>7.9</v>
      </c>
      <c r="B387" s="748">
        <v>0.64849999999999997</v>
      </c>
      <c r="C387" s="748">
        <v>0.64849999999999997</v>
      </c>
      <c r="D387" s="748">
        <v>0.61099999999999999</v>
      </c>
      <c r="E387" s="748">
        <v>0.61099999999999999</v>
      </c>
      <c r="F387" s="748">
        <v>0.61099999999999999</v>
      </c>
      <c r="G387" s="748">
        <v>0.53769999999999996</v>
      </c>
      <c r="H387" s="748">
        <v>0.53769999999999996</v>
      </c>
      <c r="I387" s="748">
        <v>0.4602</v>
      </c>
      <c r="J387" s="748">
        <v>0.4602</v>
      </c>
      <c r="K387" s="748">
        <v>0.4602</v>
      </c>
      <c r="L387" s="748">
        <v>0.4602</v>
      </c>
      <c r="M387" s="748">
        <v>0.4602</v>
      </c>
    </row>
    <row r="388" spans="1:13">
      <c r="A388" s="744">
        <v>8</v>
      </c>
      <c r="B388" s="748">
        <v>0.64749999999999996</v>
      </c>
      <c r="C388" s="748">
        <v>0.64749999999999996</v>
      </c>
      <c r="D388" s="748">
        <v>0.60970000000000002</v>
      </c>
      <c r="E388" s="748">
        <v>0.60970000000000002</v>
      </c>
      <c r="F388" s="748">
        <v>0.60970000000000002</v>
      </c>
      <c r="G388" s="748">
        <v>0.53620000000000001</v>
      </c>
      <c r="H388" s="748">
        <v>0.53620000000000001</v>
      </c>
      <c r="I388" s="748">
        <v>0.4587</v>
      </c>
      <c r="J388" s="748">
        <v>0.4587</v>
      </c>
      <c r="K388" s="748">
        <v>0.4587</v>
      </c>
      <c r="L388" s="748">
        <v>0.4587</v>
      </c>
      <c r="M388" s="748">
        <v>0.4587</v>
      </c>
    </row>
    <row r="389" spans="1:13">
      <c r="A389" s="744">
        <v>8.1</v>
      </c>
      <c r="B389" s="748">
        <v>0.64649999999999996</v>
      </c>
      <c r="C389" s="748">
        <v>0.64649999999999996</v>
      </c>
      <c r="D389" s="748">
        <v>0.60840000000000005</v>
      </c>
      <c r="E389" s="748">
        <v>0.60840000000000005</v>
      </c>
      <c r="F389" s="748">
        <v>0.60840000000000005</v>
      </c>
      <c r="G389" s="748">
        <v>0.53480000000000005</v>
      </c>
      <c r="H389" s="748">
        <v>0.53480000000000005</v>
      </c>
      <c r="I389" s="748">
        <v>0.4572</v>
      </c>
      <c r="J389" s="748">
        <v>0.4572</v>
      </c>
      <c r="K389" s="748">
        <v>0.4572</v>
      </c>
      <c r="L389" s="748">
        <v>0.4572</v>
      </c>
      <c r="M389" s="748">
        <v>0.4572</v>
      </c>
    </row>
    <row r="390" spans="1:13">
      <c r="A390" s="744">
        <v>8.1999999999999993</v>
      </c>
      <c r="B390" s="748">
        <v>0.64549999999999996</v>
      </c>
      <c r="C390" s="748">
        <v>0.64549999999999996</v>
      </c>
      <c r="D390" s="748">
        <v>0.60709999999999997</v>
      </c>
      <c r="E390" s="748">
        <v>0.60709999999999997</v>
      </c>
      <c r="F390" s="748">
        <v>0.60709999999999997</v>
      </c>
      <c r="G390" s="748">
        <v>0.5333</v>
      </c>
      <c r="H390" s="748">
        <v>0.5333</v>
      </c>
      <c r="I390" s="748">
        <v>0.45569999999999999</v>
      </c>
      <c r="J390" s="748">
        <v>0.45569999999999999</v>
      </c>
      <c r="K390" s="748">
        <v>0.45569999999999999</v>
      </c>
      <c r="L390" s="748">
        <v>0.45569999999999999</v>
      </c>
      <c r="M390" s="748">
        <v>0.45569999999999999</v>
      </c>
    </row>
    <row r="391" spans="1:13">
      <c r="A391" s="744">
        <v>8.3000000000000007</v>
      </c>
      <c r="B391" s="748">
        <v>0.64449999999999996</v>
      </c>
      <c r="C391" s="748">
        <v>0.64449999999999996</v>
      </c>
      <c r="D391" s="748">
        <v>0.60580000000000001</v>
      </c>
      <c r="E391" s="748">
        <v>0.60580000000000001</v>
      </c>
      <c r="F391" s="748">
        <v>0.60580000000000001</v>
      </c>
      <c r="G391" s="748">
        <v>0.53190000000000004</v>
      </c>
      <c r="H391" s="748">
        <v>0.53190000000000004</v>
      </c>
      <c r="I391" s="748">
        <v>0.45429999999999998</v>
      </c>
      <c r="J391" s="748">
        <v>0.45429999999999998</v>
      </c>
      <c r="K391" s="748">
        <v>0.45429999999999998</v>
      </c>
      <c r="L391" s="748">
        <v>0.45429999999999998</v>
      </c>
      <c r="M391" s="748">
        <v>0.45429999999999998</v>
      </c>
    </row>
    <row r="392" spans="1:13">
      <c r="A392" s="744">
        <v>8.4</v>
      </c>
      <c r="B392" s="748">
        <v>0.64349999999999996</v>
      </c>
      <c r="C392" s="748">
        <v>0.64349999999999996</v>
      </c>
      <c r="D392" s="748">
        <v>0.60450000000000004</v>
      </c>
      <c r="E392" s="748">
        <v>0.60450000000000004</v>
      </c>
      <c r="F392" s="748">
        <v>0.60450000000000004</v>
      </c>
      <c r="G392" s="748">
        <v>0.53039999999999998</v>
      </c>
      <c r="H392" s="748">
        <v>0.53039999999999998</v>
      </c>
      <c r="I392" s="748">
        <v>0.45290000000000002</v>
      </c>
      <c r="J392" s="748">
        <v>0.45290000000000002</v>
      </c>
      <c r="K392" s="748">
        <v>0.45290000000000002</v>
      </c>
      <c r="L392" s="748">
        <v>0.45290000000000002</v>
      </c>
      <c r="M392" s="748">
        <v>0.45290000000000002</v>
      </c>
    </row>
    <row r="393" spans="1:13">
      <c r="A393" s="744">
        <v>8.5</v>
      </c>
      <c r="B393" s="748">
        <v>0.64249999999999996</v>
      </c>
      <c r="C393" s="748">
        <v>0.64249999999999996</v>
      </c>
      <c r="D393" s="748">
        <v>0.60319999999999996</v>
      </c>
      <c r="E393" s="748">
        <v>0.60319999999999996</v>
      </c>
      <c r="F393" s="748">
        <v>0.60319999999999996</v>
      </c>
      <c r="G393" s="748">
        <v>0.52900000000000003</v>
      </c>
      <c r="H393" s="748">
        <v>0.52900000000000003</v>
      </c>
      <c r="I393" s="748">
        <v>0.45140000000000002</v>
      </c>
      <c r="J393" s="748">
        <v>0.45140000000000002</v>
      </c>
      <c r="K393" s="748">
        <v>0.45140000000000002</v>
      </c>
      <c r="L393" s="748">
        <v>0.45140000000000002</v>
      </c>
      <c r="M393" s="748">
        <v>0.45140000000000002</v>
      </c>
    </row>
    <row r="394" spans="1:13">
      <c r="A394" s="744">
        <v>8.6</v>
      </c>
      <c r="B394" s="748">
        <v>0.64149999999999996</v>
      </c>
      <c r="C394" s="748">
        <v>0.64149999999999996</v>
      </c>
      <c r="D394" s="748">
        <v>0.60189999999999999</v>
      </c>
      <c r="E394" s="748">
        <v>0.60189999999999999</v>
      </c>
      <c r="F394" s="748">
        <v>0.60189999999999999</v>
      </c>
      <c r="G394" s="748">
        <v>0.52749999999999997</v>
      </c>
      <c r="H394" s="748">
        <v>0.52749999999999997</v>
      </c>
      <c r="I394" s="748">
        <v>0.45</v>
      </c>
      <c r="J394" s="748">
        <v>0.45</v>
      </c>
      <c r="K394" s="748">
        <v>0.45</v>
      </c>
      <c r="L394" s="748">
        <v>0.45</v>
      </c>
      <c r="M394" s="748">
        <v>0.45</v>
      </c>
    </row>
    <row r="395" spans="1:13">
      <c r="A395" s="744">
        <v>8.6999999999999993</v>
      </c>
      <c r="B395" s="748">
        <v>0.64049999999999996</v>
      </c>
      <c r="C395" s="748">
        <v>0.64049999999999996</v>
      </c>
      <c r="D395" s="748">
        <v>0.60060000000000002</v>
      </c>
      <c r="E395" s="748">
        <v>0.60060000000000002</v>
      </c>
      <c r="F395" s="748">
        <v>0.60060000000000002</v>
      </c>
      <c r="G395" s="748">
        <v>0.52610000000000001</v>
      </c>
      <c r="H395" s="748">
        <v>0.52610000000000001</v>
      </c>
      <c r="I395" s="748">
        <v>0.44850000000000001</v>
      </c>
      <c r="J395" s="748">
        <v>0.44850000000000001</v>
      </c>
      <c r="K395" s="748">
        <v>0.44850000000000001</v>
      </c>
      <c r="L395" s="748">
        <v>0.44850000000000001</v>
      </c>
      <c r="M395" s="748">
        <v>0.44850000000000001</v>
      </c>
    </row>
    <row r="396" spans="1:13">
      <c r="A396" s="744">
        <v>8.8000000000000007</v>
      </c>
      <c r="B396" s="748">
        <v>0.63949999999999996</v>
      </c>
      <c r="C396" s="748">
        <v>0.63949999999999996</v>
      </c>
      <c r="D396" s="748">
        <v>0.59930000000000005</v>
      </c>
      <c r="E396" s="748">
        <v>0.59930000000000005</v>
      </c>
      <c r="F396" s="748">
        <v>0.59930000000000005</v>
      </c>
      <c r="G396" s="748">
        <v>0.52459999999999996</v>
      </c>
      <c r="H396" s="748">
        <v>0.52459999999999996</v>
      </c>
      <c r="I396" s="748">
        <v>0.4471</v>
      </c>
      <c r="J396" s="748">
        <v>0.4471</v>
      </c>
      <c r="K396" s="748">
        <v>0.4471</v>
      </c>
      <c r="L396" s="748">
        <v>0.4471</v>
      </c>
      <c r="M396" s="748">
        <v>0.4471</v>
      </c>
    </row>
    <row r="397" spans="1:13">
      <c r="A397" s="744">
        <v>8.9</v>
      </c>
      <c r="B397" s="748">
        <v>0.63849999999999996</v>
      </c>
      <c r="C397" s="748">
        <v>0.63849999999999996</v>
      </c>
      <c r="D397" s="748">
        <v>0.59799999999999998</v>
      </c>
      <c r="E397" s="748">
        <v>0.59799999999999998</v>
      </c>
      <c r="F397" s="748">
        <v>0.59799999999999998</v>
      </c>
      <c r="G397" s="748">
        <v>0.5232</v>
      </c>
      <c r="H397" s="748">
        <v>0.5232</v>
      </c>
      <c r="I397" s="748">
        <v>0.4456</v>
      </c>
      <c r="J397" s="748">
        <v>0.4456</v>
      </c>
      <c r="K397" s="748">
        <v>0.4456</v>
      </c>
      <c r="L397" s="748">
        <v>0.4456</v>
      </c>
      <c r="M397" s="748">
        <v>0.4456</v>
      </c>
    </row>
    <row r="398" spans="1:13">
      <c r="A398" s="750">
        <v>9</v>
      </c>
      <c r="B398" s="748">
        <v>0.63749999999999996</v>
      </c>
      <c r="C398" s="748">
        <v>0.63749999999999996</v>
      </c>
      <c r="D398" s="748">
        <v>0.59670000000000001</v>
      </c>
      <c r="E398" s="748">
        <v>0.59670000000000001</v>
      </c>
      <c r="F398" s="748">
        <v>0.59670000000000001</v>
      </c>
      <c r="G398" s="748">
        <v>0.52170000000000005</v>
      </c>
      <c r="H398" s="748">
        <v>0.52170000000000005</v>
      </c>
      <c r="I398" s="748">
        <v>0.44429999999999997</v>
      </c>
      <c r="J398" s="748">
        <v>0.44429999999999997</v>
      </c>
      <c r="K398" s="748">
        <v>0.44429999999999997</v>
      </c>
      <c r="L398" s="748">
        <v>0.44429999999999997</v>
      </c>
      <c r="M398" s="748">
        <v>0.44429999999999997</v>
      </c>
    </row>
    <row r="399" spans="1:13">
      <c r="A399" s="750">
        <v>9.1</v>
      </c>
      <c r="B399" s="748">
        <v>0.63649999999999995</v>
      </c>
      <c r="C399" s="748">
        <v>0.63649999999999995</v>
      </c>
      <c r="D399" s="748">
        <v>0.59540000000000004</v>
      </c>
      <c r="E399" s="748">
        <v>0.59540000000000004</v>
      </c>
      <c r="F399" s="748">
        <v>0.59540000000000004</v>
      </c>
      <c r="G399" s="748">
        <v>0.52029999999999998</v>
      </c>
      <c r="H399" s="748">
        <v>0.52029999999999998</v>
      </c>
      <c r="I399" s="748">
        <v>0.44290000000000002</v>
      </c>
      <c r="J399" s="748">
        <v>0.44290000000000002</v>
      </c>
      <c r="K399" s="748">
        <v>0.44290000000000002</v>
      </c>
      <c r="L399" s="748">
        <v>0.44290000000000002</v>
      </c>
      <c r="M399" s="748">
        <v>0.44290000000000002</v>
      </c>
    </row>
    <row r="400" spans="1:13">
      <c r="A400" s="750">
        <v>9.1999999999999993</v>
      </c>
      <c r="B400" s="748">
        <v>0.63549999999999995</v>
      </c>
      <c r="C400" s="748">
        <v>0.63549999999999995</v>
      </c>
      <c r="D400" s="748">
        <v>0.59409999999999996</v>
      </c>
      <c r="E400" s="748">
        <v>0.59409999999999996</v>
      </c>
      <c r="F400" s="748">
        <v>0.59409999999999996</v>
      </c>
      <c r="G400" s="748">
        <v>0.51880000000000004</v>
      </c>
      <c r="H400" s="748">
        <v>0.51880000000000004</v>
      </c>
      <c r="I400" s="748">
        <v>0.44159999999999999</v>
      </c>
      <c r="J400" s="748">
        <v>0.44159999999999999</v>
      </c>
      <c r="K400" s="748">
        <v>0.44159999999999999</v>
      </c>
      <c r="L400" s="748">
        <v>0.44159999999999999</v>
      </c>
      <c r="M400" s="748">
        <v>0.44159999999999999</v>
      </c>
    </row>
    <row r="401" spans="1:13">
      <c r="A401" s="750">
        <v>9.3000000000000007</v>
      </c>
      <c r="B401" s="748">
        <v>0.63449999999999995</v>
      </c>
      <c r="C401" s="748">
        <v>0.63449999999999995</v>
      </c>
      <c r="D401" s="748">
        <v>0.59279999999999999</v>
      </c>
      <c r="E401" s="748">
        <v>0.59279999999999999</v>
      </c>
      <c r="F401" s="748">
        <v>0.59279999999999999</v>
      </c>
      <c r="G401" s="748">
        <v>0.51739999999999997</v>
      </c>
      <c r="H401" s="748">
        <v>0.51739999999999997</v>
      </c>
      <c r="I401" s="748">
        <v>0.44019999999999998</v>
      </c>
      <c r="J401" s="748">
        <v>0.44019999999999998</v>
      </c>
      <c r="K401" s="748">
        <v>0.44019999999999998</v>
      </c>
      <c r="L401" s="748">
        <v>0.44019999999999998</v>
      </c>
      <c r="M401" s="748">
        <v>0.44019999999999998</v>
      </c>
    </row>
    <row r="402" spans="1:13">
      <c r="A402" s="750">
        <v>9.4</v>
      </c>
      <c r="B402" s="748">
        <v>0.63349999999999995</v>
      </c>
      <c r="C402" s="748">
        <v>0.63349999999999995</v>
      </c>
      <c r="D402" s="748">
        <v>0.59150000000000003</v>
      </c>
      <c r="E402" s="748">
        <v>0.59150000000000003</v>
      </c>
      <c r="F402" s="748">
        <v>0.59150000000000003</v>
      </c>
      <c r="G402" s="748">
        <v>0.51600000000000001</v>
      </c>
      <c r="H402" s="748">
        <v>0.51600000000000001</v>
      </c>
      <c r="I402" s="748">
        <v>0.43880000000000002</v>
      </c>
      <c r="J402" s="748">
        <v>0.43880000000000002</v>
      </c>
      <c r="K402" s="748">
        <v>0.43880000000000002</v>
      </c>
      <c r="L402" s="748">
        <v>0.43880000000000002</v>
      </c>
      <c r="M402" s="748">
        <v>0.43880000000000002</v>
      </c>
    </row>
    <row r="403" spans="1:13">
      <c r="A403" s="750">
        <v>9.5</v>
      </c>
      <c r="B403" s="748">
        <v>0.63249999999999995</v>
      </c>
      <c r="C403" s="748">
        <v>0.63249999999999995</v>
      </c>
      <c r="D403" s="748">
        <v>0.59030000000000005</v>
      </c>
      <c r="E403" s="748">
        <v>0.59030000000000005</v>
      </c>
      <c r="F403" s="748">
        <v>0.59030000000000005</v>
      </c>
      <c r="G403" s="748">
        <v>0.51470000000000005</v>
      </c>
      <c r="H403" s="748">
        <v>0.51470000000000005</v>
      </c>
      <c r="I403" s="748">
        <v>0.4375</v>
      </c>
      <c r="J403" s="748">
        <v>0.4375</v>
      </c>
      <c r="K403" s="748">
        <v>0.4375</v>
      </c>
      <c r="L403" s="748">
        <v>0.4375</v>
      </c>
      <c r="M403" s="748">
        <v>0.4375</v>
      </c>
    </row>
    <row r="404" spans="1:13">
      <c r="A404" s="750">
        <v>9.6</v>
      </c>
      <c r="B404" s="748">
        <v>0.63149999999999995</v>
      </c>
      <c r="C404" s="748">
        <v>0.63149999999999995</v>
      </c>
      <c r="D404" s="748">
        <v>0.58909999999999996</v>
      </c>
      <c r="E404" s="748">
        <v>0.58909999999999996</v>
      </c>
      <c r="F404" s="748">
        <v>0.58909999999999996</v>
      </c>
      <c r="G404" s="748">
        <v>0.51329999999999998</v>
      </c>
      <c r="H404" s="748">
        <v>0.51329999999999998</v>
      </c>
      <c r="I404" s="748">
        <v>0.43609999999999999</v>
      </c>
      <c r="J404" s="748">
        <v>0.43609999999999999</v>
      </c>
      <c r="K404" s="748">
        <v>0.43609999999999999</v>
      </c>
      <c r="L404" s="748">
        <v>0.43609999999999999</v>
      </c>
      <c r="M404" s="748">
        <v>0.43609999999999999</v>
      </c>
    </row>
    <row r="405" spans="1:13">
      <c r="A405" s="750">
        <v>9.6999999999999993</v>
      </c>
      <c r="B405" s="748">
        <v>0.63049999999999995</v>
      </c>
      <c r="C405" s="748">
        <v>0.63049999999999995</v>
      </c>
      <c r="D405" s="748">
        <v>0.58789999999999998</v>
      </c>
      <c r="E405" s="748">
        <v>0.58789999999999998</v>
      </c>
      <c r="F405" s="748">
        <v>0.58789999999999998</v>
      </c>
      <c r="G405" s="748">
        <v>0.51200000000000001</v>
      </c>
      <c r="H405" s="748">
        <v>0.51200000000000001</v>
      </c>
      <c r="I405" s="748">
        <v>0.43480000000000002</v>
      </c>
      <c r="J405" s="748">
        <v>0.43480000000000002</v>
      </c>
      <c r="K405" s="748">
        <v>0.43480000000000002</v>
      </c>
      <c r="L405" s="748">
        <v>0.43480000000000002</v>
      </c>
      <c r="M405" s="748">
        <v>0.43480000000000002</v>
      </c>
    </row>
    <row r="406" spans="1:13">
      <c r="A406" s="750">
        <v>9.8000000000000007</v>
      </c>
      <c r="B406" s="748">
        <v>0.62949999999999995</v>
      </c>
      <c r="C406" s="748">
        <v>0.62949999999999995</v>
      </c>
      <c r="D406" s="748">
        <v>0.5867</v>
      </c>
      <c r="E406" s="748">
        <v>0.5867</v>
      </c>
      <c r="F406" s="748">
        <v>0.5867</v>
      </c>
      <c r="G406" s="748">
        <v>0.51060000000000005</v>
      </c>
      <c r="H406" s="748">
        <v>0.51060000000000005</v>
      </c>
      <c r="I406" s="748">
        <v>0.43340000000000001</v>
      </c>
      <c r="J406" s="748">
        <v>0.43340000000000001</v>
      </c>
      <c r="K406" s="748">
        <v>0.43340000000000001</v>
      </c>
      <c r="L406" s="748">
        <v>0.43340000000000001</v>
      </c>
      <c r="M406" s="748">
        <v>0.43340000000000001</v>
      </c>
    </row>
    <row r="407" spans="1:13">
      <c r="A407" s="750">
        <v>9.9</v>
      </c>
      <c r="B407" s="748">
        <v>0.62849999999999995</v>
      </c>
      <c r="C407" s="748">
        <v>0.62849999999999995</v>
      </c>
      <c r="D407" s="748">
        <v>0.58550000000000002</v>
      </c>
      <c r="E407" s="748">
        <v>0.58550000000000002</v>
      </c>
      <c r="F407" s="748">
        <v>0.58550000000000002</v>
      </c>
      <c r="G407" s="748">
        <v>0.50919999999999999</v>
      </c>
      <c r="H407" s="748">
        <v>0.50919999999999999</v>
      </c>
      <c r="I407" s="748">
        <v>0.432</v>
      </c>
      <c r="J407" s="748">
        <v>0.432</v>
      </c>
      <c r="K407" s="748">
        <v>0.432</v>
      </c>
      <c r="L407" s="748">
        <v>0.432</v>
      </c>
      <c r="M407" s="748">
        <v>0.432</v>
      </c>
    </row>
    <row r="408" spans="1:13">
      <c r="A408" s="750">
        <v>10</v>
      </c>
      <c r="B408" s="748">
        <v>0.62749999999999995</v>
      </c>
      <c r="C408" s="748">
        <v>0.62749999999999995</v>
      </c>
      <c r="D408" s="748">
        <v>0.58430000000000004</v>
      </c>
      <c r="E408" s="748">
        <v>0.58430000000000004</v>
      </c>
      <c r="F408" s="748">
        <v>0.58430000000000004</v>
      </c>
      <c r="G408" s="748">
        <v>0.50790000000000002</v>
      </c>
      <c r="H408" s="748">
        <v>0.50790000000000002</v>
      </c>
      <c r="I408" s="748">
        <v>0.43070000000000003</v>
      </c>
      <c r="J408" s="748">
        <v>0.43070000000000003</v>
      </c>
      <c r="K408" s="748">
        <v>0.43070000000000003</v>
      </c>
      <c r="L408" s="748">
        <v>0.43070000000000003</v>
      </c>
      <c r="M408" s="74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28" t="s">
        <v>782</v>
      </c>
      <c r="C1" s="3728"/>
      <c r="D1" s="3728"/>
      <c r="E1" s="3728"/>
      <c r="F1" s="3728"/>
      <c r="G1" s="3727" t="s">
        <v>783</v>
      </c>
      <c r="H1" s="3727"/>
      <c r="I1" s="3727"/>
      <c r="J1" s="3727"/>
      <c r="K1" s="3727"/>
      <c r="L1" s="3727"/>
      <c r="N1" s="3727" t="s">
        <v>784</v>
      </c>
      <c r="O1" s="3727"/>
      <c r="P1" s="3727"/>
      <c r="Q1" s="3727"/>
      <c r="S1" s="3727" t="s">
        <v>785</v>
      </c>
      <c r="T1" s="3727"/>
      <c r="U1" s="3727"/>
      <c r="V1" s="3727"/>
      <c r="X1" s="3726" t="s">
        <v>786</v>
      </c>
      <c r="Y1" s="3727"/>
      <c r="Z1" s="3727"/>
      <c r="AA1" s="3727"/>
      <c r="AB1" s="3727"/>
      <c r="AD1" s="3726" t="s">
        <v>787</v>
      </c>
      <c r="AE1" s="3727"/>
      <c r="AF1" s="3727"/>
      <c r="AG1" s="3727"/>
      <c r="AH1" s="3727"/>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2463</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2799</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3">
        <v>2023</v>
      </c>
      <c r="H5" s="2288">
        <v>1</v>
      </c>
      <c r="I5" s="3077">
        <v>0</v>
      </c>
      <c r="J5" s="3077">
        <v>0</v>
      </c>
      <c r="K5" s="3077">
        <v>0</v>
      </c>
      <c r="L5" s="3078">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2798</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3">
        <v>2022</v>
      </c>
      <c r="H6" s="2288">
        <v>4</v>
      </c>
      <c r="I6" s="3077">
        <v>0</v>
      </c>
      <c r="J6" s="3077">
        <v>0</v>
      </c>
      <c r="K6" s="3077">
        <v>0</v>
      </c>
      <c r="L6" s="3078">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2797</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3">
        <v>2022</v>
      </c>
      <c r="H7" s="2288">
        <v>3</v>
      </c>
      <c r="I7" s="3077">
        <v>0</v>
      </c>
      <c r="J7" s="3077">
        <v>0</v>
      </c>
      <c r="K7" s="3077">
        <v>0</v>
      </c>
      <c r="L7" s="3078">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2796</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3">
        <v>2022</v>
      </c>
      <c r="H8" s="2288">
        <v>2</v>
      </c>
      <c r="I8" s="3077">
        <v>0</v>
      </c>
      <c r="J8" s="3077">
        <v>0</v>
      </c>
      <c r="K8" s="3077">
        <v>0</v>
      </c>
      <c r="L8" s="3078">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2795</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3">
        <v>2022</v>
      </c>
      <c r="H9" s="2288">
        <v>1</v>
      </c>
      <c r="I9" s="3077">
        <v>0.89</v>
      </c>
      <c r="J9" s="3077">
        <v>0.44</v>
      </c>
      <c r="K9" s="3077">
        <v>0.96</v>
      </c>
      <c r="L9" s="3078">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2794</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2">
        <v>2021</v>
      </c>
      <c r="H10" s="2288">
        <v>4</v>
      </c>
      <c r="I10" s="3077">
        <v>1.03</v>
      </c>
      <c r="J10" s="3077">
        <v>0.24</v>
      </c>
      <c r="K10" s="3077">
        <v>1.17</v>
      </c>
      <c r="L10" s="3078">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2648</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9">
        <v>2021</v>
      </c>
      <c r="H11" s="2288">
        <v>3</v>
      </c>
      <c r="I11" s="3077">
        <v>0.47</v>
      </c>
      <c r="J11" s="3077">
        <v>0.41</v>
      </c>
      <c r="K11" s="3077">
        <v>0.48</v>
      </c>
      <c r="L11" s="3078">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2647</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6">
        <v>2021</v>
      </c>
      <c r="H12" s="2288">
        <v>2</v>
      </c>
      <c r="I12" s="3077">
        <v>0.92</v>
      </c>
      <c r="J12" s="3077">
        <v>0.72</v>
      </c>
      <c r="K12" s="3077">
        <v>0.95</v>
      </c>
      <c r="L12" s="3078">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2646</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5">
        <v>2021</v>
      </c>
      <c r="H13" s="2288">
        <v>1</v>
      </c>
      <c r="I13" s="3077">
        <v>0.97</v>
      </c>
      <c r="J13" s="3077">
        <v>0.16</v>
      </c>
      <c r="K13" s="3077">
        <v>1.1100000000000001</v>
      </c>
      <c r="L13" s="3078">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2640</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6">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2639</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5">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2494</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2491</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2489</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2487</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2481</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2482</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2476</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24">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2471</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24"/>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2470</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24"/>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2467</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33"/>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2464</v>
      </c>
      <c r="B26" s="2296">
        <v>439</v>
      </c>
      <c r="C26" s="2296">
        <v>327</v>
      </c>
      <c r="D26" s="2296">
        <f t="shared" si="213"/>
        <v>327</v>
      </c>
      <c r="E26" s="2296">
        <v>627</v>
      </c>
      <c r="F26" s="2297">
        <v>283</v>
      </c>
      <c r="G26" s="3729">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2462</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24"/>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24"/>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33"/>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29">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24"/>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24"/>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25"/>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23">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24"/>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24"/>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25"/>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23">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24"/>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24"/>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25"/>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30">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31"/>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31"/>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32"/>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23">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24"/>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24"/>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25"/>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23">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24">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24">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25">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23">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24">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24">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25">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23">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24">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24">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25">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23">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24">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24">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25">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23">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24">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24">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25">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23">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24">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24">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25">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23">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24">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24">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25">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23">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24">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24">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25">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23">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24">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24">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25">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23">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24">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24">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25">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24" sqref="G24"/>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44795</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70"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7"/>
      <c r="B20" s="1208" t="s">
        <v>2641</v>
      </c>
      <c r="C20" s="1217">
        <v>43697</v>
      </c>
      <c r="D20" s="3068">
        <v>4.25</v>
      </c>
      <c r="E20" s="3068">
        <f t="shared" si="0"/>
        <v>4.25</v>
      </c>
      <c r="F20" s="3068">
        <f t="shared" si="1"/>
        <v>4.25</v>
      </c>
      <c r="G20" s="3068">
        <f t="shared" si="2"/>
        <v>4.25</v>
      </c>
      <c r="H20" s="3068">
        <v>4.8499999999999996</v>
      </c>
      <c r="I20" s="3068"/>
      <c r="J20" s="3068"/>
      <c r="K20" s="3067"/>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45:F148"/>
  <sheetViews>
    <sheetView topLeftCell="A135" workbookViewId="0">
      <selection activeCell="G161" sqref="G161"/>
    </sheetView>
  </sheetViews>
  <sheetFormatPr defaultRowHeight="13.5"/>
  <sheetData>
    <row r="145" spans="3:6">
      <c r="D145" s="1268" t="s">
        <v>3050</v>
      </c>
      <c r="E145" s="1268" t="s">
        <v>3051</v>
      </c>
      <c r="F145" s="1268" t="s">
        <v>3052</v>
      </c>
    </row>
    <row r="146" spans="3:6">
      <c r="C146" s="1268" t="s">
        <v>3048</v>
      </c>
      <c r="D146">
        <v>295</v>
      </c>
      <c r="E146">
        <v>50848</v>
      </c>
      <c r="F146">
        <v>1</v>
      </c>
    </row>
    <row r="147" spans="3:6">
      <c r="C147" s="1268" t="s">
        <v>3049</v>
      </c>
      <c r="D147">
        <v>302</v>
      </c>
      <c r="E147">
        <v>50000</v>
      </c>
      <c r="F147">
        <v>1</v>
      </c>
    </row>
    <row r="148" spans="3:6">
      <c r="C148" s="1268" t="s">
        <v>3049</v>
      </c>
      <c r="D148">
        <v>318.60000000000002</v>
      </c>
      <c r="E148">
        <v>50000</v>
      </c>
      <c r="F148">
        <v>1</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2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8"/>
      <c r="C2" s="3328"/>
      <c r="D2" s="3328"/>
      <c r="E2" s="3328"/>
    </row>
    <row r="3" spans="1:5" ht="13.5" customHeight="1">
      <c r="A3" s="1289"/>
      <c r="B3" s="1289"/>
      <c r="C3" s="1289"/>
      <c r="D3" s="1289"/>
      <c r="E3" s="1289"/>
    </row>
    <row r="4" spans="1:5" ht="19.5" thickBot="1">
      <c r="A4" s="3329" t="str">
        <f>IF(项目基本情况!D5="房地产市场价值","估价结果一览表（市场价值不需本页表格)","估价结果一览表")</f>
        <v>估价结果一览表</v>
      </c>
      <c r="B4" s="3329"/>
      <c r="C4" s="3329"/>
      <c r="D4" s="3329"/>
      <c r="E4" s="3329"/>
    </row>
    <row r="5" spans="1:5" ht="14.25" customHeight="1" thickTop="1">
      <c r="A5" s="1286"/>
      <c r="B5" s="1290" t="s">
        <v>562</v>
      </c>
      <c r="C5" s="3330" t="s">
        <v>593</v>
      </c>
      <c r="D5" s="3331"/>
      <c r="E5" s="1286"/>
    </row>
    <row r="6" spans="1:5" ht="14.25">
      <c r="A6" s="1286"/>
      <c r="B6" s="1291" t="str">
        <f>项目基本情况!I1</f>
        <v>北京市房地产</v>
      </c>
      <c r="C6" s="3332">
        <f>项目基本情况!C12</f>
        <v>400.8</v>
      </c>
      <c r="D6" s="3332"/>
      <c r="E6" s="1286"/>
    </row>
    <row r="7" spans="1:5" ht="14.25">
      <c r="A7" s="1286"/>
      <c r="B7" s="3326" t="s">
        <v>594</v>
      </c>
      <c r="C7" s="1292" t="str">
        <f>IF('数据-取费表'!B3="万元","总价（万元）","总价（元）")</f>
        <v>总价（万元）</v>
      </c>
      <c r="D7" s="1293">
        <f ca="1">IF('数据-取费表'!E3="否",结果表!I102,'结果表 (1修多)'!I104)</f>
        <v>1399</v>
      </c>
      <c r="E7" s="1286"/>
    </row>
    <row r="8" spans="1:5" ht="14.25">
      <c r="A8" s="1286"/>
      <c r="B8" s="3326"/>
      <c r="C8" s="1294" t="s">
        <v>924</v>
      </c>
      <c r="D8" s="1295" t="str">
        <f ca="1">IF('数据-取费表'!B3="万元",NUMBERSTRING(INT(D7*10000),2)&amp;"元整",NUMBERSTRING(INT(D7),2)&amp;"元整")</f>
        <v>壹仟叁佰玖拾玖万元整</v>
      </c>
      <c r="E8" s="1286"/>
    </row>
    <row r="9" spans="1:5" ht="14.25">
      <c r="A9" s="1286"/>
      <c r="B9" s="3326"/>
      <c r="C9" s="1296" t="s">
        <v>1020</v>
      </c>
      <c r="D9" s="1293">
        <f ca="1">IF('数据-取费表'!E3="否",结果表!I103,'结果表 (1修多)'!I105)</f>
        <v>34905</v>
      </c>
      <c r="E9" s="1286"/>
    </row>
    <row r="10" spans="1:5" ht="14.25">
      <c r="A10" s="1286"/>
      <c r="B10" s="3333"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33"/>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33" t="str">
        <f>IF('数据-取费表'!E3="否",结果表!F110,'结果表 (1修多)'!F112)</f>
        <v>3.房地产抵押价值</v>
      </c>
      <c r="C15" s="1287" t="str">
        <f>C7</f>
        <v>总价（万元）</v>
      </c>
      <c r="D15" s="1293">
        <f ca="1">IF('数据-取费表'!E3="否",结果表!I110,'结果表 (1修多)'!I112)</f>
        <v>1399</v>
      </c>
      <c r="E15" s="1286"/>
    </row>
    <row r="16" spans="1:5" ht="14.25">
      <c r="A16" s="1286"/>
      <c r="B16" s="3333"/>
      <c r="C16" s="1294" t="s">
        <v>924</v>
      </c>
      <c r="D16" s="1293" t="str">
        <f ca="1">IF('数据-取费表'!B3="万元",NUMBERSTRING(INT(D15*10000),2)&amp;"元整",NUMBERSTRING(INT(D15),2)&amp;"元整")</f>
        <v>壹仟叁佰玖拾玖万元整</v>
      </c>
      <c r="E16" s="1286"/>
    </row>
    <row r="17" spans="1:5" ht="14.25">
      <c r="A17" s="1286"/>
      <c r="B17" s="3333"/>
      <c r="C17" s="1296" t="s">
        <v>1020</v>
      </c>
      <c r="D17" s="1293">
        <f ca="1">IF('数据-取费表'!E3="否",结果表!I111,'结果表 (1修多)'!I113)</f>
        <v>34905</v>
      </c>
      <c r="E17" s="1286"/>
    </row>
    <row r="18" spans="1:5" ht="14.25">
      <c r="A18" s="1286"/>
      <c r="B18" s="3333" t="str">
        <f>IF('数据-取费表'!E3="否",结果表!F112,'结果表 (1修多)'!F114)</f>
        <v>——</v>
      </c>
      <c r="C18" s="1287" t="str">
        <f>C7</f>
        <v>总价（万元）</v>
      </c>
      <c r="D18" s="1293" t="str">
        <f>IF('数据-取费表'!E3="否",结果表!I112,'结果表 (1修多)'!I114)</f>
        <v>——</v>
      </c>
      <c r="E18" s="1286"/>
    </row>
    <row r="19" spans="1:5" ht="14.25">
      <c r="A19" s="1286"/>
      <c r="B19" s="3333"/>
      <c r="C19" s="1294" t="s">
        <v>924</v>
      </c>
      <c r="D19" s="1293" t="e">
        <f>IF('数据-取费表'!B3="万元",NUMBERSTRING(INT(D18*10000),2)&amp;"元整",NUMBERSTRING(INT(D18),2)&amp;"元整")</f>
        <v>#VALUE!</v>
      </c>
      <c r="E19" s="1286"/>
    </row>
    <row r="20" spans="1:5" ht="14.25">
      <c r="A20" s="1286"/>
      <c r="B20" s="3333"/>
      <c r="C20" s="1296" t="s">
        <v>1020</v>
      </c>
      <c r="D20" s="1293" t="str">
        <f>IF('数据-取费表'!E3="否",结果表!I113,'结果表 (1修多)'!I115)</f>
        <v>——</v>
      </c>
      <c r="E20" s="1286"/>
    </row>
    <row r="21" spans="1:5" ht="14.25">
      <c r="A21" s="1286"/>
      <c r="B21" s="3326" t="str">
        <f>IF('数据-取费表'!E3="否",结果表!F114,'结果表 (1修多)'!F116)</f>
        <v>——</v>
      </c>
      <c r="C21" s="1292" t="str">
        <f>C7</f>
        <v>总价（万元）</v>
      </c>
      <c r="D21" s="1293" t="str">
        <f>IF('数据-取费表'!E3="否",结果表!I114,'结果表 (1修多)'!I116)</f>
        <v>——</v>
      </c>
      <c r="E21" s="1286"/>
    </row>
    <row r="22" spans="1:5" ht="14.25">
      <c r="A22" s="1286"/>
      <c r="B22" s="3326"/>
      <c r="C22" s="1294" t="s">
        <v>924</v>
      </c>
      <c r="D22" s="1295" t="e">
        <f>IF('数据-取费表'!B3="万元",NUMBERSTRING(INT(D21*10000),2)&amp;"元整",NUMBERSTRING(INT(D21),2)&amp;"元整")</f>
        <v>#VALUE!</v>
      </c>
      <c r="E22" s="1286"/>
    </row>
    <row r="23" spans="1:5" ht="15" thickBot="1">
      <c r="A23" s="1286"/>
      <c r="B23" s="3327"/>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41" t="s">
        <v>1021</v>
      </c>
      <c r="C25" s="3341"/>
      <c r="D25" s="3341"/>
      <c r="E25" s="1286"/>
    </row>
    <row r="26" spans="1:5" ht="18.75" customHeight="1" thickTop="1">
      <c r="A26" s="1286"/>
      <c r="B26" s="3344" t="s">
        <v>923</v>
      </c>
      <c r="C26" s="3345"/>
      <c r="D26" s="3342" t="s">
        <v>922</v>
      </c>
      <c r="E26" s="1286"/>
    </row>
    <row r="27" spans="1:5" ht="18.75" customHeight="1">
      <c r="A27" s="1286"/>
      <c r="B27" s="3346"/>
      <c r="C27" s="3347"/>
      <c r="D27" s="3343"/>
      <c r="E27" s="1286"/>
    </row>
    <row r="28" spans="1:5" ht="14.25">
      <c r="A28" s="1286"/>
      <c r="B28" s="3334" t="s">
        <v>594</v>
      </c>
      <c r="C28" s="1303" t="s">
        <v>925</v>
      </c>
      <c r="D28" s="1304">
        <f ca="1">IF('数据-取费表'!E3="否",结果表!I102,'结果表 (1修多)'!I104)</f>
        <v>1399</v>
      </c>
      <c r="E28" s="1286"/>
    </row>
    <row r="29" spans="1:5" ht="14.25">
      <c r="A29" s="1286"/>
      <c r="B29" s="3335"/>
      <c r="C29" s="1305" t="s">
        <v>924</v>
      </c>
      <c r="D29" s="1306" t="str">
        <f ca="1">IF('数据-取费表'!B3="万元",NUMBERSTRING(INT(D28*10000),2)&amp;"元整",NUMBERSTRING(INT(D28),2)&amp;"元整")</f>
        <v>壹仟叁佰玖拾玖万元整</v>
      </c>
      <c r="E29" s="1286"/>
    </row>
    <row r="30" spans="1:5" ht="14.25">
      <c r="A30" s="1286"/>
      <c r="B30" s="3336"/>
      <c r="C30" s="1296" t="s">
        <v>927</v>
      </c>
      <c r="D30" s="1307">
        <f ca="1">IF('数据-取费表'!E3="否",结果表!I103,'结果表 (1修多)'!I105)</f>
        <v>34905</v>
      </c>
      <c r="E30" s="1286"/>
    </row>
    <row r="31" spans="1:5" ht="14.25">
      <c r="A31" s="1286"/>
      <c r="B31" s="3339" t="str">
        <f>B10</f>
        <v>2.估价师所知悉的法定优先受偿款</v>
      </c>
      <c r="C31" s="1308" t="s">
        <v>926</v>
      </c>
      <c r="D31" s="1309">
        <f>IF('数据-取费表'!E3="否",结果表!I105,'结果表 (1修多)'!I107)</f>
        <v>0</v>
      </c>
      <c r="E31" s="1286"/>
    </row>
    <row r="32" spans="1:5" ht="14.25">
      <c r="A32" s="1286"/>
      <c r="B32" s="3348"/>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37" t="str">
        <f>B15</f>
        <v>3.房地产抵押价值</v>
      </c>
      <c r="C36" s="1308" t="str">
        <f>C28</f>
        <v>总价</v>
      </c>
      <c r="D36" s="1309">
        <f ca="1">IF('数据-取费表'!E3="否",结果表!I110,'结果表 (1修多)'!I112)</f>
        <v>1399</v>
      </c>
      <c r="E36" s="1286"/>
    </row>
    <row r="37" spans="1:5" ht="14.25">
      <c r="A37" s="1286"/>
      <c r="B37" s="3337"/>
      <c r="C37" s="1305" t="s">
        <v>924</v>
      </c>
      <c r="D37" s="1310" t="str">
        <f ca="1">IF('数据-取费表'!B3="万元",NUMBERSTRING(INT(D36*10000),2)&amp;"元整",NUMBERSTRING(INT(D36),2)&amp;"元整")</f>
        <v>壹仟叁佰玖拾玖万元整</v>
      </c>
      <c r="E37" s="1286"/>
    </row>
    <row r="38" spans="1:5" ht="14.25">
      <c r="A38" s="1286"/>
      <c r="B38" s="3337"/>
      <c r="C38" s="1296" t="s">
        <v>928</v>
      </c>
      <c r="D38" s="1307">
        <f ca="1">IF('数据-取费表'!E3="否",结果表!D113,'结果表 (1修多)'!D117)</f>
        <v>34905</v>
      </c>
      <c r="E38" s="1286"/>
    </row>
    <row r="39" spans="1:5" ht="14.25">
      <c r="A39" s="1286"/>
      <c r="B39" s="3338" t="str">
        <f>B18</f>
        <v>——</v>
      </c>
      <c r="C39" s="1308" t="str">
        <f>C28</f>
        <v>总价</v>
      </c>
      <c r="D39" s="1309" t="str">
        <f>IF('数据-取费表'!E3="否",结果表!I112,'结果表 (1修多)'!I114)</f>
        <v>——</v>
      </c>
      <c r="E39" s="1286"/>
    </row>
    <row r="40" spans="1:5" ht="14.25">
      <c r="A40" s="1286"/>
      <c r="B40" s="3338"/>
      <c r="C40" s="1305" t="s">
        <v>924</v>
      </c>
      <c r="D40" s="1310" t="e">
        <f>IF('数据-取费表'!B3="万元",NUMBERSTRING(INT(D39*10000),2)&amp;"元整",NUMBERSTRING(INT(D39),2)&amp;"元整")</f>
        <v>#VALUE!</v>
      </c>
      <c r="E40" s="1286"/>
    </row>
    <row r="41" spans="1:5" ht="14.25">
      <c r="A41" s="1286"/>
      <c r="B41" s="3338"/>
      <c r="C41" s="1296" t="s">
        <v>928</v>
      </c>
      <c r="D41" s="1307" t="str">
        <f>IF('数据-取费表'!E3="否",结果表!D115,'结果表 (1修多)'!D119)</f>
        <v>——</v>
      </c>
      <c r="E41" s="1286"/>
    </row>
    <row r="42" spans="1:5" ht="14.25">
      <c r="A42" s="1286"/>
      <c r="B42" s="3337" t="str">
        <f>B21</f>
        <v>——</v>
      </c>
      <c r="C42" s="1308" t="str">
        <f>C28</f>
        <v>总价</v>
      </c>
      <c r="D42" s="1309" t="str">
        <f>IF('数据-取费表'!E3="否",结果表!I114,'结果表 (1修多)'!I116)</f>
        <v>——</v>
      </c>
      <c r="E42" s="1286"/>
    </row>
    <row r="43" spans="1:5" ht="14.25">
      <c r="A43" s="1286"/>
      <c r="B43" s="3339"/>
      <c r="C43" s="1305" t="s">
        <v>924</v>
      </c>
      <c r="D43" s="1311" t="e">
        <f>IF('数据-取费表'!B3="万元",NUMBERSTRING(INT(D42*10000),2)&amp;"元整",NUMBERSTRING(INT(D42),2)&amp;"元整")</f>
        <v>#VALUE!</v>
      </c>
      <c r="E43" s="1286"/>
    </row>
    <row r="44" spans="1:5" ht="15" thickBot="1">
      <c r="A44" s="1286"/>
      <c r="B44" s="3340"/>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55" t="str">
        <f>IF(项目基本情况!D5="房地产市场价值","估价结果一览表","结果表-2")</f>
        <v>结果表-2</v>
      </c>
      <c r="B1" s="3355"/>
      <c r="C1" s="3355"/>
      <c r="D1" s="3355"/>
      <c r="E1" s="3355"/>
      <c r="F1" s="3355"/>
      <c r="G1" s="3355"/>
      <c r="H1" s="3355"/>
      <c r="I1" s="3355"/>
    </row>
    <row r="2" spans="1:9" ht="30" customHeight="1" thickTop="1">
      <c r="A2" s="3356" t="s">
        <v>1022</v>
      </c>
      <c r="B2" s="3356" t="s">
        <v>1023</v>
      </c>
      <c r="C2" s="3356" t="s">
        <v>1024</v>
      </c>
      <c r="D2" s="3356" t="str">
        <f>IF('数据-取费表'!E3="否",结果表!D119,'结果表 (1修多)'!D123)</f>
        <v>出让国有建设用地使用权价值</v>
      </c>
      <c r="E2" s="3356"/>
      <c r="F2" s="3356" t="s">
        <v>1025</v>
      </c>
      <c r="G2" s="3356"/>
      <c r="H2" s="3356" t="s">
        <v>1026</v>
      </c>
      <c r="I2" s="3356"/>
    </row>
    <row r="3" spans="1:9" ht="15">
      <c r="A3" s="3351"/>
      <c r="B3" s="3351"/>
      <c r="C3" s="3351"/>
      <c r="D3" s="775" t="s">
        <v>1027</v>
      </c>
      <c r="E3" s="775" t="s">
        <v>1028</v>
      </c>
      <c r="F3" s="775" t="s">
        <v>1027</v>
      </c>
      <c r="G3" s="775" t="s">
        <v>1029</v>
      </c>
      <c r="H3" s="775" t="s">
        <v>1027</v>
      </c>
      <c r="I3" s="775" t="s">
        <v>1029</v>
      </c>
    </row>
    <row r="4" spans="1:9" ht="46.5" customHeight="1">
      <c r="A4" s="775" t="str">
        <f>项目基本情况!I1</f>
        <v>北京市房地产</v>
      </c>
      <c r="B4" s="775">
        <f>结果表!B121</f>
        <v>400.8</v>
      </c>
      <c r="C4" s="775">
        <f>结果表!C121</f>
        <v>0</v>
      </c>
      <c r="D4" s="775">
        <f>IF('数据-取费表'!E3="否",结果表!D121,'结果表 (1修多)'!D125)</f>
        <v>0</v>
      </c>
      <c r="E4" s="775">
        <f>IF('数据-取费表'!E3="否",结果表!E121,'结果表 (1修多)'!E125)</f>
        <v>0</v>
      </c>
      <c r="F4" s="775">
        <f>IF('数据-取费表'!E3="否",结果表!F121,'结果表 (1修多)'!F125)</f>
        <v>0</v>
      </c>
      <c r="G4" s="775">
        <f>IF('数据-取费表'!E3="否",结果表!G121,'结果表 (1修多)'!G125)</f>
        <v>0</v>
      </c>
      <c r="H4" s="775">
        <f ca="1">IF('数据-取费表'!E3="否",结果表!H121,'结果表 (1修多)'!H125)</f>
        <v>1399</v>
      </c>
      <c r="I4" s="775">
        <f ca="1">IF('数据-取费表'!E3="否",结果表!I121,'结果表 (1修多)'!I125)</f>
        <v>34905</v>
      </c>
    </row>
    <row r="5" spans="1:9" ht="15">
      <c r="A5" s="3351" t="s">
        <v>1030</v>
      </c>
      <c r="B5" s="3351"/>
      <c r="C5" s="3351"/>
      <c r="D5" s="3349" t="str">
        <f>IF('数据-取费表'!E3="否",结果表!D122,'结果表 (1修多)'!D126)</f>
        <v>零元整</v>
      </c>
      <c r="E5" s="3349"/>
      <c r="F5" s="3349" t="str">
        <f>IF('数据-取费表'!E3="否",结果表!F122,'结果表 (1修多)'!F126)</f>
        <v>零元整</v>
      </c>
      <c r="G5" s="3349"/>
      <c r="H5" s="3349" t="str">
        <f ca="1">IF('数据-取费表'!E3="否",结果表!H122,'结果表 (1修多)'!H126)</f>
        <v>壹仟叁佰玖拾玖万元整</v>
      </c>
      <c r="I5" s="3349"/>
    </row>
    <row r="6" spans="1:9" ht="15.75">
      <c r="A6" s="3350" t="str">
        <f>IF('数据-取费表'!E3="否",结果表!A123,'结果表 (1修多)'!A127)</f>
        <v>估价师所知悉的法定优先受偿款</v>
      </c>
      <c r="B6" s="3350"/>
      <c r="C6" s="3350"/>
      <c r="D6" s="3350">
        <f>IF('数据-取费表'!E3="否",结果表!D123,'结果表 (1修多)'!D127)</f>
        <v>0</v>
      </c>
      <c r="E6" s="3350"/>
      <c r="F6" s="3350"/>
      <c r="G6" s="3350"/>
      <c r="H6" s="3350"/>
      <c r="I6" s="3350"/>
    </row>
    <row r="7" spans="1:9" ht="15">
      <c r="A7" s="3351" t="s">
        <v>1030</v>
      </c>
      <c r="B7" s="3351"/>
      <c r="C7" s="3351"/>
      <c r="D7" s="3352">
        <f>IF('数据-取费表'!E3="否",结果表!D124,'结果表 (1修多)'!D128)</f>
        <v>0</v>
      </c>
      <c r="E7" s="3353"/>
      <c r="F7" s="3353"/>
      <c r="G7" s="3353"/>
      <c r="H7" s="3353"/>
      <c r="I7" s="3354"/>
    </row>
    <row r="8" spans="1:9" ht="15.75">
      <c r="A8" s="3350" t="str">
        <f>IF('数据-取费表'!E3="否",结果表!A125,'结果表 (1修多)'!A129)</f>
        <v>房地产抵押价值</v>
      </c>
      <c r="B8" s="3350"/>
      <c r="C8" s="3350"/>
      <c r="D8" s="3350">
        <f ca="1">IF('数据-取费表'!E3="否",结果表!D125,'结果表 (1修多)'!D129)</f>
        <v>1399</v>
      </c>
      <c r="E8" s="3350"/>
      <c r="F8" s="3350"/>
      <c r="G8" s="3350"/>
      <c r="H8" s="3350"/>
      <c r="I8" s="3350"/>
    </row>
    <row r="9" spans="1:9" ht="15">
      <c r="A9" s="3351" t="s">
        <v>1030</v>
      </c>
      <c r="B9" s="3351"/>
      <c r="C9" s="3351"/>
      <c r="D9" s="3349">
        <f ca="1">IF('数据-取费表'!E3="否",结果表!D126,'结果表 (1修多)'!D130)</f>
        <v>34905</v>
      </c>
      <c r="E9" s="3349"/>
      <c r="F9" s="3349"/>
      <c r="G9" s="3349"/>
      <c r="H9" s="3349"/>
      <c r="I9" s="3349"/>
    </row>
    <row r="10" spans="1:9" ht="15.75">
      <c r="A10" s="3350" t="str">
        <f>IF('数据-取费表'!E3="否",结果表!A127,'结果表 (1修多)'!A131)</f>
        <v/>
      </c>
      <c r="B10" s="3350"/>
      <c r="C10" s="3350"/>
      <c r="D10" s="3350">
        <f ca="1">IF('数据-取费表'!E3="否",结果表!D127,'结果表 (1修多)'!D130)</f>
        <v>34905</v>
      </c>
      <c r="E10" s="3350"/>
      <c r="F10" s="3350"/>
      <c r="G10" s="3350"/>
      <c r="H10" s="3350"/>
      <c r="I10" s="3350"/>
    </row>
    <row r="11" spans="1:9" ht="15">
      <c r="A11" s="3351" t="s">
        <v>1030</v>
      </c>
      <c r="B11" s="3351"/>
      <c r="C11" s="3351"/>
      <c r="D11" s="3349" t="str">
        <f>IF('数据-取费表'!E3="否",结果表!D128,'结果表 (1修多)'!D132)</f>
        <v>——</v>
      </c>
      <c r="E11" s="3349"/>
      <c r="F11" s="3349"/>
      <c r="G11" s="3349"/>
      <c r="H11" s="3349"/>
      <c r="I11" s="3349"/>
    </row>
    <row r="12" spans="1:9" ht="15.75">
      <c r="A12" s="3350" t="str">
        <f>IF('数据-取费表'!E3="否",结果表!A129,'结果表 (1修多)'!A133)</f>
        <v/>
      </c>
      <c r="B12" s="3350"/>
      <c r="C12" s="3350"/>
      <c r="D12" s="3350" t="str">
        <f>IF('数据-取费表'!E3="否",结果表!D129,'结果表 (1修多)'!D133)</f>
        <v>——</v>
      </c>
      <c r="E12" s="3350"/>
      <c r="F12" s="3350"/>
      <c r="G12" s="3350"/>
      <c r="H12" s="3350"/>
      <c r="I12" s="3350"/>
    </row>
    <row r="13" spans="1:9" ht="15.75" thickBot="1">
      <c r="A13" s="3357" t="s">
        <v>1030</v>
      </c>
      <c r="B13" s="3357"/>
      <c r="C13" s="3357"/>
      <c r="D13" s="3358">
        <f>IF('数据-取费表'!E3="否",结果表!D130,'结果表 (1修多)'!D134)</f>
        <v>0</v>
      </c>
      <c r="E13" s="3358"/>
      <c r="F13" s="3358"/>
      <c r="G13" s="3358"/>
      <c r="H13" s="3358"/>
      <c r="I13" s="3358"/>
    </row>
    <row r="14" spans="1:9" ht="15" thickTop="1">
      <c r="A14" s="3359" t="str">
        <f>IF('数据-取费表'!E3="否",结果表!A131,'结果表 (1修多)'!A135)</f>
        <v>单位：平方米、万元、元/平方米（币种：人民币）</v>
      </c>
      <c r="B14" s="3359"/>
      <c r="C14" s="3359"/>
      <c r="D14" s="3359"/>
      <c r="E14" s="3359"/>
      <c r="F14" s="3359"/>
      <c r="G14" s="3359"/>
      <c r="H14" s="3359"/>
      <c r="I14" s="3359"/>
    </row>
    <row r="15" spans="1:9">
      <c r="A15" s="604"/>
      <c r="B15" s="604"/>
      <c r="C15" s="604"/>
      <c r="D15" s="604"/>
      <c r="E15" s="604"/>
      <c r="F15" s="604"/>
      <c r="G15" s="604"/>
      <c r="H15" s="604"/>
      <c r="I15" s="604"/>
    </row>
    <row r="16" spans="1:9" ht="18.75">
      <c r="A16" s="1314" t="s">
        <v>1031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64" t="s">
        <v>1043</v>
      </c>
      <c r="B1" s="3364"/>
      <c r="C1" s="3364"/>
      <c r="D1" s="3364"/>
    </row>
    <row r="2" spans="1:4" ht="18">
      <c r="A2" s="3363" t="s">
        <v>1032</v>
      </c>
      <c r="B2" s="3363"/>
      <c r="C2" s="3363"/>
      <c r="D2" s="3363"/>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f>项目基本情况!D3</f>
        <v>0</v>
      </c>
      <c r="B5" s="1317">
        <f>项目基本情况!E3</f>
        <v>0</v>
      </c>
      <c r="C5" s="1320"/>
      <c r="D5" s="1319" t="s">
        <v>1044</v>
      </c>
    </row>
    <row r="6" spans="1:4" ht="12" customHeight="1">
      <c r="A6" s="1316"/>
      <c r="B6" s="1317"/>
      <c r="C6" s="1321"/>
      <c r="D6" s="1319"/>
    </row>
    <row r="7" spans="1:4" ht="18">
      <c r="A7" s="3363" t="s">
        <v>1037</v>
      </c>
      <c r="B7" s="3363"/>
      <c r="C7" s="3363"/>
      <c r="D7" s="3363"/>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60" t="s">
        <v>2495</v>
      </c>
      <c r="B12" s="3362"/>
      <c r="C12" s="3362"/>
      <c r="D12" s="3362"/>
    </row>
    <row r="13" spans="1:4" ht="15.75">
      <c r="A13" s="336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2"/>
      <c r="C13" s="3362"/>
      <c r="D13" s="3362"/>
    </row>
    <row r="14" spans="1:4" ht="30" customHeight="1">
      <c r="A14" s="3360" t="str">
        <f>IF(项目基本情况!D4="抵押","3.抵押双方在办理抵押登记手续时，应使用本公司出具的正式《不动产估价报告书》，特提醒报告使用者注意。","——")</f>
        <v>——</v>
      </c>
      <c r="B14" s="3362"/>
      <c r="C14" s="3362"/>
      <c r="D14" s="3362"/>
    </row>
    <row r="15" spans="1:4" ht="15.75" customHeight="1">
      <c r="A15" s="3360" t="str">
        <f>IF(项目基本情况!D4="抵押","4.本次评估估价师所知悉的法定优先受偿款情况说明如下：","——")</f>
        <v>——</v>
      </c>
      <c r="B15" s="3362"/>
      <c r="C15" s="3362"/>
      <c r="D15" s="3362"/>
    </row>
    <row r="16" spans="1:4" ht="75" customHeight="1">
      <c r="A16" s="3360" t="str">
        <f>IF(项目基本情况!D4="抵押",CONCATENATE(项目基本情况!J13,项目基本情况!J14,项目基本情况!J15),"——")</f>
        <v>——</v>
      </c>
      <c r="B16" s="3360"/>
      <c r="C16" s="3360"/>
      <c r="D16" s="3360"/>
    </row>
    <row r="17" spans="1:4" ht="63.75" customHeight="1">
      <c r="A17" s="3361" t="s">
        <v>1045</v>
      </c>
      <c r="B17" s="3361"/>
      <c r="C17" s="3361"/>
      <c r="D17" s="3361"/>
    </row>
    <row r="18" spans="1:4" ht="15.75" customHeight="1">
      <c r="A18" s="3360" t="str">
        <f>IF(项目基本情况!D4="抵押",结果表!L106,"——")</f>
        <v>——</v>
      </c>
      <c r="B18" s="3360"/>
      <c r="C18" s="3360"/>
      <c r="D18" s="3360"/>
    </row>
    <row r="19" spans="1:4" ht="46.5" customHeight="1">
      <c r="A19" s="336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spans="1:4" ht="15">
      <c r="A20" s="3361" t="s">
        <v>2496</v>
      </c>
      <c r="B20" s="3361"/>
      <c r="C20" s="3361"/>
      <c r="D20" s="3361"/>
    </row>
    <row r="21" spans="1:4">
      <c r="A21" s="1324"/>
      <c r="B21" s="937"/>
      <c r="C21" s="937"/>
      <c r="D21" s="937"/>
    </row>
    <row r="22" spans="1:4">
      <c r="A22" s="1324"/>
      <c r="B22" s="937"/>
      <c r="C22" s="937"/>
      <c r="D22" s="937"/>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4"/>
  </cols>
  <sheetData>
    <row r="1" spans="1:7" s="1314" customFormat="1" ht="18.75">
      <c r="A1" s="602" t="s">
        <v>1112</v>
      </c>
    </row>
    <row r="3" spans="1:7" ht="14.25">
      <c r="A3" s="1331" t="s">
        <v>1113</v>
      </c>
      <c r="B3" s="604" t="s">
        <v>1114</v>
      </c>
      <c r="G3" s="1332"/>
    </row>
    <row r="4" spans="1:7">
      <c r="G4" s="1332"/>
    </row>
    <row r="5" spans="1:7" ht="14.25">
      <c r="A5" s="1334" t="s">
        <v>1115</v>
      </c>
      <c r="B5" s="604" t="s">
        <v>1116</v>
      </c>
      <c r="G5" s="1332"/>
    </row>
    <row r="6" spans="1:7">
      <c r="G6" s="1332"/>
    </row>
    <row r="7" spans="1:7" ht="14.25">
      <c r="A7" s="1335" t="s">
        <v>1117</v>
      </c>
      <c r="B7" s="604" t="s">
        <v>1118</v>
      </c>
      <c r="G7" s="1332"/>
    </row>
    <row r="8" spans="1:7">
      <c r="G8" s="1332"/>
    </row>
    <row r="9" spans="1:7">
      <c r="A9" s="1336" t="s">
        <v>1119</v>
      </c>
      <c r="B9" s="604" t="s">
        <v>1120</v>
      </c>
    </row>
    <row r="11" spans="1:7">
      <c r="A11" s="1337" t="s">
        <v>1121</v>
      </c>
      <c r="B11" s="1338" t="s">
        <v>1122</v>
      </c>
    </row>
    <row r="13" spans="1:7">
      <c r="A13" s="1118" t="s">
        <v>1123</v>
      </c>
    </row>
    <row r="15" spans="1:7" ht="14.25">
      <c r="A15" s="3370" t="s">
        <v>1124</v>
      </c>
      <c r="B15" s="3365" t="s">
        <v>1125</v>
      </c>
      <c r="C15" s="3366"/>
    </row>
    <row r="16" spans="1:7" ht="14.25">
      <c r="A16" s="3371"/>
      <c r="B16" s="3365" t="s">
        <v>1126</v>
      </c>
      <c r="C16" s="3366"/>
    </row>
    <row r="17" spans="1:3" ht="14.25">
      <c r="A17" s="3371"/>
      <c r="B17" s="3365" t="s">
        <v>1127</v>
      </c>
      <c r="C17" s="3366"/>
    </row>
    <row r="18" spans="1:3" ht="14.25">
      <c r="A18" s="3372"/>
      <c r="B18" s="3367" t="s">
        <v>1128</v>
      </c>
      <c r="C18" s="3366"/>
    </row>
    <row r="19" spans="1:3" ht="14.25">
      <c r="A19" s="1339" t="s">
        <v>1129</v>
      </c>
      <c r="B19" s="1340"/>
      <c r="C19" s="1341"/>
    </row>
    <row r="20" spans="1:3" ht="14.25">
      <c r="A20" s="3368" t="s">
        <v>1130</v>
      </c>
      <c r="B20" s="3367" t="s">
        <v>1131</v>
      </c>
      <c r="C20" s="3366"/>
    </row>
    <row r="21" spans="1:3" ht="14.25">
      <c r="A21" s="3368"/>
      <c r="B21" s="3367" t="s">
        <v>1132</v>
      </c>
      <c r="C21" s="3366"/>
    </row>
    <row r="22" spans="1:3" ht="14.25">
      <c r="A22" s="3368"/>
      <c r="B22" s="3367" t="s">
        <v>1133</v>
      </c>
      <c r="C22" s="3366"/>
    </row>
    <row r="23" spans="1:3" ht="14.25">
      <c r="A23" s="3368"/>
      <c r="B23" s="3369" t="s">
        <v>1134</v>
      </c>
      <c r="C23" s="1342" t="s">
        <v>1135</v>
      </c>
    </row>
    <row r="24" spans="1:3" ht="14.25">
      <c r="A24" s="3368"/>
      <c r="B24" s="3369"/>
      <c r="C24" s="1342" t="s">
        <v>1136</v>
      </c>
    </row>
    <row r="25" spans="1:3" ht="14.25">
      <c r="A25" s="3368"/>
      <c r="B25" s="3369"/>
      <c r="C25" s="1342" t="s">
        <v>1137</v>
      </c>
    </row>
    <row r="26" spans="1:3" ht="14.25">
      <c r="A26" s="3368"/>
      <c r="B26" s="3369"/>
      <c r="C26" s="1342" t="s">
        <v>1138</v>
      </c>
    </row>
    <row r="27" spans="1:3" ht="14.25">
      <c r="A27" s="3368"/>
      <c r="B27" s="3369"/>
      <c r="C27" s="1342" t="s">
        <v>1139</v>
      </c>
    </row>
    <row r="28" spans="1:3" ht="14.25">
      <c r="A28" s="3368"/>
      <c r="B28" s="3369"/>
      <c r="C28" s="1342" t="s">
        <v>1140</v>
      </c>
    </row>
    <row r="29" spans="1:3" ht="14.25">
      <c r="A29" s="3368"/>
      <c r="B29" s="3369"/>
      <c r="C29" s="1342" t="s">
        <v>1141</v>
      </c>
    </row>
    <row r="30" spans="1:3" ht="14.25">
      <c r="A30" s="3368"/>
      <c r="B30" s="3369"/>
      <c r="C30" s="1342" t="s">
        <v>1142</v>
      </c>
    </row>
    <row r="31" spans="1:3" ht="14.25">
      <c r="A31" s="3368"/>
      <c r="B31" s="3369"/>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44795</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f ca="1">IF(C4&lt;B2,"已过期",1119970066)</f>
        <v>1119970066</v>
      </c>
      <c r="C4" s="2987">
        <v>44876</v>
      </c>
      <c r="D4" s="2997" t="str">
        <f ca="1">A4&amp;"（注册号："&amp;B4&amp;"）"</f>
        <v>梁津（注册号：1119970066）</v>
      </c>
      <c r="E4" s="2999" t="s">
        <v>573</v>
      </c>
      <c r="F4" s="1229">
        <f ca="1">IF(G4&lt;B2,"已过期",96010014)</f>
        <v>96010014</v>
      </c>
      <c r="G4" s="2988">
        <v>47118</v>
      </c>
      <c r="H4" s="2989" t="str">
        <f ca="1">E4&amp;"（注册号："&amp;F4&amp;"）"</f>
        <v>梁津（注册号：96010014）</v>
      </c>
    </row>
    <row r="5" spans="1:8" ht="24" customHeight="1">
      <c r="A5" s="1229" t="s">
        <v>574</v>
      </c>
      <c r="B5" s="1229">
        <f ca="1">IF(C5&lt;B2,"已过期",1119970111)</f>
        <v>1119970111</v>
      </c>
      <c r="C5" s="2987">
        <v>44876</v>
      </c>
      <c r="D5" s="2997" t="str">
        <f t="shared" ref="D5:D14" ca="1" si="0">A5&amp;"（注册号："&amp;B5&amp;"）"</f>
        <v>叶凌（注册号：1119970111）</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f ca="1">IF(C7&lt;B2,"已过期",1120000080)</f>
        <v>1120000080</v>
      </c>
      <c r="C7" s="2987">
        <v>44876</v>
      </c>
      <c r="D7" s="2997" t="str">
        <f t="shared" ca="1" si="0"/>
        <v>欧红伟（注册号：1120000080）</v>
      </c>
      <c r="E7" s="2999" t="s">
        <v>576</v>
      </c>
      <c r="F7" s="1229">
        <f ca="1">IF(G7&lt;B2,"已过期",2000110082)</f>
        <v>2000110082</v>
      </c>
      <c r="G7" s="2988">
        <v>46387</v>
      </c>
      <c r="H7" s="2989" t="str">
        <f t="shared" ca="1" si="1"/>
        <v>欧红伟（注册号：2000110082）</v>
      </c>
    </row>
    <row r="8" spans="1:8" ht="24" customHeight="1">
      <c r="A8" s="1229" t="s">
        <v>577</v>
      </c>
      <c r="B8" s="1229">
        <f ca="1">IF(C8&lt;B2,"已过期",1419970001)</f>
        <v>1419970001</v>
      </c>
      <c r="C8" s="2987">
        <v>44899</v>
      </c>
      <c r="D8" s="2997" t="str">
        <f t="shared" ca="1" si="0"/>
        <v>吴薇（注册号：1419970001）</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f ca="1">IF(C11&lt;B2,"已过期",1120070131)</f>
        <v>1120070131</v>
      </c>
      <c r="C11" s="2987">
        <v>44849</v>
      </c>
      <c r="D11" s="2997" t="str">
        <f t="shared" ca="1" si="0"/>
        <v>郑燚（注册号：1120070131）</v>
      </c>
      <c r="E11" s="2999" t="s">
        <v>580</v>
      </c>
      <c r="F11" s="1229">
        <f ca="1">IF(G11&lt;B2,"已过期",2014110011)</f>
        <v>2014110011</v>
      </c>
      <c r="G11" s="2988">
        <v>49302</v>
      </c>
      <c r="H11" s="2989" t="str">
        <f t="shared" ca="1" si="1"/>
        <v>郑燚（注册号：2014110011）</v>
      </c>
    </row>
    <row r="12" spans="1:8" ht="24" customHeight="1">
      <c r="A12" s="1229" t="s">
        <v>2472</v>
      </c>
      <c r="B12" s="1229">
        <f ca="1">IF(C12&lt;B2,"已过期",1120040230)</f>
        <v>1120040230</v>
      </c>
      <c r="C12" s="2990">
        <v>44864</v>
      </c>
      <c r="D12" s="2997" t="str">
        <f t="shared" ca="1" si="0"/>
        <v>苏海（注册号：1120040230）</v>
      </c>
      <c r="E12" s="2999" t="s">
        <v>2472</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2488</v>
      </c>
      <c r="B14" s="1229">
        <f ca="1">IF(C14&lt;B2,"已过期",1119980106)</f>
        <v>1119980106</v>
      </c>
      <c r="C14" s="2990">
        <v>44969</v>
      </c>
      <c r="D14" s="2997" t="str">
        <f t="shared" ca="1" si="0"/>
        <v>刘俊财（注册号：1119980106）</v>
      </c>
      <c r="E14" s="2999" t="s">
        <v>2588</v>
      </c>
      <c r="F14" s="1229">
        <f ca="1">IF(G14&lt;B2,"已过期",96010063)</f>
        <v>96010063</v>
      </c>
      <c r="G14" s="2988">
        <v>47483</v>
      </c>
      <c r="H14" s="2989" t="str">
        <f t="shared" ca="1" si="1"/>
        <v>刘俊财（注册号：96010063）</v>
      </c>
    </row>
    <row r="15" spans="1:8" ht="24" customHeight="1">
      <c r="A15" s="1229" t="s">
        <v>2800</v>
      </c>
      <c r="B15" s="1229">
        <v>1120210056</v>
      </c>
      <c r="C15" s="2990">
        <v>45410</v>
      </c>
      <c r="D15" s="2997" t="str">
        <f t="shared" ref="D15" si="2">A15&amp;"（注册号："&amp;B15&amp;"）"</f>
        <v>宁小鳗（注册号：1120210056）</v>
      </c>
      <c r="E15" s="2999" t="s">
        <v>2591</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73" t="s">
        <v>582</v>
      </c>
      <c r="B17" s="3373"/>
      <c r="C17" s="3373"/>
      <c r="D17" s="3373"/>
      <c r="E17" s="3373"/>
      <c r="F17" s="3373"/>
      <c r="G17" s="3373"/>
      <c r="H17" s="3373"/>
    </row>
    <row r="18" spans="1:8" ht="24" customHeight="1">
      <c r="A18" s="3374" t="s">
        <v>583</v>
      </c>
      <c r="B18" s="3374"/>
      <c r="C18" s="3374"/>
      <c r="D18" s="2986"/>
      <c r="E18" s="3375" t="s">
        <v>584</v>
      </c>
      <c r="F18" s="3374"/>
      <c r="G18" s="3374"/>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2589</v>
      </c>
      <c r="B20" s="2993" t="s">
        <v>2590</v>
      </c>
      <c r="C20" s="2988">
        <v>44820</v>
      </c>
      <c r="D20" s="3000"/>
      <c r="E20" s="3002" t="s">
        <v>588</v>
      </c>
      <c r="F20" s="2995" t="s">
        <v>2801</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4"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1"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2789</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1273</v>
      </c>
    </row>
    <row r="52" spans="1:4">
      <c r="A52" s="1351" t="s">
        <v>1274</v>
      </c>
      <c r="B52" s="1351" t="s">
        <v>1275</v>
      </c>
      <c r="C52" s="9" t="s">
        <v>1276</v>
      </c>
      <c r="D52" s="9" t="s">
        <v>1277</v>
      </c>
    </row>
    <row r="53" spans="1:4" ht="14.25" customHeight="1">
      <c r="A53" s="337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本次估价的“房地产价值”是指在正常市场情况下，在价值时点2022年8月22日，估价对象规划用途为，假定未设立法定优先受偿款下的房地产市场价值。</v>
      </c>
    </row>
    <row r="54" spans="1:4">
      <c r="A54" s="3376"/>
      <c r="B54" s="9" t="s">
        <v>1280</v>
      </c>
      <c r="C54" s="9" t="s">
        <v>1281</v>
      </c>
    </row>
    <row r="55" spans="1:4">
      <c r="A55" s="3376"/>
      <c r="B55" s="9" t="s">
        <v>1282</v>
      </c>
      <c r="C55" s="9" t="s">
        <v>1283</v>
      </c>
    </row>
    <row r="56" spans="1:4">
      <c r="A56" s="3376"/>
      <c r="B56" s="9" t="s">
        <v>1284</v>
      </c>
      <c r="C56" s="9" t="s">
        <v>1285</v>
      </c>
    </row>
    <row r="57" spans="1:4">
      <c r="A57" s="3376"/>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2022-08-22T03:44:16Z</dcterms:modified>
</cp:coreProperties>
</file>