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76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J13" i="80"/>
  <c r="J4" i="80"/>
  <c r="W2" i="80"/>
  <c r="V2" i="80"/>
  <c r="V4" i="80"/>
  <c r="X4" i="80"/>
  <c r="Y4" i="80"/>
  <c r="Y2" i="80"/>
  <c r="J12" i="80"/>
  <c r="J5" i="80"/>
  <c r="J6" i="80"/>
  <c r="J7" i="80"/>
  <c r="J8" i="80"/>
  <c r="J9" i="80"/>
  <c r="J10" i="80"/>
  <c r="J11" i="80"/>
  <c r="C15" i="74"/>
  <c r="B15" i="74"/>
  <c r="G9" i="80"/>
  <c r="G10" i="80" s="1"/>
  <c r="G11" i="80" s="1"/>
  <c r="G12" i="80" s="1"/>
  <c r="G7" i="80"/>
  <c r="G4" i="80"/>
  <c r="G5" i="80" s="1"/>
  <c r="D15" i="74" l="1"/>
  <c r="G15" i="74" l="1"/>
  <c r="E15" i="74" l="1"/>
  <c r="F15" i="74"/>
  <c r="I15" i="74" l="1"/>
  <c r="Y13" i="80" l="1"/>
  <c r="V12" i="80"/>
  <c r="V11" i="80"/>
  <c r="V10" i="80"/>
  <c r="V9" i="80"/>
  <c r="V8" i="80"/>
  <c r="V7" i="80"/>
  <c r="V6" i="80"/>
  <c r="V5" i="80"/>
  <c r="V3" i="80"/>
  <c r="V13" i="80" l="1"/>
  <c r="W13" i="80" s="1"/>
  <c r="F3" i="6"/>
  <c r="H3" i="80"/>
  <c r="H6" i="80"/>
  <c r="H2" i="80"/>
  <c r="H7" i="80"/>
  <c r="H12" i="80"/>
  <c r="H4" i="80"/>
  <c r="H5" i="80" l="1"/>
  <c r="H11" i="80"/>
  <c r="H10" i="80"/>
  <c r="H8" i="80"/>
  <c r="H9" i="80"/>
  <c r="I4" i="80" l="1"/>
  <c r="I5" i="80" s="1"/>
  <c r="L6" i="1" s="1"/>
  <c r="H13" i="80"/>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4" i="73"/>
  <c r="F14" i="73"/>
  <c r="E14" i="73"/>
  <c r="G13" i="80" l="1"/>
  <c r="W8" i="80"/>
  <c r="X8" i="80" s="1"/>
  <c r="W5" i="80"/>
  <c r="X5" i="80" s="1"/>
  <c r="W11" i="80"/>
  <c r="X11" i="80" s="1"/>
  <c r="W3" i="80"/>
  <c r="X3" i="80" s="1"/>
  <c r="W4" i="80"/>
  <c r="W12" i="80"/>
  <c r="W7" i="80"/>
  <c r="X7" i="80" s="1"/>
  <c r="X2" i="80"/>
  <c r="W10" i="80"/>
  <c r="X10" i="80" s="1"/>
  <c r="W9" i="80"/>
  <c r="X9" i="80" s="1"/>
  <c r="W6" i="80"/>
  <c r="X6" i="80" s="1"/>
  <c r="F19" i="6"/>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X12" i="80" l="1"/>
  <c r="G15" i="73"/>
  <c r="F15" i="73"/>
  <c r="E15" i="73"/>
  <c r="G16" i="73"/>
  <c r="F16" i="73"/>
  <c r="E16" i="73"/>
  <c r="D3" i="6" l="1"/>
  <c r="F4" i="6" s="1"/>
  <c r="F5" i="6" s="1"/>
  <c r="D33" i="43"/>
  <c r="X13" i="80"/>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30" i="71"/>
  <c r="B31" i="71" s="1"/>
  <c r="B32" i="71" s="1"/>
  <c r="S32" i="71" s="1"/>
  <c r="E30" i="71"/>
  <c r="E31" i="71" s="1"/>
  <c r="E32" i="71" s="1"/>
  <c r="U32" i="71" s="1"/>
  <c r="B39" i="71"/>
  <c r="C35" i="71"/>
  <c r="X38" i="71"/>
  <c r="P28" i="71"/>
  <c r="E28" i="71" s="1"/>
  <c r="U68" i="71"/>
  <c r="Q28" i="71"/>
  <c r="D58" i="71"/>
  <c r="Q68"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W29" i="39"/>
  <c r="AC18" i="35"/>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s="1"/>
  <c r="F88" i="39" s="1"/>
  <c r="G88" i="39" s="1"/>
  <c r="B85" i="39"/>
  <c r="F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J25" i="37" s="1"/>
  <c r="AC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AB26" i="37" s="1"/>
  <c r="D79" i="37"/>
  <c r="E79" i="37" s="1"/>
  <c r="F79" i="37" s="1"/>
  <c r="G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H47" i="34" s="1"/>
  <c r="B129" i="34"/>
  <c r="H46" i="34" s="1"/>
  <c r="AB46" i="34" s="1"/>
  <c r="B127" i="34"/>
  <c r="F45" i="34" s="1"/>
  <c r="S45" i="34" s="1"/>
  <c r="B99" i="34"/>
  <c r="B97" i="34"/>
  <c r="J31" i="34" s="1"/>
  <c r="B95" i="34"/>
  <c r="B93" i="34"/>
  <c r="H29" i="34" s="1"/>
  <c r="AB29" i="34" s="1"/>
  <c r="B75" i="34"/>
  <c r="F14" i="34" s="1"/>
  <c r="S14" i="34" s="1"/>
  <c r="B73" i="34"/>
  <c r="H13" i="34" s="1"/>
  <c r="U13" i="34" s="1"/>
  <c r="B71" i="34"/>
  <c r="B130" i="33"/>
  <c r="J46" i="33" s="1"/>
  <c r="B128" i="33"/>
  <c r="H45" i="33" s="1"/>
  <c r="B126" i="33"/>
  <c r="F44" i="33" s="1"/>
  <c r="B98" i="33"/>
  <c r="F31" i="33" s="1"/>
  <c r="AA31" i="33" s="1"/>
  <c r="B96" i="33"/>
  <c r="H30" i="33" s="1"/>
  <c r="AB30" i="33" s="1"/>
  <c r="B94" i="33"/>
  <c r="B74" i="33"/>
  <c r="J14" i="33" s="1"/>
  <c r="AC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65" i="43" s="1"/>
  <c r="C21" i="20"/>
  <c r="B99" i="43" s="1"/>
  <c r="C20" i="20"/>
  <c r="B69"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B98" i="21"/>
  <c r="B96" i="21"/>
  <c r="F30" i="21" s="1"/>
  <c r="S30" i="21" s="1"/>
  <c r="B94" i="21"/>
  <c r="B92" i="2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J40" i="21"/>
  <c r="W40" i="21" s="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26" i="21"/>
  <c r="W26" i="21" s="1"/>
  <c r="F26" i="21"/>
  <c r="S26" i="21" s="1"/>
  <c r="W25" i="37"/>
  <c r="F29" i="36"/>
  <c r="AA29" i="36" s="1"/>
  <c r="F16" i="36"/>
  <c r="AA16" i="36" s="1"/>
  <c r="H22" i="35"/>
  <c r="AB22" i="35" s="1"/>
  <c r="W28" i="35"/>
  <c r="F36" i="34"/>
  <c r="AA36" i="34" s="1"/>
  <c r="J35" i="34"/>
  <c r="H39" i="33"/>
  <c r="F11" i="40"/>
  <c r="AA11" i="40" s="1"/>
  <c r="H11" i="40"/>
  <c r="AB11" i="40" s="1"/>
  <c r="F42" i="39"/>
  <c r="AA42" i="39" s="1"/>
  <c r="F41" i="39"/>
  <c r="S41" i="39" s="1"/>
  <c r="H40" i="39"/>
  <c r="AB40" i="39" s="1"/>
  <c r="H39" i="39"/>
  <c r="U39" i="39" s="1"/>
  <c r="H34" i="39"/>
  <c r="H19" i="39"/>
  <c r="AB19" i="39" s="1"/>
  <c r="F19" i="39"/>
  <c r="AA19" i="39" s="1"/>
  <c r="H17" i="39"/>
  <c r="F17" i="39"/>
  <c r="J23" i="40"/>
  <c r="AC23" i="40" s="1"/>
  <c r="F21" i="40"/>
  <c r="AA21" i="40" s="1"/>
  <c r="J21" i="40"/>
  <c r="W21" i="40" s="1"/>
  <c r="H42" i="39"/>
  <c r="AB42" i="39" s="1"/>
  <c r="J34" i="39"/>
  <c r="AC34" i="39" s="1"/>
  <c r="H27" i="39"/>
  <c r="U27" i="39" s="1"/>
  <c r="J19" i="39"/>
  <c r="AC19" i="39" s="1"/>
  <c r="J17" i="39"/>
  <c r="J27" i="39"/>
  <c r="AC27" i="39" s="1"/>
  <c r="F27" i="39"/>
  <c r="AA27" i="39" s="1"/>
  <c r="F11" i="21"/>
  <c r="S11" i="21" s="1"/>
  <c r="H11" i="39"/>
  <c r="H32" i="33"/>
  <c r="H11" i="21"/>
  <c r="U11" i="21" s="1"/>
  <c r="J11" i="21"/>
  <c r="W11" i="21" s="1"/>
  <c r="H37" i="40"/>
  <c r="H36" i="40"/>
  <c r="F35" i="40"/>
  <c r="AA35" i="40" s="1"/>
  <c r="H23" i="40"/>
  <c r="AB23" i="40" s="1"/>
  <c r="H17" i="40"/>
  <c r="U17" i="40" s="1"/>
  <c r="J15" i="40"/>
  <c r="W15" i="40" s="1"/>
  <c r="J11" i="40"/>
  <c r="W11" i="40" s="1"/>
  <c r="W32" i="40"/>
  <c r="J30" i="35"/>
  <c r="H30" i="35"/>
  <c r="AB30" i="35" s="1"/>
  <c r="F22" i="35"/>
  <c r="H10" i="35"/>
  <c r="U10" i="35" s="1"/>
  <c r="H16" i="36"/>
  <c r="J29" i="36"/>
  <c r="AC29" i="36" s="1"/>
  <c r="F14" i="35"/>
  <c r="AA14" i="35" s="1"/>
  <c r="J32" i="35"/>
  <c r="AC32" i="35" s="1"/>
  <c r="J16" i="35"/>
  <c r="H16" i="35"/>
  <c r="U16" i="35" s="1"/>
  <c r="F16" i="35"/>
  <c r="S16" i="35" s="1"/>
  <c r="H14" i="35"/>
  <c r="AB14" i="35" s="1"/>
  <c r="J29" i="35"/>
  <c r="AC29" i="35" s="1"/>
  <c r="H33" i="35"/>
  <c r="J20" i="35"/>
  <c r="W20" i="35" s="1"/>
  <c r="F35" i="37"/>
  <c r="J34" i="37"/>
  <c r="W34" i="37"/>
  <c r="AB34" i="37"/>
  <c r="J33" i="37"/>
  <c r="AC33" i="37" s="1"/>
  <c r="H40" i="34"/>
  <c r="U40" i="34"/>
  <c r="E114" i="34"/>
  <c r="F114" i="34" s="1"/>
  <c r="G114" i="34" s="1"/>
  <c r="H114" i="34" s="1"/>
  <c r="I114" i="34" s="1"/>
  <c r="J114" i="34" s="1"/>
  <c r="K114" i="34" s="1"/>
  <c r="L114" i="34" s="1"/>
  <c r="M114" i="34" s="1"/>
  <c r="H36" i="34"/>
  <c r="U36" i="34" s="1"/>
  <c r="F37" i="34"/>
  <c r="AA37" i="34" s="1"/>
  <c r="F25" i="34"/>
  <c r="H23" i="34"/>
  <c r="AB23" i="34" s="1"/>
  <c r="J23" i="34"/>
  <c r="F19" i="34"/>
  <c r="H17" i="34"/>
  <c r="AB17" i="34" s="1"/>
  <c r="F15" i="34"/>
  <c r="AA15" i="34" s="1"/>
  <c r="J15" i="34"/>
  <c r="H15" i="34"/>
  <c r="AB15" i="34" s="1"/>
  <c r="F41" i="33"/>
  <c r="S41" i="33" s="1"/>
  <c r="F32" i="33"/>
  <c r="J19" i="33"/>
  <c r="AC19" i="33" s="1"/>
  <c r="J15" i="33"/>
  <c r="AC15" i="33" s="1"/>
  <c r="F11" i="33"/>
  <c r="AA11" i="33" s="1"/>
  <c r="F37" i="40"/>
  <c r="F36" i="40"/>
  <c r="AA36" i="40" s="1"/>
  <c r="H28" i="40"/>
  <c r="U28" i="40" s="1"/>
  <c r="F23" i="40"/>
  <c r="AA23" i="40" s="1"/>
  <c r="F17" i="40"/>
  <c r="J17" i="40"/>
  <c r="AC17" i="40" s="1"/>
  <c r="F15" i="40"/>
  <c r="S15" i="40" s="1"/>
  <c r="H15" i="40"/>
  <c r="AB15" i="40" s="1"/>
  <c r="F29" i="35"/>
  <c r="H29" i="35"/>
  <c r="AB29" i="35" s="1"/>
  <c r="H33" i="37"/>
  <c r="F33" i="37"/>
  <c r="AA33" i="37" s="1"/>
  <c r="J43" i="34"/>
  <c r="AC43" i="34" s="1"/>
  <c r="J40" i="34"/>
  <c r="AC40" i="34" s="1"/>
  <c r="H38" i="34"/>
  <c r="AB38" i="34" s="1"/>
  <c r="J36" i="34"/>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J37" i="34"/>
  <c r="AC37" i="34" s="1"/>
  <c r="J11" i="33"/>
  <c r="W11" i="33" s="1"/>
  <c r="J42" i="21"/>
  <c r="AC42" i="21" s="1"/>
  <c r="H42" i="21"/>
  <c r="U42" i="21" s="1"/>
  <c r="J44" i="34"/>
  <c r="W44" i="34" s="1"/>
  <c r="F44" i="34"/>
  <c r="J10" i="35"/>
  <c r="AC10" i="35" s="1"/>
  <c r="F33" i="35"/>
  <c r="AA33" i="35" s="1"/>
  <c r="J33" i="35"/>
  <c r="AC33" i="35" s="1"/>
  <c r="F30" i="35"/>
  <c r="S30" i="35" s="1"/>
  <c r="H10" i="36"/>
  <c r="AB10" i="36" s="1"/>
  <c r="J14" i="36"/>
  <c r="AC14" i="36" s="1"/>
  <c r="H14" i="36"/>
  <c r="U14" i="36" s="1"/>
  <c r="F28" i="36"/>
  <c r="AA28" i="36" s="1"/>
  <c r="F29" i="33"/>
  <c r="S29" i="33" s="1"/>
  <c r="H30" i="34"/>
  <c r="F32" i="34"/>
  <c r="S32" i="34" s="1"/>
  <c r="J26" i="36"/>
  <c r="W26" i="36" s="1"/>
  <c r="H28" i="36"/>
  <c r="J11" i="36"/>
  <c r="AC11" i="36" s="1"/>
  <c r="J29" i="37"/>
  <c r="F29" i="37"/>
  <c r="S29" i="37" s="1"/>
  <c r="H36" i="37"/>
  <c r="AB36" i="37" s="1"/>
  <c r="J37" i="37"/>
  <c r="AC37" i="37" s="1"/>
  <c r="H37" i="37"/>
  <c r="U37" i="37" s="1"/>
  <c r="H44" i="33"/>
  <c r="U44" i="33" s="1"/>
  <c r="H46" i="33"/>
  <c r="F13" i="34"/>
  <c r="F29" i="34"/>
  <c r="S29" i="34" s="1"/>
  <c r="F35" i="35"/>
  <c r="AA35" i="35" s="1"/>
  <c r="H35" i="35"/>
  <c r="J25" i="36"/>
  <c r="W25" i="36" s="1"/>
  <c r="F28" i="37"/>
  <c r="AA28" i="37" s="1"/>
  <c r="J28" i="37"/>
  <c r="J38" i="37"/>
  <c r="F38" i="37"/>
  <c r="S38" i="37" s="1"/>
  <c r="J14" i="39"/>
  <c r="AC14" i="39" s="1"/>
  <c r="H12" i="40"/>
  <c r="AB12" i="40" s="1"/>
  <c r="H30" i="40"/>
  <c r="AB30" i="40" s="1"/>
  <c r="J35" i="40"/>
  <c r="J37" i="40"/>
  <c r="AC37" i="40" s="1"/>
  <c r="J13" i="39"/>
  <c r="W13" i="39" s="1"/>
  <c r="H13" i="39"/>
  <c r="U13" i="39" s="1"/>
  <c r="H14" i="40"/>
  <c r="AB14" i="40" s="1"/>
  <c r="J14" i="37"/>
  <c r="J36" i="37"/>
  <c r="AC36" i="37" s="1"/>
  <c r="J10" i="36"/>
  <c r="AC10" i="36" s="1"/>
  <c r="F17" i="21"/>
  <c r="H17" i="21"/>
  <c r="AB17" i="21" s="1"/>
  <c r="F15" i="21"/>
  <c r="S15" i="21" s="1"/>
  <c r="J41" i="39"/>
  <c r="W41" i="39" s="1"/>
  <c r="G532" i="3"/>
  <c r="G496" i="3"/>
  <c r="G564" i="3"/>
  <c r="BA508" i="3"/>
  <c r="AC557" i="3"/>
  <c r="G557" i="3" s="1"/>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J42" i="39"/>
  <c r="AC42" i="39" s="1"/>
  <c r="H21" i="40"/>
  <c r="AB21" i="40" s="1"/>
  <c r="H31" i="37"/>
  <c r="U31" i="37" s="1"/>
  <c r="J15" i="37"/>
  <c r="AT6" i="3"/>
  <c r="H19" i="40"/>
  <c r="F19" i="40"/>
  <c r="S19" i="40" s="1"/>
  <c r="W23" i="39"/>
  <c r="G100" i="39"/>
  <c r="H37" i="39"/>
  <c r="AB37" i="39" s="1"/>
  <c r="H25" i="39"/>
  <c r="AB25" i="39" s="1"/>
  <c r="J25" i="39"/>
  <c r="F25" i="39"/>
  <c r="AA25" i="39" s="1"/>
  <c r="F15" i="39"/>
  <c r="AA15" i="39" s="1"/>
  <c r="H15" i="39"/>
  <c r="U15" i="39" s="1"/>
  <c r="J15" i="39"/>
  <c r="W15" i="39" s="1"/>
  <c r="H41" i="39"/>
  <c r="AB41" i="39" s="1"/>
  <c r="W27"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17" i="3"/>
  <c r="F83" i="43"/>
  <c r="H85" i="43" s="1"/>
  <c r="G85" i="43" s="1"/>
  <c r="F50" i="43"/>
  <c r="H54" i="43" s="1"/>
  <c r="F72" i="43"/>
  <c r="H75" i="43" s="1"/>
  <c r="G10" i="1"/>
  <c r="W37" i="37"/>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H32" i="37"/>
  <c r="AB32" i="37" s="1"/>
  <c r="F96" i="37"/>
  <c r="G96" i="37" s="1"/>
  <c r="H96" i="37" s="1"/>
  <c r="I96" i="37" s="1"/>
  <c r="J96" i="37" s="1"/>
  <c r="K96" i="37" s="1"/>
  <c r="L96" i="37" s="1"/>
  <c r="M96" i="37"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W12" i="39"/>
  <c r="U30" i="33"/>
  <c r="F12" i="33"/>
  <c r="AA12" i="33" s="1"/>
  <c r="B12" i="1"/>
  <c r="E12" i="1" s="1"/>
  <c r="B10" i="1"/>
  <c r="E10" i="1" s="1"/>
  <c r="K12" i="1"/>
  <c r="M12" i="1" s="1"/>
  <c r="S13" i="1"/>
  <c r="AR13" i="1" s="1"/>
  <c r="R13" i="1"/>
  <c r="J51" i="67"/>
  <c r="C42" i="1"/>
  <c r="B41" i="1"/>
  <c r="S35" i="40"/>
  <c r="AC15" i="40"/>
  <c r="S28" i="40"/>
  <c r="F32" i="39"/>
  <c r="S32" i="39" s="1"/>
  <c r="J21" i="39"/>
  <c r="W21" i="39" s="1"/>
  <c r="F21" i="39"/>
  <c r="AA21" i="39" s="1"/>
  <c r="H21" i="39"/>
  <c r="U21" i="39" s="1"/>
  <c r="U19" i="39"/>
  <c r="AB14" i="36"/>
  <c r="U22" i="36"/>
  <c r="S16" i="36"/>
  <c r="U23" i="36"/>
  <c r="AB20" i="36"/>
  <c r="S14" i="36"/>
  <c r="AB13" i="35"/>
  <c r="U28" i="35"/>
  <c r="AB27" i="35"/>
  <c r="AA36" i="35"/>
  <c r="S28" i="35"/>
  <c r="AB16" i="35"/>
  <c r="AC20" i="35"/>
  <c r="AC9" i="35"/>
  <c r="W9" i="35"/>
  <c r="F9" i="35"/>
  <c r="S9" i="35" s="1"/>
  <c r="H9" i="35"/>
  <c r="U9" i="35" s="1"/>
  <c r="U29" i="37"/>
  <c r="S30" i="37"/>
  <c r="J17" i="37"/>
  <c r="AC17" i="37" s="1"/>
  <c r="F17" i="37"/>
  <c r="AA17" i="37" s="1"/>
  <c r="F75" i="37"/>
  <c r="G75" i="37" s="1"/>
  <c r="F19" i="37"/>
  <c r="S19" i="37" s="1"/>
  <c r="F23" i="37"/>
  <c r="S23" i="37" s="1"/>
  <c r="U23" i="37"/>
  <c r="H10" i="37"/>
  <c r="AB10" i="37" s="1"/>
  <c r="F63" i="37"/>
  <c r="F11" i="37"/>
  <c r="S11" i="37" s="1"/>
  <c r="W25" i="34"/>
  <c r="AB41" i="34"/>
  <c r="S17" i="34"/>
  <c r="U15" i="34"/>
  <c r="H10" i="34"/>
  <c r="AB10" i="34" s="1"/>
  <c r="F11" i="34"/>
  <c r="S11" i="34" s="1"/>
  <c r="W42" i="33"/>
  <c r="AA35" i="33"/>
  <c r="S27"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19" i="33"/>
  <c r="S19" i="33" s="1"/>
  <c r="W19" i="33"/>
  <c r="J17" i="33"/>
  <c r="AC17" i="33" s="1"/>
  <c r="S15" i="33"/>
  <c r="J10" i="33"/>
  <c r="W10" i="33" s="1"/>
  <c r="H10" i="33"/>
  <c r="U10" i="33" s="1"/>
  <c r="AC11" i="33"/>
  <c r="W43" i="21"/>
  <c r="W41" i="21"/>
  <c r="AB39" i="21"/>
  <c r="AA43"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W28" i="40"/>
  <c r="W19" i="40"/>
  <c r="S36" i="40"/>
  <c r="U11" i="40"/>
  <c r="U15" i="40"/>
  <c r="AB17" i="40"/>
  <c r="U8" i="40"/>
  <c r="S8" i="40"/>
  <c r="U42" i="39"/>
  <c r="U41" i="39"/>
  <c r="AB13" i="39"/>
  <c r="AB11" i="39"/>
  <c r="U11" i="39"/>
  <c r="AB39" i="39"/>
  <c r="U38" i="39"/>
  <c r="AC25" i="36"/>
  <c r="W29" i="36"/>
  <c r="W22" i="36"/>
  <c r="U25" i="35"/>
  <c r="W35" i="35"/>
  <c r="W32" i="37"/>
  <c r="AC34" i="37"/>
  <c r="AB35" i="37"/>
  <c r="AA31" i="37"/>
  <c r="AA29" i="37"/>
  <c r="U8" i="37"/>
  <c r="AB40" i="34"/>
  <c r="U25" i="34"/>
  <c r="AB36" i="34"/>
  <c r="S37" i="34"/>
  <c r="U38" i="34"/>
  <c r="AA19" i="34"/>
  <c r="S19" i="34"/>
  <c r="S36" i="34"/>
  <c r="AA8" i="34"/>
  <c r="S8" i="34"/>
  <c r="W43" i="34"/>
  <c r="W23" i="34"/>
  <c r="AC23" i="34"/>
  <c r="AC35" i="34"/>
  <c r="W35" i="34"/>
  <c r="AC37" i="33"/>
  <c r="S33" i="33"/>
  <c r="S31" i="33"/>
  <c r="U37" i="33"/>
  <c r="I101" i="21"/>
  <c r="J101" i="21" s="1"/>
  <c r="K101" i="21" s="1"/>
  <c r="L101" i="21" s="1"/>
  <c r="M101" i="21" s="1"/>
  <c r="F33" i="21"/>
  <c r="AA33" i="21" s="1"/>
  <c r="J33" i="21"/>
  <c r="AC33" i="21" s="1"/>
  <c r="H33" i="21"/>
  <c r="AB33" i="21" s="1"/>
  <c r="F37" i="21"/>
  <c r="AA37" i="21" s="1"/>
  <c r="AA26" i="21"/>
  <c r="S35" i="21"/>
  <c r="J37" i="21"/>
  <c r="W37" i="21" s="1"/>
  <c r="H15" i="21"/>
  <c r="U15" i="21" s="1"/>
  <c r="J17" i="21"/>
  <c r="AC17" i="21" s="1"/>
  <c r="W39" i="21"/>
  <c r="H45" i="21"/>
  <c r="U45" i="21" s="1"/>
  <c r="F29" i="21"/>
  <c r="AA29" i="21" s="1"/>
  <c r="F13" i="21"/>
  <c r="AA13" i="21" s="1"/>
  <c r="AC38" i="21"/>
  <c r="H32" i="21"/>
  <c r="U32" i="21" s="1"/>
  <c r="J9" i="21"/>
  <c r="W9" i="21" s="1"/>
  <c r="J32" i="21"/>
  <c r="W32" i="21" s="1"/>
  <c r="F32" i="21"/>
  <c r="S32" i="21" s="1"/>
  <c r="U17" i="21"/>
  <c r="S19" i="21"/>
  <c r="K141" i="21"/>
  <c r="K144" i="21"/>
  <c r="K143" i="21"/>
  <c r="AA30" i="21"/>
  <c r="W42" i="21"/>
  <c r="F10" i="21"/>
  <c r="AA10" i="21" s="1"/>
  <c r="K145" i="21"/>
  <c r="AA15" i="21"/>
  <c r="AC34" i="21"/>
  <c r="C19" i="39"/>
  <c r="C17" i="40"/>
  <c r="B56" i="43"/>
  <c r="B51" i="43"/>
  <c r="B54" i="43"/>
  <c r="B58" i="43"/>
  <c r="E4" i="4"/>
  <c r="B5" i="62" s="1"/>
  <c r="B73" i="72" s="1"/>
  <c r="C4" i="4"/>
  <c r="J32" i="39"/>
  <c r="AC32" i="39" s="1"/>
  <c r="H32" i="39"/>
  <c r="AB32" i="39" s="1"/>
  <c r="AB21" i="39"/>
  <c r="S17" i="37"/>
  <c r="J19" i="37"/>
  <c r="W19" i="37" s="1"/>
  <c r="J23" i="37"/>
  <c r="AC23" i="37" s="1"/>
  <c r="J10" i="37"/>
  <c r="W10" i="37" s="1"/>
  <c r="G63" i="37"/>
  <c r="H63" i="37" s="1"/>
  <c r="I63" i="37" s="1"/>
  <c r="J63" i="37" s="1"/>
  <c r="K63" i="37" s="1"/>
  <c r="L63" i="37" s="1"/>
  <c r="M63" i="37" s="1"/>
  <c r="H11" i="37"/>
  <c r="AB11" i="37" s="1"/>
  <c r="H11" i="34"/>
  <c r="U11" i="34" s="1"/>
  <c r="J10" i="34"/>
  <c r="AC10" i="34" s="1"/>
  <c r="U41" i="33"/>
  <c r="J36" i="33"/>
  <c r="W36" i="33" s="1"/>
  <c r="H36" i="33"/>
  <c r="U36" i="33" s="1"/>
  <c r="AC32" i="33"/>
  <c r="J27" i="33"/>
  <c r="AC27" i="33" s="1"/>
  <c r="S25" i="33"/>
  <c r="AA25" i="33"/>
  <c r="J25" i="33"/>
  <c r="AC25" i="33" s="1"/>
  <c r="F23" i="33"/>
  <c r="H19" i="33"/>
  <c r="U19" i="33" s="1"/>
  <c r="G81" i="33"/>
  <c r="H17" i="33"/>
  <c r="U17" i="33" s="1"/>
  <c r="F17" i="33"/>
  <c r="S17" i="33" s="1"/>
  <c r="J23" i="21"/>
  <c r="W23" i="21" s="1"/>
  <c r="H23" i="21"/>
  <c r="AB23" i="21" s="1"/>
  <c r="S13" i="21"/>
  <c r="AP7" i="1"/>
  <c r="J11" i="37"/>
  <c r="AC11" i="37" s="1"/>
  <c r="J11" i="34"/>
  <c r="W11" i="34" s="1"/>
  <c r="AD3" i="71"/>
  <c r="J1" i="73"/>
  <c r="H69" i="43"/>
  <c r="S24" i="71"/>
  <c r="AB22" i="71"/>
  <c r="X20" i="71"/>
  <c r="X19" i="71"/>
  <c r="AA20" i="71"/>
  <c r="AA19" i="71"/>
  <c r="X23" i="71"/>
  <c r="Y19" i="71"/>
  <c r="Z19" i="71" s="1"/>
  <c r="AB20" i="71"/>
  <c r="AB19" i="71"/>
  <c r="F21" i="71"/>
  <c r="F20" i="71" s="1"/>
  <c r="F19" i="71" s="1"/>
  <c r="F18" i="71" s="1"/>
  <c r="F17" i="71" s="1"/>
  <c r="Y20" i="71"/>
  <c r="Z20" i="71" s="1"/>
  <c r="X3" i="71"/>
  <c r="F34" i="68"/>
  <c r="F20" i="31"/>
  <c r="E9" i="76"/>
  <c r="F3" i="73"/>
  <c r="F7" i="73"/>
  <c r="B13" i="76"/>
  <c r="E12" i="76"/>
  <c r="F4" i="73"/>
  <c r="E8" i="76"/>
  <c r="B11" i="76"/>
  <c r="F5" i="73"/>
  <c r="E11" i="76"/>
  <c r="E7" i="76"/>
  <c r="F6" i="73"/>
  <c r="B12" i="76"/>
  <c r="E2" i="69"/>
  <c r="D6" i="73"/>
  <c r="B9" i="76"/>
  <c r="B8" i="76"/>
  <c r="AO13" i="1"/>
  <c r="E2" i="68"/>
  <c r="E13" i="76"/>
  <c r="B7" i="76"/>
  <c r="B10" i="76"/>
  <c r="E10" i="76"/>
  <c r="U25" i="21" l="1"/>
  <c r="AB25" i="21"/>
  <c r="J13" i="37"/>
  <c r="H13" i="37"/>
  <c r="AB13" i="37" s="1"/>
  <c r="F13" i="37"/>
  <c r="S13" i="37" s="1"/>
  <c r="H27" i="37"/>
  <c r="F27" i="37"/>
  <c r="AA42" i="34"/>
  <c r="S42" i="34"/>
  <c r="C23" i="71"/>
  <c r="T24" i="71"/>
  <c r="AC8" i="39"/>
  <c r="W8" i="39"/>
  <c r="S9" i="40"/>
  <c r="AA9" i="40"/>
  <c r="AC35" i="40"/>
  <c r="W35" i="40"/>
  <c r="W29" i="37"/>
  <c r="AC29" i="37"/>
  <c r="S29" i="35"/>
  <c r="AA29" i="35"/>
  <c r="AA17" i="40"/>
  <c r="S17" i="40"/>
  <c r="AA37" i="40"/>
  <c r="S37" i="40"/>
  <c r="AA32" i="33"/>
  <c r="S32" i="33"/>
  <c r="U36" i="21"/>
  <c r="AB36" i="21"/>
  <c r="AA39" i="21"/>
  <c r="S39" i="21"/>
  <c r="H28" i="21"/>
  <c r="AB28" i="21" s="1"/>
  <c r="F28" i="21"/>
  <c r="J44" i="21"/>
  <c r="F44" i="21"/>
  <c r="AA44" i="21" s="1"/>
  <c r="B94" i="43"/>
  <c r="B62" i="43"/>
  <c r="F9" i="21"/>
  <c r="H9" i="21"/>
  <c r="J28" i="33"/>
  <c r="W28" i="33" s="1"/>
  <c r="H28" i="33"/>
  <c r="U28" i="33" s="1"/>
  <c r="F28" i="33"/>
  <c r="AA28" i="33" s="1"/>
  <c r="AB39" i="34"/>
  <c r="U39" i="34"/>
  <c r="AA32" i="35"/>
  <c r="S32" i="35"/>
  <c r="AB26" i="36"/>
  <c r="U26" i="36"/>
  <c r="H13" i="36"/>
  <c r="AB13" i="36" s="1"/>
  <c r="F13" i="36"/>
  <c r="S13" i="36" s="1"/>
  <c r="J13" i="36"/>
  <c r="AB29" i="36"/>
  <c r="U29" i="36"/>
  <c r="S35" i="37"/>
  <c r="AA35" i="37"/>
  <c r="W35" i="37"/>
  <c r="AC35" i="37"/>
  <c r="H40" i="37"/>
  <c r="U40" i="37" s="1"/>
  <c r="J40" i="37"/>
  <c r="AC40" i="37" s="1"/>
  <c r="F40" i="37"/>
  <c r="W38" i="39"/>
  <c r="AC38" i="39"/>
  <c r="J13" i="40"/>
  <c r="AC13" i="40" s="1"/>
  <c r="H13" i="40"/>
  <c r="U13" i="40" s="1"/>
  <c r="AB35" i="39"/>
  <c r="U35" i="39"/>
  <c r="BA565" i="3"/>
  <c r="W25" i="39"/>
  <c r="AC25" i="39"/>
  <c r="AA37" i="33"/>
  <c r="AB30" i="34"/>
  <c r="U30" i="34"/>
  <c r="AC36" i="34"/>
  <c r="W36" i="34"/>
  <c r="AB39" i="33"/>
  <c r="U39" i="33"/>
  <c r="AA17" i="21"/>
  <c r="S17" i="21"/>
  <c r="AC28" i="37"/>
  <c r="W28" i="37"/>
  <c r="D24" i="71"/>
  <c r="U24" i="71" s="1"/>
  <c r="H12" i="39"/>
  <c r="AB12" i="39" s="1"/>
  <c r="F12" i="39"/>
  <c r="U14" i="35"/>
  <c r="J27" i="37"/>
  <c r="AC27" i="37" s="1"/>
  <c r="U28" i="36"/>
  <c r="AB28" i="36"/>
  <c r="J28" i="21"/>
  <c r="AB16" i="36"/>
  <c r="U16" i="36"/>
  <c r="W30" i="35"/>
  <c r="AC30" i="35"/>
  <c r="U37" i="40"/>
  <c r="AB37" i="40"/>
  <c r="AC17" i="39"/>
  <c r="W17" i="39"/>
  <c r="AA17" i="39"/>
  <c r="S17" i="39"/>
  <c r="G584" i="3"/>
  <c r="G577" i="3"/>
  <c r="G576" i="3"/>
  <c r="BA573" i="3"/>
  <c r="G569" i="3"/>
  <c r="G568" i="3"/>
  <c r="G561" i="3"/>
  <c r="G560" i="3"/>
  <c r="G494" i="3"/>
  <c r="G158" i="3"/>
  <c r="G178" i="3"/>
  <c r="G92" i="3"/>
  <c r="N68" i="71"/>
  <c r="B71" i="71"/>
  <c r="B70" i="71" s="1"/>
  <c r="AZ378" i="3"/>
  <c r="AZ360" i="3"/>
  <c r="AZ326" i="3"/>
  <c r="AZ336" i="3"/>
  <c r="S35" i="34"/>
  <c r="G218" i="3"/>
  <c r="G43" i="3"/>
  <c r="P27" i="6"/>
  <c r="E38" i="71"/>
  <c r="E39" i="71" s="1"/>
  <c r="E40" i="71" s="1"/>
  <c r="U40" i="71" s="1"/>
  <c r="B27" i="71"/>
  <c r="B26" i="71" s="1"/>
  <c r="AB33" i="34"/>
  <c r="W35" i="33"/>
  <c r="U30" i="40"/>
  <c r="AB42" i="21"/>
  <c r="W33" i="34"/>
  <c r="W19" i="34"/>
  <c r="U19" i="37"/>
  <c r="AA33" i="34"/>
  <c r="S30" i="40"/>
  <c r="J44" i="33"/>
  <c r="AC44" i="33" s="1"/>
  <c r="G452" i="3"/>
  <c r="BL259" i="3"/>
  <c r="G260" i="3"/>
  <c r="BL261" i="3"/>
  <c r="BA265" i="3"/>
  <c r="BA267" i="3"/>
  <c r="AZ267" i="3" s="1"/>
  <c r="G289" i="3"/>
  <c r="BL186" i="3"/>
  <c r="BL24" i="3"/>
  <c r="BL44" i="3"/>
  <c r="G93" i="3"/>
  <c r="BL110" i="3"/>
  <c r="AB9" i="34"/>
  <c r="U9" i="34"/>
  <c r="U47" i="34"/>
  <c r="AB47" i="34"/>
  <c r="AA17" i="33"/>
  <c r="W23" i="37"/>
  <c r="AA19" i="37"/>
  <c r="U40" i="21"/>
  <c r="S28" i="33"/>
  <c r="U19" i="34"/>
  <c r="U38" i="37"/>
  <c r="W36" i="37"/>
  <c r="S8" i="39"/>
  <c r="S27" i="39"/>
  <c r="W34" i="40"/>
  <c r="W15" i="33"/>
  <c r="S42" i="33"/>
  <c r="U15" i="37"/>
  <c r="AB40" i="37"/>
  <c r="AC13" i="39"/>
  <c r="S23" i="40"/>
  <c r="U35" i="21"/>
  <c r="AZ377" i="3"/>
  <c r="AZ361" i="3"/>
  <c r="AZ345" i="3"/>
  <c r="AZ342" i="3"/>
  <c r="AZ337" i="3"/>
  <c r="AB45" i="39"/>
  <c r="H31" i="40"/>
  <c r="F14" i="40"/>
  <c r="J13" i="34"/>
  <c r="W13" i="34" s="1"/>
  <c r="H44" i="21"/>
  <c r="U44" i="21" s="1"/>
  <c r="AA38" i="34"/>
  <c r="J35" i="39"/>
  <c r="AC35" i="39" s="1"/>
  <c r="F23" i="36"/>
  <c r="G556" i="3"/>
  <c r="G549" i="3"/>
  <c r="G533" i="3"/>
  <c r="G467" i="3"/>
  <c r="BL469" i="3"/>
  <c r="G470" i="3"/>
  <c r="G478" i="3"/>
  <c r="G482" i="3"/>
  <c r="G486" i="3"/>
  <c r="BL340" i="3"/>
  <c r="AZ340" i="3" s="1"/>
  <c r="G397" i="3"/>
  <c r="BL23" i="3"/>
  <c r="BL35" i="3"/>
  <c r="G80" i="3"/>
  <c r="W18" i="36"/>
  <c r="W27" i="33"/>
  <c r="S36" i="33"/>
  <c r="AZ320" i="3"/>
  <c r="AZ325" i="3"/>
  <c r="H30" i="21"/>
  <c r="BE5" i="3"/>
  <c r="G583" i="3"/>
  <c r="BL574" i="3"/>
  <c r="G566" i="3"/>
  <c r="G408" i="3"/>
  <c r="G444" i="3"/>
  <c r="G448" i="3"/>
  <c r="BL34" i="3"/>
  <c r="G71" i="3"/>
  <c r="G107" i="3"/>
  <c r="G111" i="3"/>
  <c r="AC21" i="37"/>
  <c r="Y29" i="71"/>
  <c r="Z29" i="71" s="1"/>
  <c r="AA32" i="40"/>
  <c r="W8" i="34"/>
  <c r="U33" i="33"/>
  <c r="G407" i="3"/>
  <c r="G249" i="3"/>
  <c r="G26" i="3"/>
  <c r="BA47" i="3"/>
  <c r="G66" i="3"/>
  <c r="G70" i="3"/>
  <c r="G98" i="3"/>
  <c r="G102" i="3"/>
  <c r="U25" i="40"/>
  <c r="X26" i="71"/>
  <c r="AB34" i="71"/>
  <c r="AC46" i="33"/>
  <c r="W46" i="33"/>
  <c r="S15" i="37"/>
  <c r="H25" i="36"/>
  <c r="F25" i="35"/>
  <c r="F13" i="35"/>
  <c r="S13" i="35" s="1"/>
  <c r="H11" i="36"/>
  <c r="U11" i="36" s="1"/>
  <c r="AC38" i="34"/>
  <c r="S40" i="33"/>
  <c r="H36" i="39"/>
  <c r="U36" i="39" s="1"/>
  <c r="J27" i="21"/>
  <c r="AA38" i="33"/>
  <c r="S38" i="33"/>
  <c r="AC39" i="33"/>
  <c r="W39" i="33"/>
  <c r="J12" i="33"/>
  <c r="J14" i="34"/>
  <c r="W14" i="34" s="1"/>
  <c r="H14" i="34"/>
  <c r="H34" i="36"/>
  <c r="J34" i="36"/>
  <c r="W34" i="36" s="1"/>
  <c r="S43" i="34"/>
  <c r="F32" i="36"/>
  <c r="J32" i="36"/>
  <c r="W32" i="36" s="1"/>
  <c r="AA29" i="34"/>
  <c r="AZ369" i="3"/>
  <c r="J25" i="35"/>
  <c r="J45" i="34"/>
  <c r="J29" i="34"/>
  <c r="F46" i="33"/>
  <c r="AA46" i="33" s="1"/>
  <c r="J30" i="33"/>
  <c r="H32" i="36"/>
  <c r="G585" i="3"/>
  <c r="E5" i="6"/>
  <c r="D9" i="11" s="1"/>
  <c r="C9" i="11" s="1"/>
  <c r="J13" i="33"/>
  <c r="W13" i="33" s="1"/>
  <c r="F13" i="33"/>
  <c r="F46" i="34"/>
  <c r="J46" i="34"/>
  <c r="J23" i="36"/>
  <c r="J33" i="36"/>
  <c r="AC33" i="36" s="1"/>
  <c r="H33" i="36"/>
  <c r="AB31" i="36"/>
  <c r="U31" i="36"/>
  <c r="AB30" i="37"/>
  <c r="U30" i="37"/>
  <c r="U42" i="33"/>
  <c r="S36" i="37"/>
  <c r="U21" i="40"/>
  <c r="AZ373" i="3"/>
  <c r="AZ362" i="3"/>
  <c r="AZ309" i="3"/>
  <c r="W11" i="39"/>
  <c r="AA36" i="39"/>
  <c r="J13" i="35"/>
  <c r="AC13" i="35" s="1"/>
  <c r="H45" i="34"/>
  <c r="F30" i="33"/>
  <c r="BL580" i="3"/>
  <c r="G580" i="3"/>
  <c r="G572" i="3"/>
  <c r="BA554" i="3"/>
  <c r="AZ554" i="3" s="1"/>
  <c r="BA553" i="3"/>
  <c r="BL540" i="3"/>
  <c r="G519" i="3"/>
  <c r="G510" i="3"/>
  <c r="BA400" i="3"/>
  <c r="G403" i="3"/>
  <c r="BL406" i="3"/>
  <c r="G421" i="3"/>
  <c r="BA443" i="3"/>
  <c r="G445" i="3"/>
  <c r="G449" i="3"/>
  <c r="BA469" i="3"/>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AZ576" i="3" s="1"/>
  <c r="BA575" i="3"/>
  <c r="BL558" i="3"/>
  <c r="BL555" i="3"/>
  <c r="S46" i="21"/>
  <c r="S28" i="37"/>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AB31" i="34" s="1"/>
  <c r="F31" i="34"/>
  <c r="F47" i="34"/>
  <c r="J47" i="34"/>
  <c r="AC28" i="36"/>
  <c r="W28" i="36"/>
  <c r="AC38" i="37"/>
  <c r="W38" i="37"/>
  <c r="AC31" i="34"/>
  <c r="W31" i="34"/>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J27" i="40"/>
  <c r="W27" i="40" s="1"/>
  <c r="F27" i="40"/>
  <c r="S27" i="40" s="1"/>
  <c r="U41" i="21"/>
  <c r="AB41" i="21"/>
  <c r="U30" i="36"/>
  <c r="AB30" i="36"/>
  <c r="BL582" i="3"/>
  <c r="BA581" i="3"/>
  <c r="BA580" i="3"/>
  <c r="AZ580" i="3" s="1"/>
  <c r="BA579" i="3"/>
  <c r="BL578" i="3"/>
  <c r="BA578" i="3"/>
  <c r="BL576" i="3"/>
  <c r="BL572" i="3"/>
  <c r="AZ572" i="3" s="1"/>
  <c r="BA571" i="3"/>
  <c r="BA570" i="3"/>
  <c r="BA568" i="3"/>
  <c r="BA567" i="3"/>
  <c r="BL566" i="3"/>
  <c r="BL564" i="3"/>
  <c r="AZ564" i="3" s="1"/>
  <c r="BL563" i="3"/>
  <c r="BA563" i="3"/>
  <c r="BL562" i="3"/>
  <c r="BA562" i="3"/>
  <c r="BL560" i="3"/>
  <c r="BA560" i="3"/>
  <c r="BA559" i="3"/>
  <c r="BL556" i="3"/>
  <c r="BA556" i="3"/>
  <c r="AB35" i="34"/>
  <c r="AZ379" i="3"/>
  <c r="AZ334" i="3"/>
  <c r="AZ389" i="3"/>
  <c r="AZ372" i="3"/>
  <c r="AZ356" i="3"/>
  <c r="AZ380" i="3"/>
  <c r="BL565" i="3"/>
  <c r="W17" i="40"/>
  <c r="AA41" i="33"/>
  <c r="S41" i="21"/>
  <c r="AA41" i="21"/>
  <c r="G581" i="3"/>
  <c r="G573" i="3"/>
  <c r="G565" i="3"/>
  <c r="G541" i="3"/>
  <c r="G540" i="3"/>
  <c r="G525" i="3"/>
  <c r="G518" i="3"/>
  <c r="BL559" i="3"/>
  <c r="W30" i="36"/>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K10" i="1"/>
  <c r="M10" i="1" s="1"/>
  <c r="O10" i="1" s="1"/>
  <c r="P10" i="1" s="1"/>
  <c r="G402" i="3"/>
  <c r="BA406" i="3"/>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BA542" i="3"/>
  <c r="G539" i="3"/>
  <c r="G538" i="3"/>
  <c r="BL528" i="3"/>
  <c r="G523" i="3"/>
  <c r="G522" i="3"/>
  <c r="BA520" i="3"/>
  <c r="G517" i="3"/>
  <c r="G516" i="3"/>
  <c r="G503" i="3"/>
  <c r="BA501" i="3"/>
  <c r="BL500" i="3"/>
  <c r="G495" i="3"/>
  <c r="G14" i="3"/>
  <c r="BA402" i="3"/>
  <c r="AZ402" i="3" s="1"/>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C64" i="71" s="1"/>
  <c r="T64" i="71" s="1"/>
  <c r="B67" i="71"/>
  <c r="N67" i="71" s="1"/>
  <c r="B13" i="53"/>
  <c r="B29" i="72" s="1"/>
  <c r="G22" i="11"/>
  <c r="E1" i="73"/>
  <c r="C18" i="9"/>
  <c r="D18" i="9" s="1"/>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AA29" i="33"/>
  <c r="AA13" i="37"/>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F14" i="37"/>
  <c r="AA14" i="37" s="1"/>
  <c r="H33" i="40"/>
  <c r="H14" i="39"/>
  <c r="S44" i="33"/>
  <c r="AA44" i="33"/>
  <c r="F11" i="35"/>
  <c r="H31" i="33"/>
  <c r="U31" i="33" s="1"/>
  <c r="H13" i="33"/>
  <c r="U13" i="33" s="1"/>
  <c r="J14" i="21"/>
  <c r="U17" i="34"/>
  <c r="U23" i="34"/>
  <c r="AC16" i="35"/>
  <c r="W16" i="35"/>
  <c r="U34" i="35"/>
  <c r="F39" i="37"/>
  <c r="S39" i="37" s="1"/>
  <c r="J45" i="21"/>
  <c r="F45" i="21"/>
  <c r="AA45" i="21" s="1"/>
  <c r="B72" i="43"/>
  <c r="C15" i="39"/>
  <c r="F12" i="34"/>
  <c r="S12" i="34" s="1"/>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BL557" i="3"/>
  <c r="J11" i="35"/>
  <c r="AC11" i="35" s="1"/>
  <c r="J31" i="33"/>
  <c r="S34" i="37"/>
  <c r="U31" i="35"/>
  <c r="J45" i="39"/>
  <c r="W45" i="39" s="1"/>
  <c r="U38" i="21"/>
  <c r="AB38" i="21"/>
  <c r="H9" i="33"/>
  <c r="J9" i="33"/>
  <c r="J29" i="33"/>
  <c r="AC29" i="33" s="1"/>
  <c r="H29" i="33"/>
  <c r="F12" i="35"/>
  <c r="S12" i="35" s="1"/>
  <c r="H12" i="35"/>
  <c r="J24" i="35"/>
  <c r="F24" i="35"/>
  <c r="H36" i="35"/>
  <c r="J36" i="35"/>
  <c r="AC36" i="35" s="1"/>
  <c r="AC31" i="37"/>
  <c r="W31" i="37"/>
  <c r="J43" i="39"/>
  <c r="H43" i="39"/>
  <c r="BA577" i="3"/>
  <c r="BA569" i="3"/>
  <c r="BL567" i="3"/>
  <c r="BA561" i="3"/>
  <c r="BA552" i="3"/>
  <c r="BA537" i="3"/>
  <c r="BL553" i="3"/>
  <c r="AZ553" i="3" s="1"/>
  <c r="BL561" i="3"/>
  <c r="AZ561" i="3" s="1"/>
  <c r="BL573" i="3"/>
  <c r="AZ573" i="3" s="1"/>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G536" i="3"/>
  <c r="G535" i="3"/>
  <c r="BL534" i="3"/>
  <c r="G534" i="3"/>
  <c r="BL533" i="3"/>
  <c r="BA532" i="3"/>
  <c r="BA531" i="3"/>
  <c r="BL529" i="3"/>
  <c r="BA529" i="3"/>
  <c r="G529" i="3"/>
  <c r="BA528" i="3"/>
  <c r="G528" i="3"/>
  <c r="G527" i="3"/>
  <c r="BA526" i="3"/>
  <c r="BL525" i="3"/>
  <c r="BA523" i="3"/>
  <c r="BL520" i="3"/>
  <c r="G520" i="3"/>
  <c r="BL518" i="3"/>
  <c r="BA518" i="3"/>
  <c r="BL517" i="3"/>
  <c r="AZ517" i="3" s="1"/>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G13" i="3"/>
  <c r="BA16" i="3"/>
  <c r="BA14" i="3"/>
  <c r="BA13" i="3"/>
  <c r="BL17" i="3"/>
  <c r="BL14" i="3"/>
  <c r="BT5" i="3"/>
  <c r="BS5" i="3"/>
  <c r="BL13" i="3"/>
  <c r="BL398" i="3"/>
  <c r="BL402" i="3"/>
  <c r="BL403" i="3"/>
  <c r="G405" i="3"/>
  <c r="G406" i="3"/>
  <c r="G411" i="3"/>
  <c r="BA411" i="3"/>
  <c r="BL416" i="3"/>
  <c r="G420" i="3"/>
  <c r="G425" i="3"/>
  <c r="BL425" i="3"/>
  <c r="BL426" i="3"/>
  <c r="G429" i="3"/>
  <c r="G432" i="3"/>
  <c r="BA432" i="3"/>
  <c r="BA437" i="3"/>
  <c r="BA438" i="3"/>
  <c r="AZ438" i="3" s="1"/>
  <c r="BL447" i="3"/>
  <c r="G450" i="3"/>
  <c r="G453" i="3"/>
  <c r="BA453" i="3"/>
  <c r="BA455" i="3"/>
  <c r="BL458" i="3"/>
  <c r="BL462" i="3"/>
  <c r="BA466" i="3"/>
  <c r="BL472" i="3"/>
  <c r="G475" i="3"/>
  <c r="BA480" i="3"/>
  <c r="BL487" i="3"/>
  <c r="AZ487" i="3" s="1"/>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AZ446" i="3" s="1"/>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AZ92" i="3" s="1"/>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C15" i="40"/>
  <c r="B57" i="43"/>
  <c r="B77" i="43"/>
  <c r="B68" i="43"/>
  <c r="AC44" i="21"/>
  <c r="W44" i="21"/>
  <c r="BA587" i="3"/>
  <c r="AB40" i="33"/>
  <c r="U40" i="33"/>
  <c r="J26" i="33"/>
  <c r="H26" i="33"/>
  <c r="F26" i="33"/>
  <c r="J27" i="34"/>
  <c r="H27" i="34"/>
  <c r="AB9" i="40"/>
  <c r="U9" i="40"/>
  <c r="J39" i="40"/>
  <c r="H39" i="40"/>
  <c r="BL550" i="3"/>
  <c r="BA549" i="3"/>
  <c r="BL546" i="3"/>
  <c r="BL544" i="3"/>
  <c r="BA544" i="3"/>
  <c r="BA543" i="3"/>
  <c r="BL542" i="3"/>
  <c r="AZ542" i="3" s="1"/>
  <c r="BA541" i="3"/>
  <c r="AZ541" i="3" s="1"/>
  <c r="BA540" i="3"/>
  <c r="BA538" i="3"/>
  <c r="BL537" i="3"/>
  <c r="BA535" i="3"/>
  <c r="BA534" i="3"/>
  <c r="BA533" i="3"/>
  <c r="BL532" i="3"/>
  <c r="BL530" i="3"/>
  <c r="BA530" i="3"/>
  <c r="BA527" i="3"/>
  <c r="BL526" i="3"/>
  <c r="BA525" i="3"/>
  <c r="AZ525" i="3" s="1"/>
  <c r="BL524" i="3"/>
  <c r="BA524" i="3"/>
  <c r="BA522" i="3"/>
  <c r="AZ522" i="3" s="1"/>
  <c r="BL521" i="3"/>
  <c r="BA521" i="3"/>
  <c r="BA517" i="3"/>
  <c r="BA516" i="3"/>
  <c r="BA515" i="3"/>
  <c r="BA514" i="3"/>
  <c r="BL512" i="3"/>
  <c r="BL510" i="3"/>
  <c r="BA510" i="3"/>
  <c r="BA509" i="3"/>
  <c r="BL508" i="3"/>
  <c r="AZ508" i="3" s="1"/>
  <c r="BA507" i="3"/>
  <c r="BL506" i="3"/>
  <c r="BA505" i="3"/>
  <c r="BL504" i="3"/>
  <c r="BA504" i="3"/>
  <c r="G500" i="3"/>
  <c r="AC5" i="3"/>
  <c r="BL499" i="3"/>
  <c r="BA499" i="3"/>
  <c r="BA498" i="3"/>
  <c r="H5" i="3"/>
  <c r="BA497" i="3"/>
  <c r="BP5" i="3"/>
  <c r="BG5" i="3"/>
  <c r="BL495" i="3"/>
  <c r="BL494" i="3"/>
  <c r="BO5" i="3"/>
  <c r="BF5" i="3"/>
  <c r="AB19" i="33"/>
  <c r="AB15" i="21"/>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A34" i="36"/>
  <c r="U13" i="36"/>
  <c r="BB5" i="3"/>
  <c r="BC5" i="3"/>
  <c r="BL543" i="3"/>
  <c r="BL496" i="3"/>
  <c r="AZ496" i="3" s="1"/>
  <c r="U9" i="39"/>
  <c r="W27" i="35"/>
  <c r="AC27" i="35"/>
  <c r="AA34" i="40"/>
  <c r="S34" i="40"/>
  <c r="AC22" i="35"/>
  <c r="W22" i="35"/>
  <c r="G552" i="3"/>
  <c r="AZ357" i="3"/>
  <c r="AZ322" i="3"/>
  <c r="AZ313" i="3"/>
  <c r="AZ394" i="3"/>
  <c r="BL519" i="3"/>
  <c r="AZ519" i="3" s="1"/>
  <c r="BL531" i="3"/>
  <c r="AZ583" i="3"/>
  <c r="AA14" i="34"/>
  <c r="G586" i="3"/>
  <c r="B97" i="43"/>
  <c r="B75" i="43"/>
  <c r="H44" i="39"/>
  <c r="F44" i="39"/>
  <c r="W31" i="35"/>
  <c r="AC31" i="35"/>
  <c r="BL503" i="3"/>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BL208" i="3"/>
  <c r="G210" i="3"/>
  <c r="BL212" i="3"/>
  <c r="AZ212" i="3" s="1"/>
  <c r="G214" i="3"/>
  <c r="BL214" i="3"/>
  <c r="AZ214" i="3" s="1"/>
  <c r="G216" i="3"/>
  <c r="BL217" i="3"/>
  <c r="G220" i="3"/>
  <c r="BL220" i="3"/>
  <c r="AZ220" i="3" s="1"/>
  <c r="BL221" i="3"/>
  <c r="G222" i="3"/>
  <c r="BA230" i="3"/>
  <c r="G234" i="3"/>
  <c r="G238" i="3"/>
  <c r="BL15" i="3"/>
  <c r="BA398" i="3"/>
  <c r="BA399" i="3"/>
  <c r="BL401" i="3"/>
  <c r="BL404" i="3"/>
  <c r="BL405" i="3"/>
  <c r="BL407" i="3"/>
  <c r="BA412" i="3"/>
  <c r="AZ412" i="3" s="1"/>
  <c r="BA414" i="3"/>
  <c r="BA415" i="3"/>
  <c r="BA416" i="3"/>
  <c r="BA418" i="3"/>
  <c r="BA421" i="3"/>
  <c r="BA423" i="3"/>
  <c r="BA425" i="3"/>
  <c r="BA426" i="3"/>
  <c r="AZ426" i="3" s="1"/>
  <c r="BA427" i="3"/>
  <c r="AZ427" i="3" s="1"/>
  <c r="BA433" i="3"/>
  <c r="AZ433" i="3" s="1"/>
  <c r="BA435" i="3"/>
  <c r="BL437" i="3"/>
  <c r="AZ437" i="3" s="1"/>
  <c r="G440" i="3"/>
  <c r="BL441" i="3"/>
  <c r="BL442" i="3"/>
  <c r="BL444" i="3"/>
  <c r="AZ444" i="3" s="1"/>
  <c r="G447" i="3"/>
  <c r="BL448" i="3"/>
  <c r="G451" i="3"/>
  <c r="BA454" i="3"/>
  <c r="BA457" i="3"/>
  <c r="BA459" i="3"/>
  <c r="BA460" i="3"/>
  <c r="BA461" i="3"/>
  <c r="BL464" i="3"/>
  <c r="BL466" i="3"/>
  <c r="G469" i="3"/>
  <c r="BL476" i="3"/>
  <c r="BL477" i="3"/>
  <c r="BL478" i="3"/>
  <c r="BL480" i="3"/>
  <c r="BA483" i="3"/>
  <c r="BL483" i="3"/>
  <c r="BA486" i="3"/>
  <c r="BL489" i="3"/>
  <c r="BL491" i="3"/>
  <c r="BL492" i="3"/>
  <c r="BA315" i="3"/>
  <c r="AZ315" i="3" s="1"/>
  <c r="BA333" i="3"/>
  <c r="BL346" i="3"/>
  <c r="AZ346" i="3" s="1"/>
  <c r="BL16" i="3"/>
  <c r="BA401" i="3"/>
  <c r="BA403" i="3"/>
  <c r="BA404" i="3"/>
  <c r="BA405" i="3"/>
  <c r="G409" i="3"/>
  <c r="BL410" i="3"/>
  <c r="G419" i="3"/>
  <c r="BA422" i="3"/>
  <c r="AZ422" i="3" s="1"/>
  <c r="G430" i="3"/>
  <c r="BL431" i="3"/>
  <c r="BL434" i="3"/>
  <c r="AZ434" i="3" s="1"/>
  <c r="G437" i="3"/>
  <c r="BL438" i="3"/>
  <c r="BL439" i="3"/>
  <c r="BA441" i="3"/>
  <c r="BL445" i="3"/>
  <c r="BL446" i="3"/>
  <c r="BL449" i="3"/>
  <c r="BL450" i="3"/>
  <c r="AZ450" i="3" s="1"/>
  <c r="BL452" i="3"/>
  <c r="AZ452" i="3" s="1"/>
  <c r="G455" i="3"/>
  <c r="BL456" i="3"/>
  <c r="AZ456" i="3" s="1"/>
  <c r="BA464" i="3"/>
  <c r="BL467" i="3"/>
  <c r="BL468" i="3"/>
  <c r="BL470" i="3"/>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G558" i="3"/>
  <c r="G398" i="3"/>
  <c r="G399" i="3"/>
  <c r="BL400" i="3"/>
  <c r="AZ400" i="3" s="1"/>
  <c r="BL408" i="3"/>
  <c r="AZ408" i="3" s="1"/>
  <c r="BL411" i="3"/>
  <c r="BL413" i="3"/>
  <c r="AZ413" i="3" s="1"/>
  <c r="G415" i="3"/>
  <c r="G416" i="3"/>
  <c r="BL417" i="3"/>
  <c r="AZ417" i="3" s="1"/>
  <c r="BL418" i="3"/>
  <c r="BL420" i="3"/>
  <c r="G422" i="3"/>
  <c r="G423" i="3"/>
  <c r="BL424" i="3"/>
  <c r="AZ424" i="3" s="1"/>
  <c r="G426" i="3"/>
  <c r="G427" i="3"/>
  <c r="BL428" i="3"/>
  <c r="BL429" i="3"/>
  <c r="BL432" i="3"/>
  <c r="BL435" i="3"/>
  <c r="BL436" i="3"/>
  <c r="BA439" i="3"/>
  <c r="BA440" i="3"/>
  <c r="AZ440" i="3" s="1"/>
  <c r="BA442" i="3"/>
  <c r="BA445" i="3"/>
  <c r="AZ445" i="3" s="1"/>
  <c r="BA447" i="3"/>
  <c r="BA449" i="3"/>
  <c r="AZ449" i="3" s="1"/>
  <c r="BL453" i="3"/>
  <c r="AZ453" i="3" s="1"/>
  <c r="BL454" i="3"/>
  <c r="G458" i="3"/>
  <c r="BL459" i="3"/>
  <c r="G461" i="3"/>
  <c r="G462" i="3"/>
  <c r="BA465" i="3"/>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A219" i="3"/>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AZ207" i="3" s="1"/>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G30" i="3"/>
  <c r="BL30" i="3"/>
  <c r="AZ30" i="3" s="1"/>
  <c r="BL31" i="3"/>
  <c r="G35" i="3"/>
  <c r="G36" i="3"/>
  <c r="G37" i="3"/>
  <c r="G40" i="3"/>
  <c r="BL40" i="3"/>
  <c r="AZ40" i="3" s="1"/>
  <c r="BL41" i="3"/>
  <c r="AZ41" i="3" s="1"/>
  <c r="G45" i="3"/>
  <c r="BL45" i="3"/>
  <c r="BA48" i="3"/>
  <c r="BA49" i="3"/>
  <c r="G72" i="3"/>
  <c r="BL73" i="3"/>
  <c r="BA74" i="3"/>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BA197" i="3"/>
  <c r="AZ197" i="3" s="1"/>
  <c r="BL201" i="3"/>
  <c r="AZ201" i="3" s="1"/>
  <c r="BL203" i="3"/>
  <c r="AZ203" i="3" s="1"/>
  <c r="BA204" i="3"/>
  <c r="AZ204" i="3" s="1"/>
  <c r="BA18" i="3"/>
  <c r="AZ18" i="3" s="1"/>
  <c r="BL21" i="3"/>
  <c r="BL29" i="3"/>
  <c r="BA37" i="3"/>
  <c r="BL39" i="3"/>
  <c r="BA45" i="3"/>
  <c r="BA46" i="3"/>
  <c r="BL49" i="3"/>
  <c r="BA52" i="3"/>
  <c r="AZ52" i="3" s="1"/>
  <c r="BA53" i="3"/>
  <c r="BA54" i="3"/>
  <c r="AZ54" i="3" s="1"/>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G60" i="3"/>
  <c r="BA60" i="3"/>
  <c r="AZ60" i="3" s="1"/>
  <c r="BA63" i="3"/>
  <c r="BA66" i="3"/>
  <c r="BA71" i="3"/>
  <c r="AZ71" i="3" s="1"/>
  <c r="G76" i="3"/>
  <c r="BL77" i="3"/>
  <c r="BA79" i="3"/>
  <c r="G82" i="3"/>
  <c r="G83" i="3"/>
  <c r="BA84" i="3"/>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78" i="3"/>
  <c r="AC13" i="36"/>
  <c r="W13" i="36"/>
  <c r="AB31" i="33"/>
  <c r="S15" i="34"/>
  <c r="AB33" i="35"/>
  <c r="U33" i="35"/>
  <c r="AB43" i="33"/>
  <c r="U43" i="33"/>
  <c r="AB33" i="37"/>
  <c r="U33" i="37"/>
  <c r="AC19" i="37"/>
  <c r="W23" i="33"/>
  <c r="AB13" i="34"/>
  <c r="S41" i="34"/>
  <c r="AA41" i="34"/>
  <c r="AC14" i="37"/>
  <c r="W14" i="37"/>
  <c r="U28" i="37"/>
  <c r="AB28" i="37"/>
  <c r="W30" i="34"/>
  <c r="AC30" i="34"/>
  <c r="W46" i="21"/>
  <c r="AC46" i="21"/>
  <c r="BL507" i="3"/>
  <c r="BQ5" i="3"/>
  <c r="AB35" i="35"/>
  <c r="U35" i="35"/>
  <c r="U31" i="34"/>
  <c r="S12" i="21"/>
  <c r="AA12" i="21"/>
  <c r="S34" i="21"/>
  <c r="J34" i="35"/>
  <c r="F34" i="35"/>
  <c r="J26" i="37"/>
  <c r="F26" i="37"/>
  <c r="F40" i="40"/>
  <c r="G578" i="3"/>
  <c r="W35" i="39"/>
  <c r="F27" i="34"/>
  <c r="C21" i="39"/>
  <c r="U9" i="36"/>
  <c r="U14" i="37"/>
  <c r="H12" i="21"/>
  <c r="G526" i="3"/>
  <c r="U26" i="21"/>
  <c r="W36" i="39"/>
  <c r="U23" i="40"/>
  <c r="AC16" i="36"/>
  <c r="AB12" i="33"/>
  <c r="C27" i="39"/>
  <c r="U40" i="40"/>
  <c r="AC9" i="40"/>
  <c r="J12" i="21"/>
  <c r="B73" i="43"/>
  <c r="B76" i="43"/>
  <c r="F9" i="36"/>
  <c r="J40" i="40"/>
  <c r="G562" i="3"/>
  <c r="AZ255" i="3"/>
  <c r="BA472" i="3"/>
  <c r="AZ472" i="3" s="1"/>
  <c r="G476" i="3"/>
  <c r="BA479" i="3"/>
  <c r="AZ479" i="3" s="1"/>
  <c r="BA490" i="3"/>
  <c r="BL312" i="3"/>
  <c r="AZ312" i="3" s="1"/>
  <c r="G313" i="3"/>
  <c r="BA316" i="3"/>
  <c r="BA317" i="3"/>
  <c r="BA323" i="3"/>
  <c r="AZ323" i="3" s="1"/>
  <c r="G327" i="3"/>
  <c r="BL330" i="3"/>
  <c r="AZ330" i="3" s="1"/>
  <c r="G331" i="3"/>
  <c r="BL333" i="3"/>
  <c r="G334" i="3"/>
  <c r="G345" i="3"/>
  <c r="BL348" i="3"/>
  <c r="BA352" i="3"/>
  <c r="AZ352" i="3" s="1"/>
  <c r="BL354" i="3"/>
  <c r="AZ354" i="3" s="1"/>
  <c r="G378" i="3"/>
  <c r="G395" i="3"/>
  <c r="G208" i="3"/>
  <c r="G211" i="3"/>
  <c r="BA213" i="3"/>
  <c r="BA215" i="3"/>
  <c r="G219" i="3"/>
  <c r="AZ225" i="3"/>
  <c r="G230" i="3"/>
  <c r="BA232" i="3"/>
  <c r="BA234" i="3"/>
  <c r="AZ234" i="3" s="1"/>
  <c r="AZ236" i="3"/>
  <c r="G248" i="3"/>
  <c r="BL268" i="3"/>
  <c r="G278" i="3"/>
  <c r="BA474" i="3"/>
  <c r="BA475" i="3"/>
  <c r="AZ475" i="3" s="1"/>
  <c r="BL481" i="3"/>
  <c r="BL482" i="3"/>
  <c r="G483" i="3"/>
  <c r="BL485" i="3"/>
  <c r="BL486" i="3"/>
  <c r="AZ486" i="3" s="1"/>
  <c r="G487" i="3"/>
  <c r="BA492" i="3"/>
  <c r="BL363" i="3"/>
  <c r="AZ363" i="3" s="1"/>
  <c r="G369" i="3"/>
  <c r="BL393" i="3"/>
  <c r="AZ393" i="3" s="1"/>
  <c r="BL396" i="3"/>
  <c r="BL209" i="3"/>
  <c r="G240" i="3"/>
  <c r="G242" i="3"/>
  <c r="G245" i="3"/>
  <c r="BL246" i="3"/>
  <c r="BL253" i="3"/>
  <c r="AZ253" i="3" s="1"/>
  <c r="BA261" i="3"/>
  <c r="AZ261" i="3" s="1"/>
  <c r="BA264" i="3"/>
  <c r="BA266" i="3"/>
  <c r="AZ266" i="3" s="1"/>
  <c r="G272" i="3"/>
  <c r="G275" i="3"/>
  <c r="BL276" i="3"/>
  <c r="AZ276" i="3" s="1"/>
  <c r="BL279" i="3"/>
  <c r="BL281" i="3"/>
  <c r="AZ281" i="3" s="1"/>
  <c r="BA285" i="3"/>
  <c r="BA28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BA295" i="3"/>
  <c r="G298" i="3"/>
  <c r="BA299" i="3"/>
  <c r="BA300" i="3"/>
  <c r="BA113" i="3"/>
  <c r="AZ113" i="3" s="1"/>
  <c r="G119" i="3"/>
  <c r="G122" i="3"/>
  <c r="G131" i="3"/>
  <c r="BA136" i="3"/>
  <c r="AZ136" i="3" s="1"/>
  <c r="BA138" i="3"/>
  <c r="AZ138" i="3" s="1"/>
  <c r="BA141" i="3"/>
  <c r="BL145" i="3"/>
  <c r="BL147" i="3"/>
  <c r="AZ147" i="3" s="1"/>
  <c r="G148" i="3"/>
  <c r="BL151" i="3"/>
  <c r="AZ151" i="3" s="1"/>
  <c r="BA165" i="3"/>
  <c r="G168" i="3"/>
  <c r="BA170" i="3"/>
  <c r="BL174" i="3"/>
  <c r="BL202" i="3"/>
  <c r="BL36" i="3"/>
  <c r="AZ36" i="3" s="1"/>
  <c r="G200" i="3"/>
  <c r="G207" i="3"/>
  <c r="BA23" i="3"/>
  <c r="AZ23" i="3" s="1"/>
  <c r="BA24" i="3"/>
  <c r="AZ24" i="3" s="1"/>
  <c r="BL26" i="3"/>
  <c r="BL32" i="3"/>
  <c r="BA34" i="3"/>
  <c r="AZ34" i="3" s="1"/>
  <c r="BA35" i="3"/>
  <c r="AZ35" i="3" s="1"/>
  <c r="BL37" i="3"/>
  <c r="AZ37" i="3" s="1"/>
  <c r="BL42" i="3"/>
  <c r="BA44" i="3"/>
  <c r="AZ44" i="3" s="1"/>
  <c r="AZ56" i="3"/>
  <c r="BA206" i="3"/>
  <c r="BL22" i="3"/>
  <c r="BL33" i="3"/>
  <c r="AZ33" i="3" s="1"/>
  <c r="BL43" i="3"/>
  <c r="BL46" i="3"/>
  <c r="AZ46" i="3" s="1"/>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BL80" i="3"/>
  <c r="BL87" i="3"/>
  <c r="BA93" i="3"/>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5" i="43"/>
  <c r="D83" i="43"/>
  <c r="D66" i="43"/>
  <c r="D64" i="43"/>
  <c r="D62" i="43"/>
  <c r="D67" i="43"/>
  <c r="D65" i="43"/>
  <c r="D63" i="43"/>
  <c r="D69" i="43"/>
  <c r="D73" i="43"/>
  <c r="D75" i="43"/>
  <c r="D79" i="43"/>
  <c r="D22" i="67"/>
  <c r="AQ13" i="1"/>
  <c r="P11" i="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D7" i="73"/>
  <c r="F40" i="67"/>
  <c r="M9" i="67"/>
  <c r="F36" i="67"/>
  <c r="M29" i="15"/>
  <c r="C76" i="15"/>
  <c r="M23" i="15"/>
  <c r="F40" i="81"/>
  <c r="L47" i="67"/>
  <c r="F13" i="81"/>
  <c r="F42" i="15"/>
  <c r="F38" i="15"/>
  <c r="M6" i="15"/>
  <c r="F6" i="67"/>
  <c r="C76" i="67"/>
  <c r="F8" i="15"/>
  <c r="M28" i="15"/>
  <c r="F38" i="67"/>
  <c r="J15" i="81"/>
  <c r="L47" i="15"/>
  <c r="F7" i="15"/>
  <c r="M8" i="67"/>
  <c r="L48" i="81"/>
  <c r="F6" i="15"/>
  <c r="D4" i="73"/>
  <c r="F26" i="67"/>
  <c r="M6" i="67"/>
  <c r="M22" i="67"/>
  <c r="F16" i="15"/>
  <c r="F6" i="81"/>
  <c r="M29" i="81"/>
  <c r="D5" i="73"/>
  <c r="M28" i="67"/>
  <c r="J15" i="15"/>
  <c r="M29" i="67"/>
  <c r="F26" i="15"/>
  <c r="F13" i="67"/>
  <c r="M9" i="81"/>
  <c r="F43" i="67"/>
  <c r="M26" i="15"/>
  <c r="F43" i="81"/>
  <c r="M9" i="15"/>
  <c r="D3" i="73"/>
  <c r="M23" i="67"/>
  <c r="F42" i="67"/>
  <c r="M27" i="81"/>
  <c r="F38" i="81"/>
  <c r="F7" i="67"/>
  <c r="M22" i="81"/>
  <c r="J15" i="67"/>
  <c r="M28" i="81"/>
  <c r="F8" i="67"/>
  <c r="F37" i="81"/>
  <c r="C36" i="68"/>
  <c r="C76" i="81"/>
  <c r="F8" i="81"/>
  <c r="M8" i="81"/>
  <c r="F37" i="67"/>
  <c r="M24" i="67"/>
  <c r="M8" i="15"/>
  <c r="F16" i="67"/>
  <c r="M23" i="81"/>
  <c r="F9" i="67"/>
  <c r="F40" i="15"/>
  <c r="M6" i="81"/>
  <c r="F9" i="15"/>
  <c r="M24" i="81"/>
  <c r="M26" i="67"/>
  <c r="F36" i="15"/>
  <c r="F13" i="15"/>
  <c r="L48" i="67"/>
  <c r="L48" i="15"/>
  <c r="M24" i="15"/>
  <c r="D9" i="68"/>
  <c r="F36" i="81"/>
  <c r="F7" i="81"/>
  <c r="W28" i="21" l="1"/>
  <c r="AC28" i="21"/>
  <c r="AA40" i="37"/>
  <c r="S40" i="37"/>
  <c r="AZ481" i="3"/>
  <c r="AZ232" i="3"/>
  <c r="AZ84" i="3"/>
  <c r="AZ282" i="3"/>
  <c r="AZ464" i="3"/>
  <c r="AZ404" i="3"/>
  <c r="AZ461" i="3"/>
  <c r="AZ506" i="3"/>
  <c r="AC13" i="33"/>
  <c r="AZ560" i="3"/>
  <c r="AZ563" i="3"/>
  <c r="AZ555" i="3"/>
  <c r="AZ134" i="3"/>
  <c r="AB9" i="21"/>
  <c r="U9" i="21"/>
  <c r="AA27" i="37"/>
  <c r="S27" i="37"/>
  <c r="W13" i="37"/>
  <c r="AC13" i="37"/>
  <c r="AZ76" i="3"/>
  <c r="AZ22" i="3"/>
  <c r="AZ279" i="3"/>
  <c r="AZ213" i="3"/>
  <c r="AZ316" i="3"/>
  <c r="AZ48" i="3"/>
  <c r="AZ27" i="3"/>
  <c r="AZ64" i="3"/>
  <c r="AZ420" i="3"/>
  <c r="AZ399" i="3"/>
  <c r="AZ503" i="3"/>
  <c r="AZ499" i="3"/>
  <c r="AZ504" i="3"/>
  <c r="AZ546" i="3"/>
  <c r="AZ110" i="3"/>
  <c r="AZ562" i="3"/>
  <c r="AZ581" i="3"/>
  <c r="W13" i="40"/>
  <c r="W13" i="35"/>
  <c r="AC28" i="33"/>
  <c r="AA9" i="21"/>
  <c r="S9" i="21"/>
  <c r="C22" i="71"/>
  <c r="D23" i="71"/>
  <c r="U27" i="37"/>
  <c r="AB27" i="37"/>
  <c r="AZ206" i="3"/>
  <c r="AZ26" i="3"/>
  <c r="AZ264" i="3"/>
  <c r="AZ492" i="3"/>
  <c r="AZ474" i="3"/>
  <c r="AA39" i="37"/>
  <c r="AZ20" i="3"/>
  <c r="AZ278" i="3"/>
  <c r="AZ219" i="3"/>
  <c r="AZ447" i="3"/>
  <c r="AZ100" i="3"/>
  <c r="AZ269" i="3"/>
  <c r="AZ493" i="3"/>
  <c r="AZ567" i="3"/>
  <c r="AA14" i="33"/>
  <c r="AZ545" i="3"/>
  <c r="AZ406" i="3"/>
  <c r="AB36" i="39"/>
  <c r="AZ469" i="3"/>
  <c r="AB13" i="40"/>
  <c r="AA28" i="21"/>
  <c r="S28" i="21"/>
  <c r="E15" i="6"/>
  <c r="E64" i="39" s="1"/>
  <c r="G29" i="6"/>
  <c r="U31" i="40"/>
  <c r="AB31" i="40"/>
  <c r="H16" i="1"/>
  <c r="AZ145" i="3"/>
  <c r="AZ300" i="3"/>
  <c r="AZ292" i="3"/>
  <c r="AZ482" i="3"/>
  <c r="AZ190" i="3"/>
  <c r="AZ74" i="3"/>
  <c r="AZ432" i="3"/>
  <c r="AZ250" i="3"/>
  <c r="AZ470" i="3"/>
  <c r="AZ431" i="3"/>
  <c r="AZ410" i="3"/>
  <c r="AZ403" i="3"/>
  <c r="AZ460" i="3"/>
  <c r="AZ425" i="3"/>
  <c r="AZ533" i="3"/>
  <c r="AZ538" i="3"/>
  <c r="AZ385" i="3"/>
  <c r="AZ463" i="3"/>
  <c r="AZ536" i="3"/>
  <c r="S46" i="33"/>
  <c r="C30" i="69"/>
  <c r="AZ104" i="3"/>
  <c r="AZ87" i="3"/>
  <c r="AZ158" i="3"/>
  <c r="AZ490" i="3"/>
  <c r="AA13" i="35"/>
  <c r="W29" i="33"/>
  <c r="AZ263" i="3"/>
  <c r="AZ465" i="3"/>
  <c r="AZ429" i="3"/>
  <c r="AZ466" i="3"/>
  <c r="AZ398" i="3"/>
  <c r="AB14" i="33"/>
  <c r="AZ509" i="3"/>
  <c r="AZ540" i="3"/>
  <c r="F29" i="6"/>
  <c r="AA23" i="36"/>
  <c r="S23" i="36"/>
  <c r="C48" i="69"/>
  <c r="Q16" i="1"/>
  <c r="F27" i="69" s="1"/>
  <c r="G16" i="1"/>
  <c r="F10" i="39" s="1"/>
  <c r="AZ99" i="3"/>
  <c r="AZ43" i="3"/>
  <c r="AZ58" i="3"/>
  <c r="AZ154" i="3"/>
  <c r="AZ350" i="3"/>
  <c r="AZ16" i="3"/>
  <c r="AZ498" i="3"/>
  <c r="AZ14" i="3"/>
  <c r="AZ577" i="3"/>
  <c r="AZ556" i="3"/>
  <c r="AZ568" i="3"/>
  <c r="AA14" i="40"/>
  <c r="S14" i="40"/>
  <c r="AZ85" i="3"/>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N65" i="71" s="1"/>
  <c r="AB33" i="36"/>
  <c r="U33" i="36"/>
  <c r="S46" i="34"/>
  <c r="AA46" i="34"/>
  <c r="AC29" i="34"/>
  <c r="W29" i="34"/>
  <c r="AB14" i="34"/>
  <c r="U14" i="34"/>
  <c r="S30" i="33"/>
  <c r="AA30" i="33"/>
  <c r="S13" i="33"/>
  <c r="AA13" i="33"/>
  <c r="AB32" i="36"/>
  <c r="U32" i="36"/>
  <c r="W45" i="34"/>
  <c r="AC45" i="34"/>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E63" i="39" s="1"/>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F51" i="81"/>
  <c r="F71" i="81"/>
  <c r="F68" i="81"/>
  <c r="Q71" i="81"/>
  <c r="L56" i="81"/>
  <c r="J53" i="81"/>
  <c r="L60" i="81"/>
  <c r="J57" i="81"/>
  <c r="J55" i="81" s="1"/>
  <c r="J58" i="81" s="1"/>
  <c r="Q50" i="81" s="1"/>
  <c r="L57" i="81"/>
  <c r="I54" i="81"/>
  <c r="M7" i="81"/>
  <c r="J6" i="81" s="1"/>
  <c r="F50" i="81"/>
  <c r="F65" i="81"/>
  <c r="F64" i="81"/>
  <c r="F66" i="81"/>
  <c r="M11" i="81"/>
  <c r="J10" i="81" s="1"/>
  <c r="F11" i="81"/>
  <c r="C30" i="11"/>
  <c r="F64" i="15"/>
  <c r="Q71" i="15"/>
  <c r="C27" i="15"/>
  <c r="F66" i="15"/>
  <c r="J57" i="15"/>
  <c r="J55" i="15" s="1"/>
  <c r="J58" i="15" s="1"/>
  <c r="Q50" i="15" s="1"/>
  <c r="J53" i="15"/>
  <c r="L56" i="15" s="1"/>
  <c r="I54" i="15"/>
  <c r="C6" i="15"/>
  <c r="C32" i="15" s="1"/>
  <c r="L58" i="15"/>
  <c r="Q73" i="15" s="1"/>
  <c r="M59" i="15"/>
  <c r="L59" i="15"/>
  <c r="Q74" i="15" s="1"/>
  <c r="N59" i="15"/>
  <c r="M7" i="15"/>
  <c r="J6" i="15" s="1"/>
  <c r="J18" i="15" s="1"/>
  <c r="F50" i="15"/>
  <c r="F68" i="15"/>
  <c r="F51" i="15"/>
  <c r="F66" i="67"/>
  <c r="N370" i="46"/>
  <c r="G26" i="43"/>
  <c r="J26" i="43"/>
  <c r="N94" i="46"/>
  <c r="F26" i="43"/>
  <c r="E26" i="43"/>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E60"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G1" i="73"/>
  <c r="C16" i="67"/>
  <c r="F9" i="81"/>
  <c r="M26" i="81"/>
  <c r="M22" i="15"/>
  <c r="C17" i="81"/>
  <c r="F41" i="81"/>
  <c r="L47" i="81"/>
  <c r="F43" i="15"/>
  <c r="F16" i="81"/>
  <c r="F37" i="15"/>
  <c r="F26" i="81"/>
  <c r="F27" i="68"/>
  <c r="F42" i="81"/>
  <c r="C16" i="15"/>
  <c r="C14" i="81"/>
  <c r="F28" i="12" l="1"/>
  <c r="C29" i="12" s="1"/>
  <c r="D28" i="12" s="1"/>
  <c r="F27" i="11"/>
  <c r="C29" i="11" s="1"/>
  <c r="D27" i="11" s="1"/>
  <c r="C6" i="81"/>
  <c r="C10" i="81" s="1"/>
  <c r="C5" i="81" s="1"/>
  <c r="F65" i="15"/>
  <c r="C19" i="81"/>
  <c r="C20" i="81" s="1"/>
  <c r="C26" i="81" s="1"/>
  <c r="C18" i="81"/>
  <c r="C15" i="81"/>
  <c r="L58" i="81"/>
  <c r="Q73" i="81" s="1"/>
  <c r="N59" i="81"/>
  <c r="L59" i="81"/>
  <c r="Q61" i="81" s="1"/>
  <c r="M59" i="81"/>
  <c r="C27" i="81"/>
  <c r="F71" i="15"/>
  <c r="D22" i="71"/>
  <c r="C21" i="71"/>
  <c r="N66" i="71"/>
  <c r="Q18" i="1"/>
  <c r="C47" i="69"/>
  <c r="D45" i="69" s="1"/>
  <c r="F45" i="69"/>
  <c r="E59" i="40"/>
  <c r="E51" i="40"/>
  <c r="W7" i="37"/>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C33" i="81"/>
  <c r="C32" i="81"/>
  <c r="Q57" i="81"/>
  <c r="Q66" i="81"/>
  <c r="F1" i="81"/>
  <c r="Q52" i="81"/>
  <c r="J5" i="81"/>
  <c r="J26" i="81" s="1"/>
  <c r="J29" i="81" s="1"/>
  <c r="Q61" i="15"/>
  <c r="F69" i="81"/>
  <c r="C53" i="8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E65" i="39" s="1"/>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424" i="3"/>
  <c r="D37" i="11"/>
  <c r="D19" i="11"/>
  <c r="C19" i="11" s="1"/>
  <c r="D3" i="37"/>
  <c r="AB10" i="39"/>
  <c r="AA10" i="40"/>
  <c r="U10" i="40"/>
  <c r="W10" i="40"/>
  <c r="AC10" i="39"/>
  <c r="U7" i="37"/>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M27" i="15"/>
  <c r="F41" i="67"/>
  <c r="C16" i="81"/>
  <c r="M27" i="67"/>
  <c r="AE6" i="1"/>
  <c r="Q60" i="81" l="1"/>
  <c r="Q74" i="81"/>
  <c r="F69" i="39"/>
  <c r="D3" i="33"/>
  <c r="D3" i="34"/>
  <c r="E6" i="6"/>
  <c r="D10" i="69" s="1"/>
  <c r="AY20" i="3"/>
  <c r="C17" i="4"/>
  <c r="B4" i="52" s="1"/>
  <c r="B43" i="72" s="1"/>
  <c r="M18" i="9"/>
  <c r="B118" i="9" s="1"/>
  <c r="B1" i="74" s="1"/>
  <c r="D3" i="21"/>
  <c r="AY109" i="3"/>
  <c r="D21" i="71"/>
  <c r="C20" i="71"/>
  <c r="L18" i="9"/>
  <c r="D14" i="12"/>
  <c r="D17" i="12" s="1"/>
  <c r="C17" i="12" s="1"/>
  <c r="AY250" i="3"/>
  <c r="AY508" i="3"/>
  <c r="AY13" i="3"/>
  <c r="BR6" i="3"/>
  <c r="AY61" i="3"/>
  <c r="AY352" i="3"/>
  <c r="AY329" i="3"/>
  <c r="AY146" i="3"/>
  <c r="AY265" i="3"/>
  <c r="AY213" i="3"/>
  <c r="AY584" i="3"/>
  <c r="BQ6" i="3"/>
  <c r="C48" i="81"/>
  <c r="C66" i="81" s="1"/>
  <c r="E83" i="43"/>
  <c r="B81" i="43" s="1"/>
  <c r="C28" i="43" s="1"/>
  <c r="K14" i="1"/>
  <c r="C34" i="69" s="1"/>
  <c r="E30" i="6"/>
  <c r="E31" i="6" s="1"/>
  <c r="I46" i="37"/>
  <c r="J46" i="37" s="1"/>
  <c r="C48" i="15"/>
  <c r="C66" i="15" s="1"/>
  <c r="J24" i="81"/>
  <c r="F69" i="67"/>
  <c r="C38" i="81"/>
  <c r="L36" i="43"/>
  <c r="L37" i="43" s="1"/>
  <c r="M37" i="43" s="1"/>
  <c r="F24" i="81"/>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D116" i="43"/>
  <c r="F22" i="11"/>
  <c r="C24" i="11" s="1"/>
  <c r="F24" i="67"/>
  <c r="C24" i="67" s="1"/>
  <c r="G54" i="34"/>
  <c r="H54" i="34" s="1"/>
  <c r="F24" i="15"/>
  <c r="C24" i="15" s="1"/>
  <c r="F22" i="69"/>
  <c r="F41" i="69" s="1"/>
  <c r="F22" i="68"/>
  <c r="C26" i="68" s="1"/>
  <c r="D22" i="68" s="1"/>
  <c r="F25" i="12"/>
  <c r="C26" i="12" s="1"/>
  <c r="D25" i="12" s="1"/>
  <c r="C48" i="67"/>
  <c r="C66" i="67"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D19" i="6"/>
  <c r="C18" i="4"/>
  <c r="D23" i="6"/>
  <c r="D5" i="6"/>
  <c r="D12" i="6"/>
  <c r="D11" i="6"/>
  <c r="D13" i="6"/>
  <c r="D28" i="6"/>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14" i="67"/>
  <c r="F41" i="15"/>
  <c r="C17" i="15"/>
  <c r="C17" i="67"/>
  <c r="D20" i="71" l="1"/>
  <c r="U20" i="71" s="1"/>
  <c r="C19" i="71"/>
  <c r="T20" i="71"/>
  <c r="D6" i="6"/>
  <c r="D10" i="11"/>
  <c r="C10" i="11" s="1"/>
  <c r="E6" i="3"/>
  <c r="D30" i="6"/>
  <c r="H24" i="6"/>
  <c r="R24" i="6" s="1"/>
  <c r="R11" i="1" s="1"/>
  <c r="C60" i="81"/>
  <c r="C60" i="15"/>
  <c r="F69" i="15"/>
  <c r="M14" i="1"/>
  <c r="M16" i="1" s="1"/>
  <c r="K16" i="1"/>
  <c r="C14" i="74"/>
  <c r="D1" i="43"/>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R22" i="6" s="1"/>
  <c r="R9" i="1" s="1"/>
  <c r="P36" i="43"/>
  <c r="O36" i="43"/>
  <c r="M36" i="43"/>
  <c r="H21" i="6"/>
  <c r="R21" i="6" s="1"/>
  <c r="R8" i="1" s="1"/>
  <c r="O37" i="43"/>
  <c r="N37" i="43"/>
  <c r="P37" i="43"/>
  <c r="Q37" i="43"/>
  <c r="C24" i="81"/>
  <c r="C23" i="81"/>
  <c r="C60" i="67"/>
  <c r="F41" i="68"/>
  <c r="H25" i="6"/>
  <c r="C23" i="11"/>
  <c r="C26" i="11"/>
  <c r="D22" i="11" s="1"/>
  <c r="C44" i="11"/>
  <c r="D41" i="11" s="1"/>
  <c r="C25" i="11"/>
  <c r="C44" i="69"/>
  <c r="D41" i="69" s="1"/>
  <c r="C44" i="68"/>
  <c r="D41" i="68"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71" l="1"/>
  <c r="D19" i="71"/>
  <c r="E39" i="43"/>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8" i="71" l="1"/>
  <c r="C17" i="71"/>
  <c r="F50" i="68"/>
  <c r="F50" i="69"/>
  <c r="F50" i="11"/>
  <c r="C31" i="43"/>
  <c r="C30" i="43"/>
  <c r="J59" i="81"/>
  <c r="J60" i="81" s="1"/>
  <c r="Q48" i="81" s="1"/>
  <c r="C57" i="81"/>
  <c r="C64" i="81" s="1"/>
  <c r="C13" i="81"/>
  <c r="C56" i="81" s="1"/>
  <c r="C65" i="81" s="1"/>
  <c r="C36" i="81"/>
  <c r="J14" i="81"/>
  <c r="J22" i="81" s="1"/>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16" i="71" l="1"/>
  <c r="D17" i="71"/>
  <c r="E2" i="76"/>
  <c r="B2" i="43"/>
  <c r="L46" i="81"/>
  <c r="C27" i="12"/>
  <c r="C25" i="12" s="1"/>
  <c r="C32" i="12" s="1"/>
  <c r="B2" i="12" s="1"/>
  <c r="B3" i="12" s="1"/>
  <c r="J13" i="81"/>
  <c r="J23" i="81" s="1"/>
  <c r="C37" i="81"/>
  <c r="Q70" i="81"/>
  <c r="C75" i="8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M21" i="81"/>
  <c r="F35" i="81"/>
  <c r="B6" i="76"/>
  <c r="M21" i="67"/>
  <c r="F35" i="15"/>
  <c r="C15" i="71" l="1"/>
  <c r="T16" i="71"/>
  <c r="D16" i="71"/>
  <c r="U16" i="71" s="1"/>
  <c r="B2" i="76"/>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C23" i="68"/>
  <c r="C20" i="68"/>
  <c r="I42" i="35"/>
  <c r="J42" i="35" s="1"/>
  <c r="C71" i="81"/>
  <c r="C40" i="81"/>
  <c r="Q69" i="81"/>
  <c r="Q68" i="81" s="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D14" i="71" l="1"/>
  <c r="C13" i="71"/>
  <c r="C28" i="68"/>
  <c r="C27" i="68" s="1"/>
  <c r="C25" i="68"/>
  <c r="C22" i="68" s="1"/>
  <c r="Q67" i="81"/>
  <c r="C43" i="81"/>
  <c r="Q65" i="81"/>
  <c r="Q75" i="81" s="1"/>
  <c r="Q47" i="81"/>
  <c r="Q53" i="81" s="1"/>
  <c r="B2" i="81"/>
  <c r="B3" i="81" s="1"/>
  <c r="Q56" i="81"/>
  <c r="Q62" i="81" s="1"/>
  <c r="C83" i="81"/>
  <c r="C82" i="81" s="1"/>
  <c r="C46"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G39" i="15"/>
  <c r="C31" i="68"/>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19" i="9"/>
  <c r="D2" i="35"/>
  <c r="D2" i="37"/>
  <c r="L51" i="15"/>
  <c r="D2" i="34"/>
  <c r="C11" i="71" l="1"/>
  <c r="T12" i="71"/>
  <c r="D12" i="71"/>
  <c r="U12" i="71" s="1"/>
  <c r="C57" i="68"/>
  <c r="C56" i="68" s="1"/>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B3" i="68"/>
  <c r="AO11" i="1"/>
  <c r="AO10" i="1"/>
  <c r="AO7" i="1"/>
  <c r="AO8"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D10" i="71" l="1"/>
  <c r="C9" i="71"/>
  <c r="C103" i="9"/>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C8" i="71" l="1"/>
  <c r="D9" i="71"/>
  <c r="G21" i="9"/>
  <c r="D14" i="74"/>
  <c r="G14" i="74" s="1"/>
  <c r="B7"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D6" i="71" l="1"/>
  <c r="C5" i="71"/>
  <c r="D5" i="71" s="1"/>
  <c r="M24" i="43" s="1"/>
  <c r="B6" i="74"/>
  <c r="D118" i="9"/>
  <c r="J118" i="9" s="1"/>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C6" i="74"/>
  <c r="L64" i="9"/>
  <c r="M64" i="9" s="1"/>
  <c r="L66" i="9"/>
  <c r="M66" i="9" s="1"/>
  <c r="L63" i="9"/>
  <c r="M63" i="9" s="1"/>
  <c r="L65" i="9"/>
  <c r="M65" i="9" s="1"/>
  <c r="L68" i="9"/>
  <c r="M68" i="9" s="1"/>
  <c r="L67" i="9"/>
  <c r="M67" i="9" s="1"/>
  <c r="D14" i="53"/>
  <c r="B32" i="72" s="1"/>
  <c r="B30" i="72"/>
  <c r="D8" i="52"/>
  <c r="D123" i="9"/>
  <c r="D9" i="52" s="1"/>
  <c r="Q57" i="9" l="1"/>
  <c r="Q59" i="9" s="1"/>
  <c r="I14" i="74" s="1"/>
  <c r="C81" i="9"/>
  <c r="D58" i="9" s="1"/>
  <c r="M69" i="9"/>
  <c r="N69" i="9" s="1"/>
  <c r="C97" i="9"/>
  <c r="Q60" i="9" l="1"/>
  <c r="J20" i="9"/>
  <c r="Q58" i="9"/>
  <c r="R57" i="9"/>
  <c r="Q61" i="9"/>
  <c r="R59" i="9"/>
  <c r="D56" i="9"/>
  <c r="M54" i="9" s="1"/>
  <c r="N57" i="9" s="1"/>
  <c r="P57" i="9" s="1"/>
  <c r="N59" i="9" l="1"/>
  <c r="N58" i="9"/>
  <c r="N60" i="9" l="1"/>
  <c r="P59" i="9"/>
  <c r="N61" i="9"/>
  <c r="H112" i="9" s="1"/>
  <c r="D21" i="53" s="1"/>
  <c r="B39" i="72" s="1"/>
  <c r="H111" i="9"/>
  <c r="D126" i="9" l="1"/>
  <c r="D19" i="53"/>
  <c r="B38" i="72" l="1"/>
  <c r="D20" i="53"/>
  <c r="B40" i="72" s="1"/>
  <c r="D127" i="9"/>
  <c r="D13" i="52" s="1"/>
  <c r="D12" i="52"/>
  <c r="B2" i="74" l="1"/>
  <c r="D7" i="74" l="1"/>
  <c r="D6" i="74"/>
  <c r="I19" i="9" l="1"/>
  <c r="J19" i="9" s="1"/>
  <c r="B5" i="74" l="1"/>
  <c r="D5" i="74" l="1"/>
  <c r="C5" i="74"/>
  <c r="J21" i="9" l="1"/>
  <c r="J22" i="9" s="1"/>
  <c r="B8" i="74" l="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<sst xmlns="http://schemas.openxmlformats.org/spreadsheetml/2006/main" count="8278" uniqueCount="3449">
  <si>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</si>
  <si>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</si>
  <si>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</si>
  <si>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</si>
  <si>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</si>
  <si>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</si>
  <si>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</si>
  <si>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</si>
  <si>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</si>
  <si>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</si>
  <si>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</si>
  <si>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</si>
  <si>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</si>
  <si>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</si>
  <si>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</si>
  <si>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</si>
  <si>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</si>
  <si>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</si>
  <si>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</si>
  <si>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</si>
  <si>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</si>
  <si>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</si>
  <si>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</si>
  <si>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</si>
  <si>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</si>
  <si>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</si>
  <si>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</si>
  <si>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</si>
  <si>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</si>
  <si>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</si>
  <si>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</si>
  <si>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</si>
  <si>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</si>
  <si>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</si>
  <si>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</si>
  <si>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</si>
  <si>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</si>
  <si>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</si>
  <si>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</si>
  <si>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</si>
  <si>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</si>
  <si>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</si>
  <si>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</si>
  <si>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</si>
  <si>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</si>
  <si>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</si>
  <si>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</si>
  <si>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</si>
  <si>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</si>
  <si>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</si>
  <si>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</si>
  <si>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</si>
  <si>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</si>
  <si>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</si>
  <si>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</si>
  <si>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</si>
  <si>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</si>
  <si>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</si>
  <si>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</si>
  <si>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</si>
  <si>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</si>
  <si>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</si>
  <si>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</si>
  <si>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</si>
  <si>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</si>
  <si>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</si>
  <si>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</si>
  <si>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</si>
  <si>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</si>
  <si>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</si>
  <si>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</si>
  <si>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</si>
  <si>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</si>
  <si>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</si>
  <si>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</si>
  <si>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</si>
  <si>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</si>
  <si>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</si>
  <si>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</si>
  <si>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</si>
  <si>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</si>
  <si>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</si>
  <si>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</si>
  <si>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</si>
  <si>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</si>
  <si>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</si>
  <si>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</si>
  <si>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</si>
  <si>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</si>
  <si>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</si>
  <si>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</si>
  <si>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</si>
  <si>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</si>
  <si>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</si>
  <si>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</si>
  <si>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</si>
  <si>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</si>
  <si>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</si>
  <si>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</si>
  <si>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</si>
  <si>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</si>
  <si>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</si>
  <si>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</si>
  <si>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</si>
  <si>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</si>
  <si>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</si>
  <si>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</si>
  <si>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</si>
  <si>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</si>
  <si>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</si>
  <si>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</si>
  <si>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</si>
  <si>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</si>
  <si>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</si>
  <si>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</si>
  <si>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</si>
  <si>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</si>
  <si>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</si>
  <si>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</si>
  <si>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</si>
  <si>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</si>
  <si>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</si>
  <si>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</si>
  <si>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</si>
  <si>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</si>
  <si>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</si>
  <si>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</si>
  <si>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</si>
  <si>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</si>
  <si>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</si>
  <si>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</si>
  <si>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</si>
  <si>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</si>
  <si>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</si>
  <si>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</si>
  <si>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</si>
  <si>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</si>
  <si>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</si>
  <si>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</si>
  <si>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</si>
  <si>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</si>
  <si>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</si>
  <si>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</si>
  <si>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</si>
  <si>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</si>
  <si>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</si>
  <si>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</si>
  <si>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</si>
  <si>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</si>
  <si>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</si>
  <si>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</si>
  <si>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</si>
  <si>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</si>
  <si>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</si>
  <si>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</si>
  <si>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</si>
  <si>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</si>
  <si>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</si>
  <si>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</si>
  <si>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</si>
  <si>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</si>
  <si>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</si>
  <si>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</si>
  <si>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</si>
  <si>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</si>
  <si>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</si>
  <si>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</si>
  <si>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</si>
  <si>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</si>
  <si>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</si>
  <si>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</si>
  <si>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</si>
  <si>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</si>
  <si>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</si>
  <si>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</si>
  <si>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</si>
  <si>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</si>
  <si>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</si>
  <si>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</si>
  <si>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</si>
  <si>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</si>
  <si>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</si>
  <si>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</si>
  <si>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</si>
  <si>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</si>
  <si>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</si>
  <si>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</si>
  <si>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</si>
  <si>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</si>
  <si>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</si>
  <si>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</si>
  <si>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</si>
  <si>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</si>
  <si>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</si>
  <si>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</si>
  <si>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</si>
  <si>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</si>
  <si>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</si>
  <si>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</si>
  <si>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</si>
  <si>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</si>
  <si>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</si>
  <si>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</si>
  <si>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</si>
  <si>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</si>
  <si>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</si>
  <si>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</si>
  <si>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</si>
  <si>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</si>
  <si>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</si>
  <si>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</si>
  <si>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</si>
  <si>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</si>
  <si>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</si>
  <si>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</si>
  <si>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</si>
  <si>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</si>
  <si>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</si>
  <si>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</si>
  <si>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</si>
  <si>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</si>
  <si>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</si>
  <si>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</si>
  <si>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</si>
  <si>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</si>
  <si>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</si>
  <si>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</si>
  <si>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</si>
  <si>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</si>
  <si>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</si>
  <si>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</si>
  <si>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</si>
  <si>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</si>
  <si>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</si>
  <si>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</si>
  <si>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</si>
  <si>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</si>
  <si>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</si>
  <si>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</si>
  <si>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</si>
  <si>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</si>
  <si>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</si>
  <si>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</si>
  <si>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</si>
  <si>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</si>
  <si>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</si>
  <si>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</si>
  <si>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</si>
  <si>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</si>
  <si>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</si>
  <si>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</si>
  <si>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</si>
  <si>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</si>
  <si>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</si>
  <si>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</si>
  <si>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</si>
  <si>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</si>
  <si>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</si>
  <si>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</si>
  <si>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</si>
  <si>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</si>
  <si>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</si>
  <si>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</si>
  <si>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</si>
  <si>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</si>
  <si>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</si>
  <si>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</si>
  <si>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</si>
  <si>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</si>
  <si>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</si>
  <si>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</si>
  <si>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</si>
  <si>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</si>
  <si>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</si>
  <si>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</si>
  <si>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</si>
  <si>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</si>
  <si>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</si>
  <si>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</si>
  <si>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</si>
  <si>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</si>
  <si>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</si>
  <si>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</si>
  <si>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</si>
  <si>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</si>
  <si>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</si>
  <si>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</si>
  <si>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</si>
  <si>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</si>
  <si>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</si>
  <si>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</si>
  <si>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</si>
  <si>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</si>
  <si>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</si>
  <si>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</si>
  <si>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</si>
  <si>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</si>
  <si>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</si>
  <si>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</si>
  <si>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</si>
  <si>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</si>
  <si>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</si>
  <si>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</si>
  <si>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</si>
  <si>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</si>
  <si>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</si>
  <si>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</si>
  <si>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</si>
  <si>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</si>
  <si>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</si>
  <si>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</si>
  <si>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</si>
  <si>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</si>
  <si>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</si>
  <si>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</si>
  <si>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</si>
  <si>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</si>
  <si>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</si>
  <si>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</si>
  <si>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</si>
  <si>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</si>
  <si>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</si>
  <si>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</si>
  <si>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</si>
  <si>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</si>
  <si>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</si>
  <si>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</si>
  <si>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</si>
  <si>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</si>
  <si>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</si>
  <si>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</si>
  <si>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</si>
  <si>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</si>
  <si>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</si>
  <si>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</si>
  <si>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</si>
  <si>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</si>
  <si>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</si>
  <si>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</si>
  <si>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</si>
  <si>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</si>
  <si>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</si>
  <si>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</si>
  <si>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</si>
  <si>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</si>
  <si>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</si>
  <si>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</si>
  <si>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</si>
  <si>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</si>
  <si>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</si>
  <si>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</si>
  <si>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</si>
  <si>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</si>
  <si>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</si>
  <si>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</si>
  <si>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</si>
  <si>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</si>
  <si>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</si>
  <si>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</si>
  <si>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</si>
  <si>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</si>
  <si>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</si>
  <si>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</si>
  <si>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</si>
  <si>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</si>
  <si>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</si>
  <si>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</si>
  <si>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</si>
  <si>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</si>
  <si>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</si>
  <si>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</si>
  <si>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</si>
  <si>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</si>
  <si>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</si>
  <si>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</si>
  <si>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</si>
  <si>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</si>
  <si>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</si>
  <si>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</si>
  <si>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</si>
  <si>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</si>
  <si>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</si>
  <si>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</si>
  <si>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</si>
  <si>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</si>
  <si>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</si>
  <si>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</si>
  <si>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</si>
  <si>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</si>
  <si>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</si>
  <si>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</si>
  <si>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</si>
  <si>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</si>
  <si>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</si>
  <si>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</si>
  <si>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</si>
  <si>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</si>
  <si>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</si>
  <si>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</si>
  <si>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</si>
  <si>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</si>
  <si>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</si>
  <si>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</si>
  <si>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</si>
  <si>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</si>
  <si>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</si>
  <si>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</si>
  <si>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</si>
  <si>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</si>
  <si>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</si>
  <si>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</si>
  <si>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</si>
  <si>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</si>
  <si>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</si>
  <si>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</si>
  <si>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</si>
  <si>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</si>
  <si>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</si>
  <si>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</si>
  <si>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</si>
  <si>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</si>
  <si>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</si>
  <si>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</si>
  <si>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</si>
  <si>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</si>
  <si>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</si>
  <si>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</si>
  <si>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</si>
  <si>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</si>
  <si>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</si>
  <si>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</si>
  <si>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</si>
  <si>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</si>
  <si>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</si>
  <si>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</si>
  <si>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</si>
  <si>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</si>
  <si>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</si>
  <si>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</si>
  <si>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</si>
  <si>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</si>
  <si>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</si>
  <si>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</si>
  <si>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</si>
  <si>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</si>
  <si>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</si>
  <si>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</si>
  <si>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</si>
  <si>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</si>
  <si>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</si>
  <si>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</si>
  <si>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</si>
  <si>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</si>
  <si>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</si>
  <si>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</si>
  <si>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</si>
  <si>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</si>
  <si>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</si>
  <si>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</si>
  <si>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</si>
  <si>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</si>
  <si>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</si>
  <si>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</si>
  <si>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</si>
  <si>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</si>
  <si>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</si>
  <si>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</si>
  <si>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</si>
  <si>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</si>
  <si>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</si>
  <si>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</si>
  <si>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</si>
  <si>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</si>
  <si>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</si>
  <si>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</si>
  <si>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</si>
  <si>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</si>
  <si>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</si>
  <si>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</si>
  <si>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</si>
  <si>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</si>
  <si>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</si>
  <si>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</si>
  <si>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</si>
  <si>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</si>
  <si>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</si>
  <si>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</si>
  <si>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</si>
  <si>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</si>
  <si>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</si>
  <si>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</si>
  <si>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</si>
  <si>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</si>
  <si>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</si>
  <si>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</si>
  <si>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</si>
  <si>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</si>
  <si>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</si>
  <si>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</si>
  <si>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</si>
  <si>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</si>
  <si>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</si>
  <si>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</si>
  <si>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</si>
  <si>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</si>
  <si>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</si>
  <si>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</si>
  <si>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</si>
  <si>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</si>
  <si>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</si>
  <si>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</si>
  <si>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</si>
  <si>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</si>
  <si>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</si>
  <si>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</si>
  <si>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</si>
  <si>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</si>
  <si>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</si>
  <si>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</si>
  <si>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</si>
  <si>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</si>
  <si>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</si>
  <si>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</si>
  <si>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</si>
  <si>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</si>
  <si>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</si>
  <si>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</si>
  <si>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</si>
  <si>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</si>
  <si>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</si>
  <si>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</si>
  <si>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</si>
  <si>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</si>
  <si>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</si>
  <si>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</si>
  <si>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</si>
  <si>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</si>
  <si>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</si>
  <si>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</si>
  <si>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</si>
  <si>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</si>
  <si>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</si>
  <si>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</si>
  <si>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</si>
  <si>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</si>
  <si>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</si>
  <si>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</si>
  <si>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</si>
  <si>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</si>
  <si>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</si>
  <si>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</si>
  <si>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</si>
  <si>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</si>
  <si>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</si>
  <si>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</si>
  <si>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</si>
  <si>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</si>
  <si>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</si>
  <si>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</si>
  <si>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</si>
  <si>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</si>
  <si>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</si>
  <si>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</si>
  <si>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</si>
  <si>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</si>
  <si>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</si>
  <si>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</si>
  <si>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</si>
  <si>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</si>
  <si>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</si>
  <si>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</si>
  <si>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</si>
  <si>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</si>
  <si>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</si>
  <si>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</si>
  <si>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</si>
  <si>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</si>
  <si>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</si>
  <si>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</si>
  <si>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</si>
  <si>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</si>
  <si>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</si>
  <si>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</si>
  <si>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</si>
  <si>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</si>
  <si>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</si>
  <si>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</si>
  <si>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</si>
  <si>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</si>
  <si>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</si>
  <si>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</si>
  <si>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</si>
  <si>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</si>
  <si>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</si>
  <si>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</si>
  <si>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</si>
  <si>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</si>
  <si>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</si>
  <si>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</si>
  <si>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</si>
  <si>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</si>
  <si>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</si>
  <si>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</si>
  <si>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</si>
  <si>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</si>
  <si>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</si>
  <si>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</si>
  <si>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</si>
  <si>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</si>
  <si>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</si>
  <si>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</si>
  <si>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</si>
  <si>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</si>
  <si>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</si>
  <si>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</si>
  <si>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</si>
  <si>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</si>
  <si>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</si>
  <si>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</si>
  <si>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</si>
  <si>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</si>
  <si>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</si>
  <si>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</si>
  <si>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</si>
  <si>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</si>
  <si>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</si>
  <si>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</si>
  <si>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</si>
  <si>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</si>
  <si>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</si>
  <si>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</si>
  <si>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</si>
  <si>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</si>
  <si>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</si>
  <si>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</si>
  <si>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</si>
  <si>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</si>
  <si>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</si>
  <si>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</si>
  <si>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</si>
  <si>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</si>
  <si>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</si>
  <si>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</si>
  <si>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</si>
  <si>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</si>
  <si>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</si>
  <si>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</si>
  <si>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</si>
  <si>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</si>
  <si>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</si>
  <si>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</si>
  <si>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</si>
  <si>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</si>
  <si>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</si>
  <si>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</si>
  <si>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</si>
  <si>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</si>
  <si>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</si>
  <si>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</si>
  <si>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</si>
  <si>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</si>
  <si>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</si>
  <si>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</si>
  <si>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</si>
  <si>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</si>
  <si>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</si>
  <si>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</si>
  <si>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</si>
  <si>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</si>
  <si>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</si>
  <si>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</si>
  <si>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</si>
  <si>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</si>
  <si>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</si>
  <si>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</si>
  <si>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</si>
  <si>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</si>
  <si>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</si>
  <si>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</si>
  <si>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</si>
  <si>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</si>
  <si>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</si>
  <si>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</si>
  <si>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</si>
  <si>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</si>
  <si>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</si>
  <si>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</si>
  <si>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</si>
  <si>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</si>
  <si>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</si>
  <si>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</si>
  <si>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</si>
  <si>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</si>
  <si>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</si>
  <si>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</si>
  <si>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</si>
  <si>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</si>
  <si>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</si>
  <si>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</si>
  <si>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</si>
  <si>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</si>
  <si>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</si>
  <si>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</si>
  <si>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</si>
  <si>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</si>
  <si>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</si>
  <si>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</si>
  <si>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</si>
  <si>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</si>
  <si>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</si>
  <si>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</si>
  <si>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</si>
  <si>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</si>
  <si>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</si>
  <si>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</si>
  <si>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</si>
  <si>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</si>
  <si>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</si>
  <si>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</si>
  <si>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</si>
  <si>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</si>
  <si>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</si>
  <si>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</si>
  <si>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</si>
  <si>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</si>
  <si>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</si>
  <si>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</si>
  <si>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</si>
  <si>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</si>
  <si>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</si>
  <si>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</si>
  <si>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</si>
  <si>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</si>
  <si>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</si>
  <si>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</si>
  <si>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</si>
  <si>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</si>
  <si>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</si>
  <si>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</si>
  <si>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</si>
  <si>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</si>
  <si>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</si>
  <si>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</si>
  <si>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</si>
  <si>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</si>
  <si>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</si>
  <si>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</si>
  <si>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</si>
  <si>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</si>
  <si>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</si>
  <si>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</si>
  <si>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</si>
  <si>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</si>
  <si>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</si>
  <si>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</si>
  <si>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</si>
  <si>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</si>
  <si>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</si>
  <si>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</si>
  <si>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</si>
  <si>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</si>
  <si>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</si>
  <si>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</si>
  <si>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</si>
  <si>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</si>
  <si>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</si>
  <si>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</si>
  <si>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</si>
  <si>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</si>
  <si>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</si>
  <si>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</si>
  <si>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</si>
  <si>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</si>
  <si>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</si>
  <si>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</si>
  <si>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</si>
  <si>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</si>
  <si>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</si>
  <si>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</si>
  <si>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</si>
  <si>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</si>
  <si>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</si>
  <si>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</si>
  <si>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</si>
  <si>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</si>
  <si>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</si>
  <si>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</si>
  <si>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</si>
  <si>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</si>
  <si>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</si>
  <si>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</si>
  <si>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</si>
  <si>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</si>
  <si>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</si>
  <si>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</si>
  <si>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</si>
  <si>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</si>
  <si>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</si>
  <si>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</si>
  <si>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</si>
  <si>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</si>
  <si>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</si>
  <si>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</si>
  <si>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</si>
  <si>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</si>
  <si>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</si>
  <si>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</si>
  <si>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</si>
  <si>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</si>
  <si>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</si>
  <si>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</si>
  <si>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</si>
  <si>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</si>
  <si>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</si>
  <si>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</si>
  <si>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</si>
  <si>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</si>
  <si>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</si>
  <si>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</si>
  <si>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</si>
  <si>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</si>
  <si>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</si>
  <si>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</si>
  <si>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</si>
  <si>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</si>
  <si>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</si>
  <si>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</si>
  <si>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</si>
  <si>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</si>
  <si>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</si>
  <si>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</si>
  <si>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</si>
  <si>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</si>
  <si>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</si>
  <si>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</si>
  <si>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</si>
  <si>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</si>
  <si>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</si>
  <si>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</si>
  <si>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</si>
  <si>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</si>
  <si>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</si>
  <si>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</si>
  <si>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</si>
  <si>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</si>
  <si>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</si>
  <si>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</si>
  <si>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</si>
  <si>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</si>
  <si>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</si>
  <si>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</si>
  <si>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</si>
  <si>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</si>
  <si>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</si>
  <si>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</si>
  <si>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</si>
  <si>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</si>
  <si>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</si>
  <si>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</si>
  <si>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</si>
  <si>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</si>
  <si>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</si>
  <si>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</si>
  <si>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</si>
  <si>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</si>
  <si>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</si>
  <si>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</si>
  <si>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</si>
  <si>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</si>
  <si>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</si>
  <si>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</si>
  <si>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</si>
  <si>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</si>
  <si>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</si>
  <si>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</si>
  <si>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</si>
  <si>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</si>
  <si>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</si>
  <si>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</si>
  <si>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</si>
  <si>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</si>
  <si>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</si>
  <si>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</si>
  <si>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</si>
  <si>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</si>
  <si>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</si>
  <si>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</si>
  <si>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</si>
  <si>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</si>
  <si>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</si>
  <si>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</si>
  <si>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</si>
  <si>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</si>
  <si>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</si>
  <si>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</si>
  <si>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</si>
  <si>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</si>
  <si>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</si>
  <si>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</si>
  <si>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</si>
  <si>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</si>
  <si>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</si>
  <si>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</si>
  <si>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</si>
  <si>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</si>
  <si>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</si>
  <si>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</si>
  <si>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</si>
  <si>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</si>
  <si>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</si>
  <si>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</si>
  <si>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</si>
  <si>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</si>
  <si>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</si>
  <si>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</si>
  <si>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</si>
  <si>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</si>
  <si>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</si>
  <si>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</si>
  <si>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</si>
  <si>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</si>
  <si>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</si>
  <si>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</si>
  <si>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</si>
  <si>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</si>
  <si>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</si>
  <si>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</si>
  <si>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</si>
  <si>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</si>
  <si>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</si>
  <si>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</si>
  <si>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</si>
  <si>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</si>
  <si>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</si>
  <si>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</si>
  <si>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</si>
  <si>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</si>
  <si>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</si>
  <si>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</si>
  <si>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</si>
  <si>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</si>
  <si>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</si>
  <si>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</si>
  <si>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</si>
  <si>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</si>
  <si>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</si>
  <si>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</si>
  <si>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</si>
  <si>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</si>
  <si>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</si>
  <si>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</si>
  <si>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</si>
  <si>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</si>
  <si>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</si>
  <si>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</si>
  <si>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</si>
  <si>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</si>
  <si>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</si>
  <si>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</si>
  <si>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</si>
  <si>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</si>
  <si>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</si>
  <si>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</si>
  <si>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</si>
  <si>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</si>
  <si>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</si>
  <si>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</si>
  <si>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</si>
  <si>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</si>
  <si>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</si>
  <si>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</si>
  <si>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</si>
  <si>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</si>
  <si>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</si>
  <si>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</si>
  <si>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</si>
  <si>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</si>
  <si>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</si>
  <si>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</si>
  <si>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</si>
  <si>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</si>
  <si>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</si>
  <si>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</si>
  <si>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</si>
  <si>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</si>
  <si>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</si>
  <si>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</si>
  <si>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</si>
  <si>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</si>
  <si>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</si>
  <si>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</si>
  <si>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</si>
  <si>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</si>
  <si>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</si>
  <si>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</si>
  <si>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</si>
  <si>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</si>
  <si>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</si>
  <si>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</si>
  <si>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</si>
  <si>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</si>
  <si>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</si>
  <si>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</si>
  <si>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</si>
  <si>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</si>
  <si>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</si>
  <si>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</si>
  <si>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</si>
  <si>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</si>
  <si>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</si>
  <si>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</si>
  <si>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</si>
  <si>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</si>
  <si>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</si>
  <si>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</si>
  <si>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</si>
  <si>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</si>
  <si>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</si>
  <si>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</si>
  <si>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</si>
  <si>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</si>
  <si>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</si>
  <si>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</si>
  <si>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</si>
  <si>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</si>
  <si>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</si>
  <si>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</si>
  <si>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</si>
  <si>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</si>
  <si>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</si>
  <si>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</si>
  <si>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</si>
  <si>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</si>
  <si>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</si>
  <si>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</si>
  <si>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</si>
  <si>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</si>
  <si>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</si>
  <si>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</si>
  <si>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</si>
  <si>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</si>
  <si>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</si>
  <si>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</si>
  <si>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</si>
  <si>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</si>
  <si>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</si>
  <si>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</si>
  <si>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</si>
  <si>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</si>
  <si>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</si>
  <si>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</si>
  <si>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</si>
  <si>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</si>
  <si>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</si>
  <si>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</si>
  <si>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</si>
  <si>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</si>
  <si>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</si>
  <si>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</si>
  <si>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</si>
  <si>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</si>
  <si>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</si>
  <si>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</si>
  <si>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</si>
  <si>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</si>
  <si>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</si>
  <si>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</si>
  <si>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</si>
  <si>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</si>
  <si>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</si>
  <si>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</si>
  <si>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</si>
  <si>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</si>
  <si>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</si>
  <si>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</si>
  <si>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</si>
  <si>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</si>
  <si>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</si>
  <si>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</si>
  <si>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</si>
  <si>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</si>
  <si>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</si>
  <si>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</si>
  <si>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</si>
  <si>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</si>
  <si>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</si>
  <si>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</si>
  <si>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</si>
  <si>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</si>
  <si>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</si>
  <si>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</si>
  <si>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</si>
  <si>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</si>
  <si>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</si>
  <si>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</si>
  <si>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</si>
  <si>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</si>
  <si>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</si>
  <si>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</si>
  <si>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</si>
  <si>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</si>
  <si>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</si>
  <si>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</si>
  <si>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</si>
  <si>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</si>
  <si>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</si>
  <si>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</si>
  <si>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</si>
  <si>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</si>
  <si>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</si>
  <si>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</si>
  <si>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</si>
  <si>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</si>
  <si>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</si>
  <si>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</si>
  <si>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</si>
  <si>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</si>
  <si>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</si>
  <si>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</si>
  <si>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</si>
  <si>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</si>
  <si>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</si>
  <si>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</si>
  <si>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</si>
  <si>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</si>
  <si>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</si>
  <si>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</si>
  <si>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</si>
  <si>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</si>
  <si>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</si>
  <si>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</si>
  <si>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</si>
  <si>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</si>
  <si>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</si>
  <si>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</si>
  <si>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</si>
  <si>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</si>
  <si>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</si>
  <si>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</si>
  <si>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</si>
  <si>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</si>
  <si>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</si>
  <si>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</si>
  <si>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</si>
  <si>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</si>
  <si>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</si>
  <si>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</si>
  <si>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</si>
  <si>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</si>
  <si>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</si>
  <si>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</si>
  <si>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</si>
  <si>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</si>
  <si>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</si>
  <si>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</si>
  <si>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</si>
  <si>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</si>
  <si>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</si>
  <si>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</si>
  <si>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</si>
  <si>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</si>
  <si>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</si>
  <si>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</si>
  <si>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</si>
  <si>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</si>
  <si>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</si>
  <si>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</si>
  <si>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</si>
  <si>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</si>
  <si>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</si>
  <si>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</si>
  <si>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</si>
  <si>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</si>
  <si>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</si>
  <si>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</si>
  <si>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</si>
  <si>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</si>
  <si>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</si>
  <si>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</si>
  <si>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</si>
  <si>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</si>
  <si>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</si>
  <si>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</si>
  <si>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</si>
  <si>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</si>
  <si>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</si>
  <si>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</si>
  <si>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</si>
  <si>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</si>
  <si>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</si>
  <si>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</si>
  <si>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</si>
  <si>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</si>
  <si>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</si>
  <si>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</si>
  <si>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</si>
  <si>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</si>
  <si>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</si>
  <si>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</si>
  <si>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</si>
  <si>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</si>
  <si>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</si>
  <si>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</si>
  <si>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</si>
  <si>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</si>
  <si>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</si>
  <si>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</si>
  <si>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</si>
  <si>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</si>
  <si>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</si>
  <si>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</si>
  <si>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</si>
  <si>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</si>
  <si>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</si>
  <si>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</si>
  <si>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</si>
  <si>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</si>
  <si>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</si>
  <si>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</si>
  <si>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</si>
  <si>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</si>
  <si>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</si>
  <si>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</si>
  <si>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</si>
  <si>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</si>
  <si>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</si>
  <si>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</si>
  <si>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</si>
  <si>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</si>
  <si>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</si>
  <si>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</si>
  <si>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</si>
  <si>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</si>
  <si>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</si>
  <si>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</si>
  <si>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</si>
  <si>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</si>
  <si>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</si>
  <si>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</si>
  <si>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</si>
  <si>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</si>
  <si>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</si>
  <si>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</si>
  <si>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</si>
  <si>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</si>
  <si>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</si>
  <si>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</si>
  <si>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</si>
  <si>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</si>
  <si>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</si>
  <si>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</si>
  <si>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</si>
  <si>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</si>
  <si>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</si>
  <si>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</si>
  <si>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</si>
  <si>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</si>
  <si>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</si>
  <si>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</si>
  <si>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</si>
  <si>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</si>
  <si>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</si>
  <si>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</si>
  <si>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</si>
  <si>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</si>
  <si>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</si>
  <si>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</si>
  <si>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</si>
  <si>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</si>
  <si>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</si>
  <si>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</si>
  <si>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</si>
  <si>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</si>
  <si>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</si>
  <si>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</si>
  <si>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</si>
  <si>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</si>
  <si>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</si>
  <si>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</si>
  <si>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</si>
  <si>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</si>
  <si>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</si>
  <si>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</si>
  <si>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</si>
  <si>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</si>
  <si>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</si>
  <si>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</si>
  <si>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</si>
  <si>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</si>
  <si>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</si>
  <si>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</si>
  <si>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</si>
  <si>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</si>
  <si>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</si>
  <si>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</si>
  <si>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</si>
  <si>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</si>
  <si>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</si>
  <si>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</si>
  <si>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</si>
  <si>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</si>
  <si>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</si>
  <si>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</si>
  <si>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</si>
  <si>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</si>
  <si>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</si>
  <si>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</si>
  <si>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</si>
  <si>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</si>
  <si>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</si>
  <si>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</si>
  <si>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</si>
  <si>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</si>
  <si>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</si>
  <si>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</si>
  <si>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</si>
  <si>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</si>
  <si>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</si>
  <si>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</si>
  <si>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</si>
  <si>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</si>
  <si>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</si>
  <si>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</si>
  <si>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</si>
  <si>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</si>
  <si>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</si>
  <si>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</si>
  <si>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</si>
  <si>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</si>
  <si>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</si>
  <si>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</si>
  <si>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</si>
  <si>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</si>
  <si>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</si>
  <si>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</si>
  <si>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</si>
  <si>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</si>
  <si>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</si>
  <si>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</si>
  <si>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</si>
  <si>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</si>
  <si>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</si>
  <si>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</si>
  <si>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</si>
  <si>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</si>
  <si>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</si>
  <si>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</si>
  <si>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</si>
  <si>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</si>
  <si>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</si>
  <si>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</si>
  <si>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</si>
  <si>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</si>
  <si>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</si>
  <si>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</si>
  <si>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</si>
  <si>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</si>
  <si>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</si>
  <si>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</si>
  <si>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</si>
  <si>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</si>
  <si>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</si>
  <si>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</si>
  <si>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</si>
  <si>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</si>
  <si>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</si>
  <si>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</si>
  <si>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</si>
  <si>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</si>
  <si>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</si>
  <si>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</si>
  <si>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</si>
  <si>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</si>
  <si>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</si>
  <si>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</si>
  <si>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</si>
  <si>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</si>
  <si>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</si>
  <si>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</si>
  <si>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</si>
  <si>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</si>
  <si>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</si>
  <si>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</si>
  <si>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</si>
  <si>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</si>
  <si>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</si>
  <si>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</si>
  <si>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</si>
  <si>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</si>
  <si>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</si>
  <si>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</si>
  <si>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</si>
  <si>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</si>
  <si>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</si>
  <si>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</si>
  <si>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</si>
  <si>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</si>
  <si>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</si>
  <si>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</si>
  <si>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</si>
  <si>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</si>
  <si>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</si>
  <si>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</si>
  <si>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</si>
  <si>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</si>
  <si>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</si>
  <si>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</si>
  <si>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</si>
  <si>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</si>
  <si>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</si>
  <si>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</si>
  <si>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</si>
  <si>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</si>
  <si>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</si>
  <si>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</si>
  <si>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</si>
  <si>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</si>
  <si>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</si>
  <si>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</si>
  <si>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</si>
  <si>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</si>
  <si>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</si>
  <si>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</si>
  <si>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</si>
  <si>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</si>
  <si>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</si>
  <si>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</si>
  <si>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</si>
  <si>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</si>
  <si>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</si>
  <si>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</si>
  <si>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</si>
  <si>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</si>
  <si>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</si>
  <si>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</si>
  <si>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</si>
  <si>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</si>
  <si>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</si>
  <si>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</si>
  <si>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</si>
  <si>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</si>
  <si>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</si>
  <si>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</si>
  <si>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</si>
  <si>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</si>
  <si>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</si>
  <si>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</si>
  <si>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</si>
  <si>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</si>
  <si>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</si>
  <si>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</si>
  <si>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</si>
  <si>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</si>
  <si>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</si>
  <si>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</si>
  <si>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</si>
  <si>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</si>
  <si>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</si>
  <si>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</si>
  <si>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</si>
  <si>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</si>
  <si>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</si>
  <si>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</si>
  <si>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</si>
  <si>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</si>
  <si>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</si>
  <si>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</si>
  <si>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</si>
  <si>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</si>
  <si>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</si>
  <si>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</si>
  <si>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</si>
  <si>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</si>
  <si>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</si>
  <si>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</si>
  <si>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</si>
  <si>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</si>
  <si>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</si>
  <si>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</si>
  <si>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</si>
  <si>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</si>
  <si>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</si>
  <si>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</si>
  <si>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</si>
  <si>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</si>
  <si>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</si>
  <si>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</si>
  <si>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</si>
  <si>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</si>
  <si>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</si>
  <si>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</si>
  <si>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</si>
  <si>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</si>
  <si>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</si>
  <si>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</si>
  <si>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</si>
  <si>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</si>
  <si>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</si>
  <si>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</si>
  <si>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</si>
  <si>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</si>
  <si>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</si>
  <si>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</si>
  <si>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</si>
  <si>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</si>
  <si>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</si>
  <si>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</si>
  <si>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</si>
  <si>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</si>
  <si>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</si>
  <si>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</si>
  <si>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</si>
  <si>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</si>
  <si>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</si>
  <si>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</si>
  <si>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</si>
  <si>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</si>
  <si>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</si>
  <si>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</si>
  <si>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</si>
  <si>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</si>
  <si>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</si>
  <si>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</si>
  <si>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</si>
  <si>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</si>
  <si>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</si>
  <si>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</si>
  <si>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</si>
  <si>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</si>
  <si>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</si>
  <si>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</si>
  <si>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</si>
  <si>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</si>
  <si>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</si>
  <si>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</si>
  <si>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</si>
  <si>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</si>
  <si>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</si>
  <si>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</si>
  <si>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</si>
  <si>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</si>
  <si>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</si>
  <si>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</si>
  <si>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</si>
  <si>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</si>
  <si>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</si>
  <si>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</si>
  <si>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</si>
  <si>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</si>
  <si>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</si>
  <si>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</si>
  <si>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</si>
  <si>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</si>
  <si>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</si>
  <si>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</si>
  <si>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</si>
  <si>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</si>
  <si>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</si>
  <si>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</si>
  <si>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</si>
  <si>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</si>
  <si>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</si>
  <si>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</si>
  <si>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</si>
  <si>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</si>
  <si>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</si>
  <si>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</si>
  <si>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</si>
  <si>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</si>
  <si>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</si>
  <si>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</si>
  <si>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</si>
  <si>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</si>
  <si>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</si>
  <si>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</si>
  <si>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</si>
  <si>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</si>
  <si>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</si>
  <si>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</si>
  <si>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</si>
  <si>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</si>
  <si>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</si>
  <si>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</si>
  <si>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</si>
  <si>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</si>
  <si>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</si>
  <si>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</si>
  <si>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</si>
  <si>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</si>
  <si>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</si>
  <si>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</si>
  <si>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</si>
  <si>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</si>
  <si>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</si>
  <si>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</si>
  <si>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</si>
  <si>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</si>
  <si>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</si>
  <si>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</si>
  <si>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</si>
  <si>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</si>
  <si>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</si>
  <si>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</si>
  <si>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</si>
  <si>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</si>
  <si>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</si>
  <si>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</si>
  <si>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</si>
  <si>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</si>
  <si>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</si>
  <si>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</si>
  <si>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</si>
  <si>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</si>
  <si>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</si>
  <si>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</si>
  <si>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</si>
  <si>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</si>
  <si>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</si>
  <si>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</si>
  <si>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</si>
  <si>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</si>
  <si>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</si>
  <si>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</si>
  <si>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</si>
  <si>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</si>
  <si>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</si>
  <si>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</si>
  <si>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</si>
  <si>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</si>
  <si>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</si>
  <si>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</si>
  <si>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</si>
  <si>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</si>
  <si>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</si>
  <si>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</si>
  <si>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</si>
  <si>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</si>
  <si>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</si>
  <si>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</si>
  <si>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</si>
  <si>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</si>
  <si>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</si>
  <si>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</si>
  <si>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</si>
  <si>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</si>
  <si>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</si>
  <si>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</si>
  <si>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</si>
  <si>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</si>
  <si>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</si>
  <si>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</si>
  <si>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</si>
  <si>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</si>
  <si>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</si>
  <si>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</si>
  <si>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</si>
  <si>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</si>
  <si>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</si>
  <si>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</si>
  <si>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</si>
  <si>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</si>
  <si>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</si>
  <si>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</si>
  <si>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</si>
  <si>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</si>
  <si>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</si>
  <si>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</si>
  <si>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</si>
  <si>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</si>
  <si>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</si>
  <si>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</si>
  <si>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</si>
  <si>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</si>
  <si>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</si>
  <si>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</si>
  <si>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</si>
  <si>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</si>
  <si>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</si>
  <si>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</si>
  <si>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</si>
  <si>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</si>
  <si>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</si>
  <si>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</si>
  <si>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</si>
  <si>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</si>
  <si>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</si>
  <si>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</si>
  <si>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</si>
  <si>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</si>
  <si>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</si>
  <si>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</si>
  <si>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</si>
  <si>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</si>
  <si>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</si>
  <si>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</si>
  <si>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</si>
  <si>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</si>
  <si>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</si>
  <si>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</si>
  <si>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</si>
  <si>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</si>
  <si>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</si>
  <si>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</si>
  <si>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</si>
  <si>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</si>
  <si>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</si>
  <si>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</si>
  <si>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</si>
  <si>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</si>
  <si>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</si>
  <si>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</si>
  <si>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</si>
  <si>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</si>
  <si>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</si>
  <si>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</si>
  <si>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</si>
  <si>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</si>
  <si>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</si>
  <si>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</si>
  <si>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</si>
  <si>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</si>
  <si>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</si>
  <si>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</si>
  <si>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</si>
  <si>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</si>
  <si>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</si>
  <si>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</si>
  <si>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</si>
  <si>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</si>
  <si>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</si>
  <si>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</si>
  <si>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</si>
  <si>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</si>
  <si>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</si>
  <si>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</si>
  <si>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</si>
  <si>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</si>
  <si>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</si>
  <si>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</si>
  <si>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</si>
  <si>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</si>
  <si>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</si>
  <si>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</si>
  <si>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</si>
  <si>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</si>
  <si>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</si>
  <si>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</si>
  <si>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</si>
  <si>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</si>
  <si>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</si>
  <si>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</si>
  <si>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</si>
  <si>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</si>
  <si>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</si>
  <si>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</si>
  <si>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</si>
  <si>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</si>
  <si>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</si>
  <si>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</si>
  <si>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</si>
  <si>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</si>
  <si>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</si>
  <si>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</si>
  <si>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</si>
  <si>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</si>
  <si>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</si>
  <si>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</si>
  <si>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</si>
  <si>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</si>
  <si>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</si>
  <si>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</si>
  <si>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</si>
  <si>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</si>
  <si>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</si>
  <si>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</si>
  <si>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</si>
  <si>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</si>
  <si>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</si>
  <si>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</si>
  <si>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</si>
  <si>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</si>
  <si>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</si>
  <si>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</si>
  <si>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</si>
  <si>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</si>
  <si>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</si>
  <si>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</si>
  <si>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</si>
  <si>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</si>
  <si>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</si>
  <si>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</si>
  <si>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</si>
  <si>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</si>
  <si>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</si>
  <si>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</si>
  <si>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</si>
  <si>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</si>
  <si>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</si>
  <si>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</si>
  <si>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</si>
  <si>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</si>
  <si>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</si>
  <si>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</si>
  <si>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</si>
  <si>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</si>
  <si>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</si>
  <si>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</si>
  <si>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</si>
  <si>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</si>
  <si>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</si>
  <si>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</si>
  <si>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</si>
  <si>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</si>
  <si>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</si>
  <si>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</si>
  <si>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</si>
  <si>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</si>
  <si>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</si>
  <si>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</si>
  <si>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</si>
  <si>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</si>
  <si>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</si>
  <si>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</si>
  <si>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</si>
  <si>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</si>
  <si>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</si>
  <si>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</si>
  <si>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</si>
  <si>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</si>
  <si>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</si>
  <si>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</si>
  <si>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</si>
  <si>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</si>
  <si>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</si>
  <si>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</si>
  <si>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</si>
  <si>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</si>
  <si>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</si>
  <si>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</si>
  <si>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</si>
  <si>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</si>
  <si>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</si>
  <si>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</si>
  <si>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</si>
  <si>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</si>
  <si>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</si>
  <si>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</si>
  <si>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</si>
  <si>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</si>
  <si>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</si>
  <si>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</si>
  <si>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</si>
  <si>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</si>
  <si>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</si>
  <si>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</si>
  <si>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</si>
  <si>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</si>
  <si>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</si>
  <si>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</si>
  <si>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</si>
  <si>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</si>
  <si>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</si>
  <si>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</si>
  <si>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</si>
  <si>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</si>
  <si>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</si>
  <si>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</si>
  <si>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</si>
  <si>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</si>
  <si>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</si>
  <si>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</si>
  <si>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</si>
  <si>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</si>
  <si>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</si>
  <si>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</si>
  <si>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</si>
  <si>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</si>
  <si>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</si>
  <si>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</si>
  <si>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</si>
  <si>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</si>
  <si>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</si>
  <si>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</si>
  <si>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</si>
  <si>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</si>
  <si>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</si>
  <si>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</si>
  <si>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</si>
  <si>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</si>
  <si>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</si>
  <si>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</si>
  <si>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</si>
  <si>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</si>
  <si>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</si>
  <si>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</si>
  <si>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</si>
  <si>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</si>
  <si>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</si>
  <si>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</si>
  <si>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</si>
  <si>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</si>
  <si>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</si>
  <si>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</si>
  <si>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</si>
  <si>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</si>
  <si>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</si>
  <si>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</si>
  <si>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</si>
  <si>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</si>
  <si>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</si>
  <si>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</si>
  <si>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</si>
  <si>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</si>
  <si>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</si>
  <si>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</si>
  <si>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</si>
  <si>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</si>
  <si>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</si>
  <si>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</si>
  <si>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</si>
  <si>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</si>
  <si>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</si>
  <si>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</si>
  <si>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</si>
  <si>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</si>
  <si>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</si>
  <si>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</si>
  <si>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</si>
  <si>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</si>
  <si>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</si>
  <si>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</si>
  <si>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</si>
  <si>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</si>
  <si>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</si>
  <si>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</si>
  <si>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</si>
  <si>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</si>
  <si>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</si>
  <si>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</si>
  <si>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</si>
  <si>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</si>
  <si>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</si>
  <si>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</si>
  <si>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</si>
  <si>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</si>
  <si>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</si>
  <si>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</si>
  <si>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</si>
  <si>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</si>
  <si>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</si>
  <si>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</si>
  <si>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</si>
  <si>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</si>
  <si>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</si>
  <si>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</si>
  <si>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</si>
  <si>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</si>
  <si>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</si>
  <si>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</si>
  <si>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</si>
  <si>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</si>
  <si>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</si>
  <si>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</si>
  <si>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</si>
  <si>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</si>
  <si>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</si>
  <si>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</si>
  <si>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</si>
  <si>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</si>
  <si>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</si>
  <si>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</si>
  <si>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</si>
  <si>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</si>
  <si>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</si>
  <si>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</si>
  <si>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</si>
  <si>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</si>
  <si>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</si>
  <si>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</si>
  <si>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</si>
  <si>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</si>
  <si>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</si>
  <si>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</si>
  <si>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</si>
  <si>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</si>
  <si>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</si>
  <si>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</si>
  <si>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</si>
  <si>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</si>
  <si>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</si>
  <si>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</si>
  <si>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</si>
  <si>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</si>
  <si>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</si>
  <si>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</si>
  <si>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</si>
  <si>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</si>
  <si>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</si>
  <si>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</si>
  <si>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</si>
  <si>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</si>
  <si>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</si>
  <si>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</si>
  <si>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</si>
  <si>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</si>
  <si>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</si>
  <si>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</si>
  <si>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</si>
  <si>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</si>
  <si>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</si>
  <si>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</si>
  <si>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</si>
  <si>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</si>
  <si>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</si>
  <si>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</si>
  <si>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</si>
  <si>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</si>
  <si>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</si>
  <si>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</si>
  <si>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</si>
  <si>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</si>
  <si>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</si>
  <si>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</si>
  <si>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</si>
  <si>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</si>
  <si>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</si>
  <si>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</si>
  <si>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</si>
  <si>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</si>
  <si>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</si>
  <si>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</si>
  <si>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</si>
  <si>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</si>
  <si>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</si>
  <si>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</si>
  <si>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</si>
  <si>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</si>
  <si>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</si>
  <si>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</si>
  <si>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</si>
  <si>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</si>
  <si>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</si>
  <si>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</si>
  <si>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</si>
  <si>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</si>
  <si>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</si>
  <si>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</si>
  <si>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</si>
  <si>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</si>
  <si>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</si>
  <si>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</si>
  <si>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</si>
  <si>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</si>
  <si>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</si>
  <si>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</si>
  <si>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</si>
  <si>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</si>
  <si>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</si>
  <si>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</si>
  <si>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</si>
  <si>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</si>
  <si>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</si>
  <si>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</si>
  <si>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</si>
  <si>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</si>
  <si>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</si>
  <si>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</si>
  <si>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</si>
  <si>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</si>
  <si>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</si>
  <si>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</si>
  <si>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</si>
  <si>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</si>
  <si>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</si>
  <si>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</si>
  <si>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</si>
  <si>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</si>
  <si>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</si>
  <si>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</si>
  <si>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</si>
  <si>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</si>
  <si>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</si>
  <si>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</si>
  <si>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</si>
  <si>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</si>
  <si>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</si>
  <si>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</si>
  <si>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</si>
  <si>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</si>
  <si>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</si>
  <si>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</si>
  <si>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</si>
  <si>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</si>
  <si>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</si>
  <si>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</si>
  <si>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</si>
  <si>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</si>
  <si>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</si>
  <si>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</si>
  <si>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</si>
  <si>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</si>
  <si>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</si>
  <si>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</si>
  <si>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</si>
  <si>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</si>
  <si>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</si>
  <si>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</si>
  <si>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</si>
  <si>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</si>
  <si>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</si>
  <si>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</si>
  <si>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</si>
  <si>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</si>
  <si>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</si>
  <si>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</si>
  <si>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</si>
  <si>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</si>
  <si>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</si>
  <si>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</si>
  <si>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</si>
  <si>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</si>
  <si>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</si>
  <si>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</si>
  <si>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</si>
  <si>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</si>
  <si>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</si>
  <si>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</si>
  <si>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</si>
  <si>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</si>
  <si>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</si>
  <si>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</si>
  <si>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</si>
  <si>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</si>
  <si>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</si>
  <si>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</si>
  <si>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</si>
  <si>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</si>
  <si>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</si>
  <si>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</si>
  <si>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</si>
  <si>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</si>
  <si>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</si>
  <si>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</si>
  <si>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</si>
  <si>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</si>
  <si>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</si>
  <si>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</si>
  <si>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</si>
  <si>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</si>
  <si>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</si>
  <si>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</si>
  <si>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</si>
  <si>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</si>
  <si>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</si>
  <si>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</si>
  <si>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</si>
  <si>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</si>
  <si>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</si>
  <si>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</si>
  <si>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</si>
  <si>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</si>
  <si>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</si>
  <si>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</si>
  <si>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</si>
  <si>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</si>
  <si>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</si>
  <si>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</si>
  <si>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</si>
  <si>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</si>
  <si>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</si>
  <si>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</si>
  <si>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</si>
  <si>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</si>
  <si>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</si>
  <si>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</si>
  <si>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</si>
  <si>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</si>
  <si>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</si>
  <si>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</si>
  <si>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</si>
  <si>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</si>
  <si>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</si>
  <si>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</si>
  <si>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</si>
  <si>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</si>
  <si>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</si>
  <si>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</si>
  <si>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</si>
  <si>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</si>
  <si>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</si>
  <si>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</si>
  <si>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</si>
  <si>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</si>
  <si>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</si>
  <si>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</si>
  <si>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</si>
  <si>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</si>
  <si>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</si>
  <si>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</si>
  <si>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</si>
  <si>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</si>
  <si>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</si>
  <si>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</si>
  <si>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</si>
  <si>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</si>
  <si>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</si>
  <si>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</si>
  <si>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</si>
  <si>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</si>
  <si>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</si>
  <si>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</si>
  <si>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</si>
  <si>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</si>
  <si>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</si>
  <si>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</si>
  <si>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</si>
  <si>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</si>
  <si>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</si>
  <si>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</si>
  <si>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</si>
  <si>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</si>
  <si>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</si>
  <si>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</si>
  <si>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</si>
  <si>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</si>
  <si>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</si>
  <si>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</si>
  <si>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</si>
  <si>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</si>
  <si>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</si>
  <si>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</si>
  <si>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</si>
  <si>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</si>
  <si>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</si>
  <si>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</si>
  <si>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</si>
  <si>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</si>
  <si>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</si>
  <si>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</si>
  <si>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</si>
  <si>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</si>
  <si>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</si>
  <si>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</si>
  <si>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</si>
  <si>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</si>
  <si>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</si>
  <si>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</si>
  <si>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</si>
  <si>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</si>
  <si>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</si>
  <si>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</si>
  <si>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</si>
  <si>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</si>
  <si>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</si>
  <si>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</si>
  <si>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</si>
  <si>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</si>
  <si>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</si>
  <si>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</si>
  <si>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</si>
  <si>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</si>
  <si>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</si>
  <si>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</si>
  <si>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</si>
  <si>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</si>
  <si>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</si>
  <si>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</si>
  <si>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</si>
  <si>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</si>
  <si>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</si>
  <si>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</si>
  <si>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</si>
  <si>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</si>
  <si>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</si>
  <si>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</si>
  <si>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</si>
  <si>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</si>
  <si>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</si>
  <si>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</si>
  <si>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</si>
  <si>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</si>
  <si>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</si>
  <si>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</si>
  <si>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</si>
  <si>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</si>
  <si>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</si>
  <si>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</si>
  <si>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</si>
  <si>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</si>
  <si>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</si>
  <si>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</si>
  <si>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</si>
  <si>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</si>
  <si>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</si>
  <si>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</si>
  <si>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</si>
  <si>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</si>
  <si>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</si>
  <si>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</si>
  <si>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</si>
  <si>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</si>
  <si>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</si>
  <si>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</si>
  <si>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</si>
  <si>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</si>
  <si>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</si>
  <si>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</si>
  <si>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</si>
  <si>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</si>
  <si>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</si>
  <si>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</si>
  <si>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</si>
  <si>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</si>
  <si>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</si>
  <si>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</si>
  <si>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</si>
  <si>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</si>
  <si>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</si>
  <si>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</si>
  <si>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</si>
  <si>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</si>
  <si>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</si>
  <si>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</si>
  <si>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</si>
  <si>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</si>
  <si>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</si>
  <si>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</si>
  <si>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</si>
  <si>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</si>
  <si>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</si>
  <si>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</si>
  <si>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</si>
  <si>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</si>
  <si>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</si>
  <si>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</si>
  <si>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</si>
  <si>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</si>
  <si>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</si>
  <si>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</si>
  <si>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</si>
  <si>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</si>
  <si>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</si>
  <si>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</si>
  <si>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</si>
  <si>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</si>
  <si>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</si>
  <si>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</si>
  <si>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</si>
  <si>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</si>
  <si>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</si>
  <si>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</si>
  <si>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</si>
  <si>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</si>
  <si>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</si>
  <si>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</si>
  <si>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</si>
  <si>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</si>
  <si>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</si>
  <si>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</si>
  <si>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</si>
  <si>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</si>
  <si>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</si>
  <si>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</si>
  <si>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</si>
  <si>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</si>
  <si>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</si>
  <si>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</si>
  <si>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</si>
  <si>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</si>
  <si>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</si>
  <si>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</si>
  <si>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</si>
  <si>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</si>
  <si>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</si>
  <si>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</si>
  <si>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</si>
  <si>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</si>
  <si>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</si>
  <si>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</si>
  <si>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</si>
  <si>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</si>
  <si>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</si>
  <si>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</si>
  <si>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</si>
  <si>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</si>
  <si>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</si>
  <si>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</si>
  <si>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</si>
  <si>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</si>
  <si>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</si>
  <si>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</si>
  <si>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</si>
  <si>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</si>
  <si>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</si>
  <si>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</si>
  <si>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</si>
  <si>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</si>
  <si>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</si>
  <si>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</si>
  <si>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</si>
  <si>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</si>
  <si>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</si>
  <si>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</si>
  <si>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</si>
  <si>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</si>
  <si>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</si>
  <si>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</si>
  <si>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</si>
  <si>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</si>
  <si>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</si>
  <si>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</si>
  <si>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</si>
  <si>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</si>
  <si>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</si>
  <si>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</si>
  <si>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</si>
  <si>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</si>
  <si>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</si>
  <si>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</si>
  <si>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</si>
  <si>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</si>
  <si>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</si>
  <si>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</si>
  <si>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</si>
  <si>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</si>
  <si>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</si>
  <si>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</si>
  <si>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</si>
  <si>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</si>
  <si>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</si>
  <si>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</si>
  <si>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</si>
  <si>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</si>
  <si>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</si>
  <si>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</si>
  <si>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</si>
  <si>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</si>
  <si>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</si>
  <si>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</si>
  <si>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</si>
  <si>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</si>
  <si>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</si>
  <si>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</si>
  <si>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</si>
  <si>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</si>
  <si>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</si>
  <si>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</si>
  <si>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</si>
  <si>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</si>
  <si>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</si>
  <si>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</si>
  <si>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</si>
  <si>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</si>
  <si>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</si>
  <si>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</si>
  <si>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</si>
  <si>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</si>
  <si>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</si>
  <si>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</si>
  <si>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</si>
  <si>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</si>
  <si>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</si>
  <si>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</si>
  <si>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</si>
  <si>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</si>
  <si>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</si>
  <si>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</si>
  <si>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</si>
  <si>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</si>
  <si>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</si>
  <si>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</si>
  <si>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</si>
  <si>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</si>
  <si>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</si>
  <si>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</si>
  <si>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</si>
  <si>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</si>
  <si>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</si>
  <si>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</si>
  <si>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</si>
  <si>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</si>
  <si>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</si>
  <si>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</si>
  <si>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</si>
  <si>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</si>
  <si>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</si>
  <si>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</si>
  <si>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</si>
  <si>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</si>
  <si>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</si>
  <si>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</si>
  <si>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</si>
  <si>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</si>
  <si>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</si>
  <si>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</si>
  <si>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</si>
  <si>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</si>
  <si>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</si>
  <si>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</si>
  <si>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</si>
  <si>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</si>
  <si>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</si>
  <si>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</si>
  <si>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</si>
  <si>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</si>
  <si>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</si>
  <si>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</si>
  <si>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</si>
  <si>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</si>
  <si>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</si>
  <si>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</si>
  <si>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</si>
  <si>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</si>
  <si>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</si>
  <si>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</si>
  <si>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</si>
  <si>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</si>
  <si>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</si>
  <si>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</si>
  <si>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</si>
  <si>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</si>
  <si>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</si>
  <si>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</si>
  <si>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</si>
  <si>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</si>
  <si>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</si>
  <si>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</si>
  <si>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</si>
  <si>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</si>
  <si>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</si>
  <si>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</si>
  <si>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</si>
  <si>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</si>
  <si>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</si>
  <si>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</si>
  <si>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</si>
  <si>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</si>
  <si>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</si>
  <si>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</si>
  <si>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</si>
  <si>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</si>
  <si>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</si>
  <si>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</si>
  <si>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</si>
  <si>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</si>
  <si>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</si>
  <si>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</si>
  <si>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</si>
  <si>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</si>
  <si>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</si>
  <si>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</si>
  <si>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</si>
  <si>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</si>
  <si>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</si>
  <si>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</si>
  <si>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</si>
  <si>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</si>
  <si>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</si>
  <si>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</si>
  <si>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</si>
  <si>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</si>
  <si>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</si>
  <si>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</si>
  <si>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</si>
  <si>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</si>
  <si>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</si>
  <si>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</si>
  <si>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</si>
  <si>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</si>
  <si>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</si>
  <si>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</si>
  <si>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</si>
  <si>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</si>
  <si>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</si>
  <si>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</si>
  <si>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</si>
  <si>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</si>
  <si>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</si>
  <si>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</si>
  <si>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</si>
  <si>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</si>
  <si>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</si>
  <si>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</si>
  <si>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</si>
  <si>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</si>
  <si>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</si>
  <si>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</si>
  <si>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</si>
  <si>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</si>
  <si>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</si>
  <si>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</si>
  <si>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</si>
  <si>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</si>
  <si>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</si>
  <si>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</si>
  <si>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</si>
  <si>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</si>
  <si>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</si>
  <si>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</si>
  <si>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</si>
  <si>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</si>
  <si>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</si>
  <si>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</si>
  <si>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</si>
  <si>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</si>
  <si>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</si>
  <si>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</si>
  <si>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</si>
  <si>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</si>
  <si>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</si>
  <si>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</si>
  <si>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</si>
  <si>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</si>
  <si>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</si>
  <si>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</si>
  <si>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</si>
  <si>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</si>
  <si>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</si>
  <si>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</si>
  <si>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</si>
  <si>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</si>
  <si>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</si>
  <si>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</si>
  <si>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</si>
  <si>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</si>
  <si>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</si>
  <si>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</si>
  <si>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</si>
  <si>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</si>
  <si>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</si>
  <si>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</si>
  <si>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</si>
  <si>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</si>
  <si>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</si>
  <si>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</si>
  <si>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</si>
  <si>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</si>
  <si>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</si>
  <si>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</si>
  <si>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</si>
  <si>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</si>
  <si>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</si>
  <si>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</si>
  <si>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</si>
  <si>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</si>
  <si>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</si>
  <si>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</si>
  <si>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</si>
  <si>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</si>
  <si>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</si>
  <si>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</si>
  <si>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</si>
  <si>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</si>
  <si>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</si>
  <si>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</si>
  <si>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</si>
  <si>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</si>
  <si>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</si>
  <si>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</si>
  <si>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</si>
  <si>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</si>
  <si>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</si>
  <si>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</si>
  <si>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</si>
  <si>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</si>
  <si>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</si>
  <si>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</si>
  <si>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</si>
  <si>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</si>
  <si>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</si>
  <si>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</si>
  <si>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</si>
  <si>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</si>
  <si>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</si>
  <si>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</si>
  <si>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</si>
  <si>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</si>
  <si>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</si>
  <si>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</si>
  <si>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</si>
  <si>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</si>
  <si>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</si>
  <si>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</si>
  <si>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</si>
  <si>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</si>
  <si>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</si>
  <si>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</si>
  <si>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</si>
  <si>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</si>
  <si>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</si>
  <si>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</si>
  <si>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</si>
  <si>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</si>
  <si>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</si>
  <si>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</si>
  <si>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</si>
  <si>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</si>
  <si>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</si>
  <si>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</si>
  <si>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</si>
  <si>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</si>
  <si>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</si>
  <si>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</si>
  <si>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</si>
  <si>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</si>
  <si>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</si>
  <si>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</si>
  <si>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</si>
  <si>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</si>
  <si>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</si>
  <si>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</si>
  <si>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</si>
  <si>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</si>
  <si>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</si>
  <si>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</si>
  <si>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</si>
  <si>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</si>
  <si>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</si>
  <si>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</si>
  <si>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</si>
  <si>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</si>
  <si>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</si>
  <si>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</si>
  <si>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</si>
  <si>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</si>
  <si>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</si>
  <si>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</si>
  <si>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</si>
  <si>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</si>
  <si>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</si>
  <si>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</si>
  <si>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</si>
  <si>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</si>
  <si>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</si>
  <si>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</si>
  <si>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</si>
  <si>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</si>
  <si>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</si>
  <si>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</si>
  <si>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</si>
  <si>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</si>
  <si>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</si>
  <si>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</si>
  <si>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</si>
  <si>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</si>
  <si>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</si>
  <si>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</si>
  <si>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</si>
  <si>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</si>
  <si>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</si>
  <si>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</si>
  <si>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</si>
  <si>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</si>
  <si>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</si>
  <si>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</si>
  <si>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</si>
  <si>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</si>
  <si>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</si>
  <si>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</si>
  <si>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</si>
  <si>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</si>
  <si>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</si>
  <si>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</si>
  <si>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</si>
  <si>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</si>
  <si>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</si>
  <si>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</si>
  <si>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</si>
  <si>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</si>
  <si>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</si>
  <si>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</si>
  <si>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</si>
  <si>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</si>
  <si>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</si>
  <si>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</si>
  <si>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</si>
  <si>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</si>
  <si>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</si>
  <si>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</si>
  <si>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</si>
  <si>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</si>
  <si>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</si>
  <si>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</si>
  <si>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</si>
  <si>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</si>
  <si>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</si>
  <si>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</si>
  <si>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</si>
  <si>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</si>
  <si>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</si>
  <si>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</si>
  <si>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</si>
  <si>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</si>
  <si>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</si>
  <si>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</si>
  <si>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</si>
  <si>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</si>
  <si>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</si>
  <si>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</si>
  <si>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</si>
  <si>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</si>
  <si>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</si>
  <si>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</si>
  <si>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</si>
  <si>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</si>
  <si>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</si>
  <si>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</si>
  <si>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</si>
  <si>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</si>
  <si>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</si>
  <si>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</si>
  <si>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</si>
  <si>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</si>
  <si>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</si>
  <si>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</si>
  <si>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</si>
  <si>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</si>
  <si>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</si>
  <si>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</si>
  <si>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</si>
  <si>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</si>
  <si>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</si>
  <si>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</si>
  <si>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</si>
  <si>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</si>
  <si>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</si>
  <si>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</si>
  <si>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</si>
  <si>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</si>
  <si>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</si>
  <si>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</si>
  <si>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</si>
  <si>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</si>
  <si>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</si>
  <si>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</si>
  <si>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</si>
  <si>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</si>
  <si>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</si>
  <si>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</si>
  <si>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</si>
  <si>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</si>
  <si>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</si>
  <si>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</si>
  <si>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</si>
  <si>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</si>
  <si>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</si>
  <si>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</si>
  <si>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</si>
  <si>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</si>
  <si>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</si>
  <si>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</si>
  <si>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</si>
  <si>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</si>
  <si>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</si>
  <si>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</si>
  <si>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</si>
  <si>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</si>
  <si>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</si>
  <si>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</si>
  <si>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</si>
  <si>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</si>
  <si>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</si>
  <si>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</si>
  <si>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</si>
  <si>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</si>
  <si>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</si>
  <si>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</si>
  <si>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</si>
  <si>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</si>
  <si>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</si>
  <si>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</si>
  <si>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</si>
  <si>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</si>
  <si>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</si>
  <si>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</si>
  <si>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</si>
  <si>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</si>
  <si>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</si>
  <si>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</si>
  <si>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</si>
  <si>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</si>
  <si>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</si>
  <si>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</si>
  <si>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</si>
  <si>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</si>
  <si>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</si>
  <si>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</si>
  <si>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</si>
  <si>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</si>
  <si>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</si>
  <si>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</si>
  <si>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</si>
  <si>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</si>
  <si>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</si>
  <si>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</si>
  <si>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</si>
  <si>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</si>
  <si>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</si>
  <si>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</si>
  <si>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</si>
  <si>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</si>
  <si>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</si>
  <si>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</si>
  <si>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</si>
  <si>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</si>
  <si>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</si>
  <si>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</si>
  <si>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</si>
  <si>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</si>
  <si>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</si>
  <si>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</si>
  <si>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</si>
  <si>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</si>
  <si>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</si>
  <si>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</si>
  <si>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</si>
  <si>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</si>
  <si>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</si>
  <si>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</si>
  <si>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</si>
  <si>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</si>
  <si>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</si>
  <si>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</si>
  <si>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</si>
  <si>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</si>
  <si>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</si>
  <si>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</si>
  <si>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</si>
  <si>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</si>
  <si>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</si>
  <si>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</si>
  <si>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</si>
  <si>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</si>
  <si>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</si>
  <si>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</si>
  <si>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</si>
  <si>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</si>
  <si>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</si>
  <si>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</si>
  <si>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</si>
  <si>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</si>
  <si>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</si>
  <si>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</si>
  <si>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</si>
  <si>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</si>
  <si>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</si>
  <si>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</si>
  <si>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</si>
  <si>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</si>
  <si>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</si>
  <si>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</si>
  <si>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</si>
  <si>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</si>
  <si>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</si>
  <si>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</si>
  <si>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</si>
  <si>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</si>
  <si>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</si>
  <si>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</si>
  <si>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</si>
  <si>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</si>
  <si>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</si>
  <si>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</si>
  <si>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</si>
  <si>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</si>
  <si>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</si>
  <si>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</si>
  <si>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</si>
  <si>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</si>
  <si>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</si>
  <si>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</si>
  <si>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</si>
  <si>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</si>
  <si>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</si>
  <si>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</si>
  <si>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</si>
  <si>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</si>
  <si>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</si>
  <si>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</si>
  <si>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</si>
  <si>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</si>
  <si>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</si>
  <si>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</si>
  <si>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</si>
  <si>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</si>
  <si>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</si>
  <si>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</si>
  <si>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</si>
  <si>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</si>
  <si>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</si>
  <si>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</si>
  <si>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</si>
  <si>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</si>
  <si>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</si>
  <si>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</si>
  <si>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</si>
  <si>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</si>
  <si>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</si>
  <si>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</si>
  <si>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</si>
  <si>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</si>
  <si>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</si>
  <si>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</si>
  <si>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</si>
  <si>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</si>
  <si>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</si>
  <si>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</si>
  <si>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</si>
  <si>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</si>
  <si>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</si>
  <si>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</si>
  <si>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</si>
  <si>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</si>
  <si>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</si>
  <si>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</si>
  <si>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</si>
  <si>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</si>
  <si>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</si>
  <si>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</si>
  <si>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</si>
  <si>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</si>
  <si>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</si>
  <si>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</si>
  <si>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</si>
  <si>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</si>
  <si>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</si>
  <si>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</si>
  <si>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</si>
  <si>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</si>
  <si>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</si>
  <si>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</si>
  <si>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</si>
  <si>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</si>
  <si>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</si>
  <si>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</si>
  <si>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</si>
  <si>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</si>
  <si>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</si>
  <si>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</si>
  <si>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</si>
  <si>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</si>
  <si>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</si>
  <si>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</si>
  <si>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</si>
  <si>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</si>
  <si>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</si>
  <si>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</si>
  <si>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</si>
  <si>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</si>
  <si>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</si>
  <si>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</si>
  <si>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</si>
  <si>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</si>
  <si>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</si>
  <si>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</si>
  <si>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</si>
  <si>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</si>
  <si>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</si>
  <si>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</si>
  <si>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</si>
  <si>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</si>
  <si>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</si>
  <si>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</si>
  <si>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</si>
  <si>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</si>
  <si>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</si>
  <si>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</si>
  <si>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</si>
  <si>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</si>
  <si>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</si>
  <si>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</si>
  <si>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</si>
  <si>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</si>
  <si>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</si>
  <si>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</si>
  <si>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</si>
  <si>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</si>
  <si>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</si>
  <si>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</si>
  <si>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</si>
  <si>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</si>
  <si>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</si>
  <si>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</si>
  <si>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</si>
  <si>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</si>
  <si>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</si>
  <si>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</si>
  <si>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</si>
  <si>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</si>
  <si>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</si>
  <si>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</si>
  <si>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</si>
  <si>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</si>
  <si>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</si>
  <si>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</si>
  <si>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</si>
  <si>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</si>
  <si>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</si>
  <si>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</si>
  <si>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</si>
  <si>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</si>
  <si>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</si>
  <si>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</si>
  <si>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</si>
  <si>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</si>
  <si>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</si>
  <si>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</si>
  <si>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</si>
  <si>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</si>
  <si>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</si>
  <si>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</si>
  <si>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</si>
  <si>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</si>
  <si>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</si>
  <si>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</si>
  <si>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</si>
  <si>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</si>
  <si>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</si>
  <si>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</si>
  <si>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</si>
  <si>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</si>
  <si>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</si>
  <si>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</si>
  <si>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</si>
  <si>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</si>
  <si>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</si>
  <si>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</si>
  <si>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</si>
  <si>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</si>
  <si>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</si>
  <si>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</si>
  <si>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</si>
  <si>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</si>
  <si>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</si>
  <si>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</si>
  <si>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</si>
  <si>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</si>
  <si>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</si>
  <si>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</si>
  <si>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</si>
  <si>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</si>
  <si>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</si>
  <si>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</si>
  <si>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</si>
  <si>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</si>
  <si>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</si>
  <si>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</si>
  <si>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</si>
  <si>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</si>
  <si>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</si>
  <si>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</si>
  <si>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</si>
  <si>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</si>
  <si>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</si>
  <si>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</si>
  <si>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</si>
  <si>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</si>
  <si>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</si>
  <si>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</si>
  <si>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</si>
  <si>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</si>
  <si>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</si>
  <si>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</si>
  <si>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</si>
  <si>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</si>
  <si>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</si>
  <si>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</si>
  <si>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</si>
  <si>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</si>
  <si>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</si>
  <si>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</si>
  <si>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</si>
  <si>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</si>
  <si>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</si>
  <si>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</si>
  <si>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</si>
  <si>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</si>
  <si>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</si>
  <si>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</si>
  <si>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</si>
  <si>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</si>
  <si>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</si>
  <si>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</si>
  <si>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</si>
  <si>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</si>
  <si>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</si>
  <si>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</si>
  <si>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</si>
  <si>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</si>
  <si>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</si>
  <si>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</si>
  <si>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</si>
  <si>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</si>
  <si>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</si>
  <si>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</si>
  <si>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</si>
  <si>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</si>
  <si>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</si>
  <si>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</si>
  <si>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</si>
  <si>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</si>
  <si>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</si>
  <si>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</si>
  <si>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</si>
  <si>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</si>
  <si>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</si>
  <si>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</si>
  <si>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</si>
  <si>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</si>
  <si>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</si>
  <si>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</si>
  <si>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</si>
  <si>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</si>
  <si>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</si>
  <si>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</si>
  <si>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</si>
  <si>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</si>
  <si>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</si>
  <si>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</si>
  <si>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</si>
  <si>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</si>
  <si>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</si>
  <si>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</si>
  <si>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</si>
  <si>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</si>
  <si>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</si>
  <si>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</si>
  <si>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</si>
  <si>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</si>
  <si>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</si>
  <si>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</si>
  <si>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</si>
  <si>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</si>
  <si>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</si>
  <si>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</si>
  <si>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</si>
  <si>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</si>
  <si>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</si>
  <si>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</si>
  <si>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</si>
  <si>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</si>
  <si>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</si>
  <si>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</si>
  <si>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</si>
  <si>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</si>
  <si>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</si>
  <si>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</si>
  <si>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</si>
  <si>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</si>
  <si>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</si>
  <si>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</si>
  <si>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</si>
  <si>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</si>
  <si>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</si>
  <si>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</si>
  <si>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</si>
  <si>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</si>
  <si>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</si>
  <si>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</si>
  <si>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</si>
  <si>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</si>
  <si>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</si>
  <si>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</si>
  <si>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</si>
  <si>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</si>
  <si>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</si>
  <si>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</si>
  <si>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</si>
  <si>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</si>
  <si>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</si>
  <si>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</si>
  <si>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</si>
  <si>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</si>
  <si>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</si>
  <si>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</si>
  <si>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</si>
  <si>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</si>
  <si>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</si>
  <si>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</si>
  <si>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</si>
  <si>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</si>
  <si>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</si>
  <si>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</si>
  <si>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</si>
  <si>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</si>
  <si>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</si>
  <si>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</si>
  <si>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</si>
  <si>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</si>
  <si>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</si>
  <si>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</si>
  <si>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</si>
  <si>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</si>
  <si>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</si>
  <si>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</si>
  <si>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</si>
  <si>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</si>
  <si>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</si>
  <si>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</si>
  <si>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</si>
  <si>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</si>
  <si>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</si>
  <si>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</si>
  <si>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</si>
  <si>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</si>
  <si>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</si>
  <si>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</si>
  <si>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</si>
  <si>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</si>
  <si>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</si>
  <si>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</si>
  <si>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</si>
  <si>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</si>
  <si>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</si>
  <si>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</si>
  <si>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</si>
  <si>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</si>
  <si>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</si>
  <si>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</si>
  <si>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</si>
  <si>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</si>
  <si>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</si>
  <si>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</si>
  <si>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</si>
  <si>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</si>
  <si>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</si>
  <si>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</si>
  <si>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</si>
  <si>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</si>
  <si>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</si>
  <si>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</si>
  <si>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</si>
  <si>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</si>
  <si>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</si>
  <si>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</si>
  <si>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</si>
  <si>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</si>
  <si>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</si>
  <si>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</si>
  <si>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</si>
  <si>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</si>
  <si>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</si>
  <si>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</si>
  <si>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</si>
  <si>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</si>
  <si>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</si>
  <si>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</si>
  <si>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</si>
  <si>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</si>
  <si>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</si>
  <si>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</si>
  <si>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</si>
  <si>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</si>
  <si>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</si>
  <si>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</si>
  <si>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</si>
  <si>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</si>
  <si>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</si>
  <si>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</si>
  <si>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</si>
  <si>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</si>
  <si>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</si>
  <si>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</si>
  <si>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</si>
  <si>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</si>
  <si>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</si>
  <si>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</si>
  <si>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</si>
  <si>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</si>
  <si>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</si>
  <si>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</si>
  <si>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</si>
  <si>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</si>
  <si>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</si>
  <si>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</si>
  <si>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</si>
  <si>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</si>
  <si>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</si>
  <si>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</si>
  <si>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</si>
  <si>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</si>
  <si>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</si>
  <si>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</si>
  <si>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</si>
  <si>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</si>
  <si>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</si>
  <si>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</si>
  <si>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</si>
  <si>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</si>
  <si>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</si>
  <si>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</si>
  <si>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</si>
  <si>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</si>
  <si>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</si>
  <si>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</si>
  <si>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</si>
  <si>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</si>
  <si>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</si>
  <si>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</si>
  <si>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</si>
  <si>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</si>
  <si>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</si>
  <si>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</si>
  <si>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</si>
  <si>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</si>
  <si>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</si>
  <si>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</si>
  <si>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</si>
  <si>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</si>
  <si>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</si>
  <si>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</si>
  <si>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</si>
  <si>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</si>
  <si>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</si>
  <si>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</si>
  <si>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</si>
  <si>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</si>
  <si>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</si>
  <si>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</si>
  <si>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</si>
  <si>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</si>
  <si>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</si>
  <si>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</si>
  <si>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</si>
  <si>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</si>
  <si>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</si>
  <si>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</si>
  <si>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</si>
  <si>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</si>
  <si>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</si>
  <si>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</si>
  <si>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</si>
  <si>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</si>
  <si>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</si>
  <si>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</si>
  <si>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</si>
  <si>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</si>
  <si>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</si>
  <si>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</si>
  <si>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项目全部</t>
    <phoneticPr fontId="8" type="noConversion"/>
  </si>
  <si>
    <t>核定净值</t>
    <phoneticPr fontId="8" type="noConversion"/>
  </si>
  <si>
    <t>情况3</t>
  </si>
  <si>
    <t>转让取得</t>
    <phoneticPr fontId="8" type="noConversion"/>
  </si>
  <si>
    <t>非生产用房</t>
  </si>
  <si>
    <t>砖混</t>
  </si>
  <si>
    <t>合计</t>
    <phoneticPr fontId="8" type="noConversion"/>
  </si>
  <si>
    <r>
      <t>1</t>
    </r>
    <r>
      <rPr>
        <sz val="10"/>
        <color indexed="8"/>
        <rFont val="宋体"/>
        <family val="3"/>
        <charset val="134"/>
      </rPr>
      <t>、</t>
    </r>
    <r>
      <rPr>
        <sz val="10"/>
        <color indexed="8"/>
        <rFont val="Arial"/>
        <family val="2"/>
      </rPr>
      <t>3</t>
    </r>
    <r>
      <rPr>
        <sz val="10"/>
        <color indexed="8"/>
        <rFont val="宋体"/>
        <family val="3"/>
        <charset val="134"/>
      </rPr>
      <t>号楼</t>
    </r>
    <phoneticPr fontId="8" type="noConversion"/>
  </si>
  <si>
    <t>占基面积</t>
    <phoneticPr fontId="134" type="noConversion"/>
  </si>
  <si>
    <t>空地面积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</si>
</sst>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96" fontId="0" fillId="0" borderId="0" xfId="0" applyNumberFormat="1">
      <alignment vertical="center"/>
    </xf>
    <xf numFmtId="0" fontId="46" fillId="18"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398808</xdr:colOff>
      <xdr:row>0</xdr:row>
      <xdr:rowOff>47625</xdr:rowOff>
    </xdr:from>
    <xdr:to>
      <xdr:col>20</xdr:col>
      <xdr:colOff>318321</xdr:colOff>
      <xdr:row>27</xdr:row>
      <xdr:rowOff>85725</xdr:rowOff>
    </xdr:to>
    <xdr:pic>
      <xdr:nvPicPr>
        <xdr:cNvPr id="2" name="图片 1">
          <a:extLst>
            <a:ext uri="{FF2B5EF4-FFF2-40B4-BE49-F238E27FC236}">
              <a16:creationId xmlns:a16="http://schemas.microsoft.com/office/drawing/2014/main" xmlns="" id="{9A18D81F-89B4-AF00-9A2C-52269692CB30}"/>
            </a:ext>
          </a:extLst>
        </xdr:cNvPr>
        <xdr:cNvPicPr>
          <a:picLocks noChangeAspect="1"/>
        </xdr:cNvPicPr>
      </xdr:nvPicPr>
      <xdr:blipFill>
        <a:blip xmlns:r="http://schemas.openxmlformats.org/officeDocument/2006/relationships" r:embed="rId1"/>
        <a:stretch>
          <a:fillRect/>
        </a:stretch>
      </xdr:blipFill>
      <xdr:spPr>
        <a:xfrm>
          <a:off x="7980708" y="47625"/>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xmlns=""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xmlns=""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xmlns=""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xmlns=""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xmlns=""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xmlns=""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xmlns=""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271;&#21488;&#36335;&#21271;&#30707;&#27133;&#27573;6&#21495;&#38498;1&#12289;3&#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11269.65</v>
          </cell>
          <cell r="C14">
            <v>15283.380000000001</v>
          </cell>
          <cell r="D14">
            <v>5955</v>
          </cell>
          <cell r="E14">
            <v>5284</v>
          </cell>
          <cell r="F14">
            <v>3896</v>
          </cell>
          <cell r="G14">
            <v>5955</v>
          </cell>
          <cell r="I14">
            <v>5356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估价对象为北京市房地产，为所有。根据《国有土地使用证》[]，估价对象（分摊）出让国有建设用地使用权面积为14159.62平方米，建筑面积为7485.35平方米。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估价对象为北京市房地产,为开发建设的，该项目尚在开发建设中。根据《国有土地使用证》[]，估价对象（分摊）出让国有建设用地使用权面积为14159.62平方米，规划建筑面积为7485.35平方米。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3515</v>
      </c>
    </row>
    <row r="21" spans="1:2">
      <c r="A21" s="1119" t="s">
        <v>537</v>
      </c>
      <c r="B21" s="1120">
        <f ca="1">'预评函-2'!D7</f>
        <v>4696</v>
      </c>
    </row>
    <row r="22" spans="1:2">
      <c r="A22" s="1119" t="s">
        <v>538</v>
      </c>
      <c r="B22" s="1120" t="str">
        <f ca="1">'预评函-2'!D6</f>
        <v>叁仟伍佰壹拾伍万元整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3515</v>
      </c>
    </row>
    <row r="31" spans="1:2">
      <c r="A31" s="1119" t="s">
        <v>576</v>
      </c>
      <c r="B31" s="1120">
        <f ca="1">'预评函-2'!D15</f>
        <v>4696</v>
      </c>
    </row>
    <row r="32" spans="1:2">
      <c r="A32" s="1119" t="s">
        <v>543</v>
      </c>
      <c r="B32" s="1120" t="str">
        <f ca="1">'预评函-2'!D14</f>
        <v>叁仟伍佰壹拾伍万元整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3329</v>
      </c>
    </row>
    <row r="39" spans="1:2">
      <c r="A39" s="1119" t="s">
        <v>545</v>
      </c>
      <c r="B39" s="1120">
        <f ca="1">'预评函-2'!D21</f>
        <v>4447</v>
      </c>
    </row>
    <row r="40" spans="1:2">
      <c r="A40" s="1119" t="s">
        <v>546</v>
      </c>
      <c r="B40" s="1120" t="str">
        <f ca="1">'预评函-2'!D20</f>
        <v>叁仟叁佰贰拾玖万元整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14159.619999999999</v>
      </c>
    </row>
    <row r="46" spans="1:2">
      <c r="A46" s="1119" t="s">
        <v>573</v>
      </c>
      <c r="B46" s="1120" t="str">
        <f>'预评函-3'!D2</f>
        <v>出让国有建设用地使用权价值</v>
      </c>
    </row>
    <row r="47" spans="1:2">
      <c r="A47" s="1119" t="s">
        <v>548</v>
      </c>
      <c r="B47" s="1120">
        <f ca="1">'预评函-3'!D4</f>
        <v>1645</v>
      </c>
    </row>
    <row r="48" spans="1:2">
      <c r="A48" s="1119" t="s">
        <v>549</v>
      </c>
      <c r="B48" s="1120">
        <f ca="1">'预评函-3'!E4</f>
        <v>2198</v>
      </c>
    </row>
    <row r="49" spans="1:2">
      <c r="A49" s="1119" t="s">
        <v>550</v>
      </c>
      <c r="B49" s="1120" t="str">
        <f ca="1">'预评函-3'!D5</f>
        <v>壹仟陆佰肆拾伍万元整</v>
      </c>
    </row>
    <row r="50" spans="1:2">
      <c r="A50" s="1119" t="s">
        <v>574</v>
      </c>
      <c r="B50" s="1120" t="str">
        <f>'预评函-3'!F2</f>
        <v>在建建筑物价值</v>
      </c>
    </row>
    <row r="51" spans="1:2">
      <c r="A51" s="1119" t="s">
        <v>551</v>
      </c>
      <c r="B51" s="1120">
        <f ca="1">'预评函-3'!F4</f>
        <v>1870</v>
      </c>
    </row>
    <row r="52" spans="1:2">
      <c r="A52" s="1119" t="s">
        <v>552</v>
      </c>
      <c r="B52" s="1120">
        <f ca="1">'预评函-3'!G4</f>
        <v>2498</v>
      </c>
    </row>
    <row r="53" spans="1:2">
      <c r="A53" s="1119" t="s">
        <v>580</v>
      </c>
      <c r="B53" s="1120" t="str">
        <f ca="1">'预评函-3'!F5</f>
        <v>壹仟捌佰柒拾万元整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201" t="s">
        <v>2573</v>
      </c>
      <c r="J2" s="3201"/>
      <c r="K2" s="3201"/>
      <c r="L2" s="3201"/>
      <c r="M2" s="3201"/>
      <c r="N2" s="3201"/>
      <c r="O2" s="3201"/>
      <c r="P2" s="3201"/>
      <c r="Q2" s="3201"/>
      <c r="R2" s="3201"/>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G5" sqref="G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12"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13"/>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19"/>
      <c r="C16" s="3220"/>
      <c r="D16" s="3221"/>
      <c r="E16" s="2221" t="s">
        <v>2194</v>
      </c>
      <c r="F16" s="3222"/>
      <c r="G16" s="3223"/>
      <c r="H16" s="3223"/>
      <c r="I16" s="3224"/>
      <c r="J16" s="2244"/>
      <c r="K16" s="2402"/>
      <c r="L16" s="1669"/>
      <c r="M16" s="1669"/>
      <c r="N16" s="2244"/>
      <c r="O16" s="1669"/>
      <c r="P16" s="2244"/>
      <c r="Q16" s="2244"/>
      <c r="R16" s="2244"/>
    </row>
    <row r="17" spans="1:28">
      <c r="A17" s="305" t="s">
        <v>2195</v>
      </c>
      <c r="B17" s="294" t="s">
        <v>2196</v>
      </c>
      <c r="C17" s="8">
        <f>'数据-汇总表'!E3</f>
        <v>7485.3499999999985</v>
      </c>
      <c r="D17" s="1256" t="s">
        <v>2197</v>
      </c>
      <c r="E17" s="3225" t="s">
        <v>2198</v>
      </c>
      <c r="F17" s="3226"/>
      <c r="G17" s="3226"/>
      <c r="H17" s="3226"/>
      <c r="I17" s="322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14159.619999999999</v>
      </c>
      <c r="D18" s="1029" t="s">
        <v>2201</v>
      </c>
      <c r="E18" s="3228" t="s">
        <v>2202</v>
      </c>
      <c r="F18" s="3229"/>
      <c r="G18" s="3229"/>
      <c r="H18" s="3229"/>
      <c r="I18" s="3230"/>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4"/>
      <c r="B30" s="294" t="s">
        <v>2218</v>
      </c>
      <c r="C30" s="3205"/>
      <c r="D30" s="3206"/>
      <c r="E30" s="2441"/>
      <c r="F30" s="2441"/>
      <c r="G30" s="2441"/>
      <c r="H30" s="2441"/>
      <c r="I30" s="2441"/>
      <c r="J30" s="2244"/>
      <c r="K30" s="2401"/>
      <c r="L30" s="2398"/>
      <c r="M30" s="2398"/>
      <c r="N30" s="2244"/>
      <c r="O30" s="1669"/>
      <c r="P30" s="2244"/>
      <c r="Q30" s="2244"/>
      <c r="R30" s="2244"/>
      <c r="S30" s="2244"/>
      <c r="T30" s="2244"/>
      <c r="U30" s="2244"/>
      <c r="V30" s="2244"/>
    </row>
    <row r="31" spans="1:28">
      <c r="A31" s="320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0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0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2" t="s">
        <v>2228</v>
      </c>
      <c r="T34" s="315" t="str">
        <f>NUMBERSTRING(7-K34,1)&amp;"通"</f>
        <v>七通</v>
      </c>
      <c r="U34" s="2244"/>
      <c r="V34" s="2244"/>
    </row>
    <row r="35" spans="1:30">
      <c r="A35" s="2235"/>
      <c r="B35" s="3202" t="s">
        <v>2229</v>
      </c>
      <c r="C35" s="3202"/>
      <c r="D35" s="3202"/>
      <c r="E35" s="320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3414</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3414</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3"/>
  <sheetViews>
    <sheetView zoomScaleNormal="100" workbookViewId="0">
      <selection activeCell="I24" sqref="I24"/>
    </sheetView>
  </sheetViews>
  <sheetFormatPr defaultRowHeight="13.5"/>
  <cols>
    <col min="5" max="5" width="9.5" bestFit="1" customWidth="1"/>
    <col min="24" max="24" width="10.875" customWidth="1"/>
  </cols>
  <sheetData>
    <row r="1" spans="2:25">
      <c r="B1" s="1405" t="s">
        <v>3389</v>
      </c>
      <c r="C1" s="1405" t="s">
        <v>3390</v>
      </c>
      <c r="D1" s="1405" t="s">
        <v>3391</v>
      </c>
      <c r="E1" s="1405" t="s">
        <v>3392</v>
      </c>
      <c r="F1" s="1405" t="s">
        <v>3435</v>
      </c>
      <c r="V1" s="1405" t="s">
        <v>3447</v>
      </c>
      <c r="W1" s="1405" t="s">
        <v>3448</v>
      </c>
    </row>
    <row r="2" spans="2:25">
      <c r="B2" s="1405" t="s">
        <v>3388</v>
      </c>
      <c r="C2">
        <v>3</v>
      </c>
      <c r="D2" s="1405" t="s">
        <v>3395</v>
      </c>
      <c r="E2">
        <v>10663.65</v>
      </c>
      <c r="F2" s="1405" t="s">
        <v>3434</v>
      </c>
      <c r="G2">
        <v>4000</v>
      </c>
      <c r="H2">
        <f>ROUND(G2*E2/10000,0)</f>
        <v>4265</v>
      </c>
      <c r="V2">
        <f>ROUND(E2/C2,2)</f>
        <v>3554.55</v>
      </c>
      <c r="W2">
        <f>ROUND($W$13*E2/$E$13,2)</f>
        <v>10524.72</v>
      </c>
      <c r="X2">
        <f>V2+W2</f>
        <v>14079.27</v>
      </c>
      <c r="Y2">
        <f>X2+X3</f>
        <v>15283.380000000001</v>
      </c>
    </row>
    <row r="3" spans="2:25">
      <c r="B3" s="1405" t="s">
        <v>3393</v>
      </c>
      <c r="C3">
        <v>1</v>
      </c>
      <c r="D3" s="1405" t="s">
        <v>3395</v>
      </c>
      <c r="E3">
        <v>606</v>
      </c>
      <c r="F3" s="1405" t="s">
        <v>3436</v>
      </c>
      <c r="G3">
        <v>2000</v>
      </c>
      <c r="H3">
        <f t="shared" ref="H3:H12" si="0">ROUND(G3*E3/10000,0)</f>
        <v>121</v>
      </c>
      <c r="V3">
        <f t="shared" ref="V3:V12" si="1">ROUND(E3/C3,2)</f>
        <v>606</v>
      </c>
      <c r="W3">
        <f t="shared" ref="W3:W12" si="2">ROUND($W$13*E3/$E$13,2)</f>
        <v>598.11</v>
      </c>
      <c r="X3">
        <f t="shared" ref="X3:X11" si="3">V3+W3</f>
        <v>1204.1100000000001</v>
      </c>
    </row>
    <row r="4" spans="2:25">
      <c r="B4" s="1405" t="s">
        <v>3396</v>
      </c>
      <c r="C4">
        <v>2</v>
      </c>
      <c r="D4" s="1405" t="s">
        <v>3406</v>
      </c>
      <c r="E4">
        <v>396.96</v>
      </c>
      <c r="F4" s="1405" t="s">
        <v>3437</v>
      </c>
      <c r="G4">
        <f>G3</f>
        <v>2000</v>
      </c>
      <c r="H4">
        <f t="shared" si="0"/>
        <v>79</v>
      </c>
      <c r="I4">
        <f>SUM(H4:H12)</f>
        <v>1630</v>
      </c>
      <c r="J4">
        <f>ROUND(1-(1-2%)*(2024-2002)/50,2)</f>
        <v>0.56999999999999995</v>
      </c>
      <c r="V4">
        <f>ROUND(E4/C4,2)</f>
        <v>198.48</v>
      </c>
      <c r="W4">
        <f t="shared" si="2"/>
        <v>391.79</v>
      </c>
      <c r="X4">
        <f>V4+W4</f>
        <v>590.27</v>
      </c>
      <c r="Y4">
        <f>SUM(X4:X12)</f>
        <v>14159.619999999999</v>
      </c>
    </row>
    <row r="5" spans="2:25">
      <c r="B5" s="1405" t="s">
        <v>3397</v>
      </c>
      <c r="C5">
        <v>3</v>
      </c>
      <c r="D5" s="1405" t="s">
        <v>3406</v>
      </c>
      <c r="E5">
        <v>772.62</v>
      </c>
      <c r="F5" s="1405" t="s">
        <v>3437</v>
      </c>
      <c r="G5">
        <f t="shared" ref="G5:G12" si="4">G4</f>
        <v>2000</v>
      </c>
      <c r="H5">
        <f t="shared" si="0"/>
        <v>155</v>
      </c>
      <c r="I5">
        <f>I4*10000/SUM(E4:E12)</f>
        <v>2177.5868863847386</v>
      </c>
      <c r="J5">
        <f t="shared" ref="J5:J11" si="5">ROUND(1-(1-2%)*(2024-2002)/50,2)</f>
        <v>0.56999999999999995</v>
      </c>
      <c r="V5">
        <f t="shared" si="1"/>
        <v>257.54000000000002</v>
      </c>
      <c r="W5">
        <f t="shared" si="2"/>
        <v>762.55</v>
      </c>
      <c r="X5">
        <f t="shared" si="3"/>
        <v>1020.0899999999999</v>
      </c>
    </row>
    <row r="6" spans="2:25">
      <c r="B6" s="1405" t="s">
        <v>3398</v>
      </c>
      <c r="C6">
        <v>1</v>
      </c>
      <c r="D6" s="1405" t="s">
        <v>3406</v>
      </c>
      <c r="E6">
        <v>2639.43</v>
      </c>
      <c r="F6" s="1405" t="s">
        <v>3437</v>
      </c>
      <c r="G6">
        <v>2500</v>
      </c>
      <c r="H6">
        <f t="shared" si="0"/>
        <v>660</v>
      </c>
      <c r="J6">
        <f t="shared" si="5"/>
        <v>0.56999999999999995</v>
      </c>
      <c r="V6">
        <f t="shared" si="1"/>
        <v>2639.43</v>
      </c>
      <c r="W6">
        <f t="shared" si="2"/>
        <v>2605.04</v>
      </c>
      <c r="X6">
        <f t="shared" si="3"/>
        <v>5244.4699999999993</v>
      </c>
    </row>
    <row r="7" spans="2:25">
      <c r="B7" s="1405" t="s">
        <v>3399</v>
      </c>
      <c r="C7">
        <v>1</v>
      </c>
      <c r="D7" s="1405" t="s">
        <v>3406</v>
      </c>
      <c r="E7">
        <v>685.9</v>
      </c>
      <c r="F7" s="1405" t="s">
        <v>3437</v>
      </c>
      <c r="G7">
        <f>G3</f>
        <v>2000</v>
      </c>
      <c r="H7">
        <f t="shared" si="0"/>
        <v>137</v>
      </c>
      <c r="J7">
        <f t="shared" si="5"/>
        <v>0.56999999999999995</v>
      </c>
      <c r="V7">
        <f t="shared" si="1"/>
        <v>685.9</v>
      </c>
      <c r="W7">
        <f t="shared" si="2"/>
        <v>676.96</v>
      </c>
      <c r="X7">
        <f t="shared" si="3"/>
        <v>1362.8600000000001</v>
      </c>
    </row>
    <row r="8" spans="2:25">
      <c r="B8" s="1405" t="s">
        <v>3400</v>
      </c>
      <c r="C8">
        <v>1</v>
      </c>
      <c r="D8" s="1405" t="s">
        <v>3406</v>
      </c>
      <c r="E8">
        <v>1139.32</v>
      </c>
      <c r="F8" s="1405" t="s">
        <v>3437</v>
      </c>
      <c r="G8">
        <v>2000</v>
      </c>
      <c r="H8">
        <f t="shared" si="0"/>
        <v>228</v>
      </c>
      <c r="J8">
        <f t="shared" si="5"/>
        <v>0.56999999999999995</v>
      </c>
      <c r="V8">
        <f t="shared" si="1"/>
        <v>1139.32</v>
      </c>
      <c r="W8">
        <f t="shared" si="2"/>
        <v>1124.48</v>
      </c>
      <c r="X8">
        <f t="shared" si="3"/>
        <v>2263.8000000000002</v>
      </c>
    </row>
    <row r="9" spans="2:25">
      <c r="B9" s="1405" t="s">
        <v>3401</v>
      </c>
      <c r="C9">
        <v>1</v>
      </c>
      <c r="D9" s="1405" t="s">
        <v>3406</v>
      </c>
      <c r="E9">
        <v>349</v>
      </c>
      <c r="F9" s="1405" t="s">
        <v>3437</v>
      </c>
      <c r="G9">
        <f>G3</f>
        <v>2000</v>
      </c>
      <c r="H9">
        <f t="shared" si="0"/>
        <v>70</v>
      </c>
      <c r="J9">
        <f t="shared" si="5"/>
        <v>0.56999999999999995</v>
      </c>
      <c r="V9">
        <f t="shared" si="1"/>
        <v>349</v>
      </c>
      <c r="W9">
        <f t="shared" si="2"/>
        <v>344.45</v>
      </c>
      <c r="X9">
        <f t="shared" si="3"/>
        <v>693.45</v>
      </c>
    </row>
    <row r="10" spans="2:25">
      <c r="B10" s="1405" t="s">
        <v>3402</v>
      </c>
      <c r="C10">
        <v>1</v>
      </c>
      <c r="D10" s="1405" t="s">
        <v>3406</v>
      </c>
      <c r="E10">
        <v>533.70000000000005</v>
      </c>
      <c r="F10" s="1405" t="s">
        <v>3437</v>
      </c>
      <c r="G10">
        <f t="shared" si="4"/>
        <v>2000</v>
      </c>
      <c r="H10">
        <f t="shared" si="0"/>
        <v>107</v>
      </c>
      <c r="J10">
        <f t="shared" si="5"/>
        <v>0.56999999999999995</v>
      </c>
      <c r="V10">
        <f t="shared" si="1"/>
        <v>533.70000000000005</v>
      </c>
      <c r="W10">
        <f t="shared" si="2"/>
        <v>526.75</v>
      </c>
      <c r="X10">
        <f t="shared" si="3"/>
        <v>1060.45</v>
      </c>
    </row>
    <row r="11" spans="2:25">
      <c r="B11" s="1405" t="s">
        <v>3403</v>
      </c>
      <c r="C11">
        <v>1</v>
      </c>
      <c r="D11" s="1405" t="s">
        <v>3406</v>
      </c>
      <c r="E11">
        <v>424.02</v>
      </c>
      <c r="F11" s="1405" t="s">
        <v>3437</v>
      </c>
      <c r="G11">
        <f t="shared" si="4"/>
        <v>2000</v>
      </c>
      <c r="H11">
        <f t="shared" si="0"/>
        <v>85</v>
      </c>
      <c r="J11">
        <f t="shared" si="5"/>
        <v>0.56999999999999995</v>
      </c>
      <c r="V11">
        <f t="shared" si="1"/>
        <v>424.02</v>
      </c>
      <c r="W11">
        <f t="shared" si="2"/>
        <v>418.5</v>
      </c>
      <c r="X11">
        <f t="shared" si="3"/>
        <v>842.52</v>
      </c>
    </row>
    <row r="12" spans="2:25">
      <c r="B12" s="1405" t="s">
        <v>3404</v>
      </c>
      <c r="C12">
        <v>1</v>
      </c>
      <c r="D12" s="1405" t="s">
        <v>3405</v>
      </c>
      <c r="E12">
        <v>544.4</v>
      </c>
      <c r="F12" s="1405" t="s">
        <v>3437</v>
      </c>
      <c r="G12">
        <f t="shared" si="4"/>
        <v>2000</v>
      </c>
      <c r="H12">
        <f t="shared" si="0"/>
        <v>109</v>
      </c>
      <c r="J12">
        <f>ROUND(1-(1-2%)*(2024-2002)/80,2)</f>
        <v>0.73</v>
      </c>
      <c r="V12">
        <f t="shared" si="1"/>
        <v>544.4</v>
      </c>
      <c r="W12">
        <f t="shared" si="2"/>
        <v>537.30999999999995</v>
      </c>
      <c r="X12">
        <f>Y13-SUM(X2:X11)</f>
        <v>1081.7099999999991</v>
      </c>
    </row>
    <row r="13" spans="2:25">
      <c r="B13" s="1405" t="s">
        <v>3438</v>
      </c>
      <c r="E13" s="3145">
        <f>SUM(E2:E12)</f>
        <v>18755.000000000004</v>
      </c>
      <c r="G13">
        <f>H13*10000/E13</f>
        <v>3207.677952545987</v>
      </c>
      <c r="H13">
        <f>SUM(H2:H12)</f>
        <v>6016</v>
      </c>
      <c r="J13">
        <f>ROUND((E4*J4+E5*J5+E6*J6+E7*J7+E8*J8+E9*J9+E10*J10+E11*J11+E12*J12)/(E13-E3-E2),2)</f>
        <v>0.57999999999999996</v>
      </c>
      <c r="V13">
        <f>SUM(V2:V12)</f>
        <v>10932.34</v>
      </c>
      <c r="W13">
        <f>'数据-基础表'!A3-V13</f>
        <v>18510.66</v>
      </c>
      <c r="X13" s="3158">
        <f>SUM(X2:X12)</f>
        <v>29443</v>
      </c>
      <c r="Y13">
        <f>'数据-基础表'!A3</f>
        <v>29443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3" sqref="D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5" t="s">
        <v>1132</v>
      </c>
      <c r="J2" s="2438"/>
      <c r="K2" s="2438"/>
      <c r="L2" s="2438"/>
      <c r="M2" s="2438"/>
      <c r="N2" s="2439"/>
      <c r="O2" s="2438"/>
      <c r="P2" s="2438"/>
    </row>
    <row r="3" spans="1:16" ht="15.75" thickBot="1">
      <c r="A3" s="3241" t="s">
        <v>1105</v>
      </c>
      <c r="B3" s="3241"/>
      <c r="C3" s="3241"/>
      <c r="D3" s="3159">
        <f>面积!Y4</f>
        <v>14159.619999999999</v>
      </c>
      <c r="E3" s="41">
        <f>'数据-基础表'!AZ5</f>
        <v>7485.3499999999985</v>
      </c>
      <c r="F3" s="2438" t="e">
        <f>#REF!</f>
        <v>#REF!</v>
      </c>
      <c r="G3" s="42"/>
      <c r="H3" s="43" t="s">
        <v>1106</v>
      </c>
      <c r="I3" s="802">
        <f>ROUND('数据-基础表'!B3/'数据-基础表'!A3,2)</f>
        <v>0.64</v>
      </c>
      <c r="J3" s="2438"/>
      <c r="K3" s="2438"/>
      <c r="L3" s="2438"/>
      <c r="M3" s="2438"/>
      <c r="N3" s="2439"/>
      <c r="O3" s="2438"/>
      <c r="P3" s="2438"/>
    </row>
    <row r="4" spans="1:16" ht="15">
      <c r="A4" s="3242"/>
      <c r="B4" s="3243"/>
      <c r="C4" s="3244"/>
      <c r="D4" s="1524" t="s">
        <v>1107</v>
      </c>
      <c r="E4" s="1525" t="s">
        <v>1108</v>
      </c>
      <c r="F4" s="2438" t="e">
        <f>F3+D3</f>
        <v>#REF!</v>
      </c>
      <c r="G4" s="2433" t="s">
        <v>1133</v>
      </c>
      <c r="H4" s="43" t="s">
        <v>1113</v>
      </c>
      <c r="I4" s="802">
        <f>ROUND(SUMIF('数据-基础表'!I9:AS9,"地上",'数据-基础表'!I5:AS5)/'数据-基础表'!A3,2)</f>
        <v>0.64</v>
      </c>
      <c r="J4" s="2438"/>
      <c r="K4" s="2438"/>
      <c r="L4" s="2438"/>
      <c r="M4" s="2438"/>
      <c r="N4" s="2439"/>
      <c r="O4" s="2438"/>
      <c r="P4" s="2438"/>
    </row>
    <row r="5" spans="1:16">
      <c r="A5" s="42" t="s">
        <v>1109</v>
      </c>
      <c r="B5" s="3245" t="s">
        <v>1110</v>
      </c>
      <c r="C5" s="3245"/>
      <c r="D5" s="43">
        <f>ROUND($D$3*E5/$E$3,2)</f>
        <v>0</v>
      </c>
      <c r="E5" s="44">
        <f>SUMIF('数据-基础表'!$11:$11,"住宅",'数据-基础表'!$5:$5)</f>
        <v>0</v>
      </c>
      <c r="F5" s="2438" t="e">
        <f>F4-'数据-基础表'!A3</f>
        <v>#REF!</v>
      </c>
      <c r="G5" s="42"/>
      <c r="H5" s="43" t="s">
        <v>1106</v>
      </c>
      <c r="I5" s="802">
        <f>ROUND(E31/D31,2)</f>
        <v>0.53</v>
      </c>
      <c r="J5" s="2438"/>
      <c r="K5" s="2438"/>
      <c r="L5" s="2438"/>
      <c r="M5" s="2438"/>
      <c r="N5" s="2438"/>
      <c r="O5" s="2438"/>
      <c r="P5" s="2438"/>
    </row>
    <row r="6" spans="1:16" ht="15" thickBot="1">
      <c r="A6" s="1527"/>
      <c r="B6" s="3245" t="s">
        <v>1111</v>
      </c>
      <c r="C6" s="3245"/>
      <c r="D6" s="43">
        <f>ROUND($D$3*E6/$E$3,2)</f>
        <v>14159.62</v>
      </c>
      <c r="E6" s="44">
        <f>E3-E5</f>
        <v>7485.3499999999985</v>
      </c>
      <c r="F6" s="2438"/>
      <c r="G6" s="1529" t="s">
        <v>1112</v>
      </c>
      <c r="H6" s="45" t="s">
        <v>1113</v>
      </c>
      <c r="I6" s="2434">
        <f>ROUND(F31/D31,2)</f>
        <v>0.53</v>
      </c>
      <c r="J6" s="2438"/>
      <c r="K6" s="2438"/>
      <c r="L6" s="2438"/>
      <c r="M6" s="2438"/>
      <c r="N6" s="2438"/>
      <c r="O6" s="2438"/>
      <c r="P6" s="2438"/>
    </row>
    <row r="7" spans="1:16" ht="15.75" thickBot="1">
      <c r="A7" s="3237"/>
      <c r="B7" s="3238"/>
      <c r="C7" s="3239"/>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14159.62</v>
      </c>
      <c r="E8" s="46">
        <f>SUMIF('数据-基础表'!BB10:BK10,"地上",'数据-基础表'!BB5:BK5)</f>
        <v>7485.3499999999985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14159.62</v>
      </c>
      <c r="E16" s="48">
        <f>SUM(E8:E15)</f>
        <v>7485.3499999999985</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14159.62</v>
      </c>
      <c r="E19" s="51">
        <f t="shared" ref="E19:E26" si="1">SUM(F19:G19)</f>
        <v>7485.3499999999985</v>
      </c>
      <c r="F19" s="3146">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14159.62</v>
      </c>
      <c r="S19" s="51">
        <f t="shared" si="5"/>
        <v>7485.3499999999985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14159.62</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14159.62</v>
      </c>
      <c r="S27" s="43">
        <f>IF(SUM(S19:S26)=$E$3,SUM(S19:S26),SUM(S19:S26)&amp;"误差"&amp;ROUND(SUM(S19:S26)-E3,2))</f>
        <v>7485.3499999999985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14159.62</v>
      </c>
      <c r="E31" s="643">
        <f>E27+E30</f>
        <v>7485.3499999999985</v>
      </c>
      <c r="F31" s="644">
        <f>F27+F30</f>
        <v>7485.3499999999985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7485.3499999999985</v>
      </c>
      <c r="L6" s="692">
        <f>面积!I5</f>
        <v>2177.5868863847386</v>
      </c>
      <c r="M6" s="64">
        <f t="shared" ref="M6:M14" si="0">ROUND(K6*L6/10000,0)</f>
        <v>1630</v>
      </c>
      <c r="N6" s="3153">
        <f>ROUND((面积!J13+82%)/2,2)</f>
        <v>0.7</v>
      </c>
      <c r="O6" s="64" t="str">
        <f>IF($N$5="成新度","——",ROUND(M6*N6,0))</f>
        <v>——</v>
      </c>
      <c r="P6" s="65" t="str">
        <f>IF($N$5="成新度","——",M6-O6)</f>
        <v>——</v>
      </c>
      <c r="Q6" s="3154">
        <v>0.08</v>
      </c>
      <c r="R6" s="66">
        <f ca="1">SUMIF('数据-汇总表'!C$19:C$33,A6,'数据-汇总表'!R$19:R$27)</f>
        <v>14159.62</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3996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7485.3499999999985</v>
      </c>
      <c r="L16" s="87">
        <f>ROUND(M16*10000/SUM(K6:K14),0)</f>
        <v>2178</v>
      </c>
      <c r="M16" s="87">
        <f>SUM(M6:M14)</f>
        <v>1630</v>
      </c>
      <c r="N16" s="88">
        <f>ROUND(SUMPRODUCT(M6:M14,N6:N14)/M16,3)</f>
        <v>0.7</v>
      </c>
      <c r="O16" s="87">
        <f>SUM(O6:O14)</f>
        <v>0</v>
      </c>
      <c r="P16" s="87">
        <f>SUM(P6:P14)</f>
        <v>0</v>
      </c>
      <c r="Q16" s="89">
        <f>ROUND(SUMPRODUCT(Q6:Q13,K6:K13)/SUMPRODUCT((Q6:Q13&gt;0)*(K6:K13)),2)</f>
        <v>0.08</v>
      </c>
      <c r="R16" s="974">
        <f ca="1">SUM(R6:R13)</f>
        <v>14159.62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c r="M19" s="3150"/>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c r="L21" s="31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c r="M22" s="2448"/>
      <c r="N22" s="3151"/>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150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6" t="s">
        <v>2277</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9" sqref="N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9470</v>
      </c>
      <c r="C5" s="2299">
        <f ca="1">IF(B5=D14,结果表!H102,ROUND(B5*10000/$B$1,0))</f>
        <v>5049</v>
      </c>
      <c r="D5" s="2299">
        <f ca="1">ROUND(B5*10000/$B$2,0)</f>
        <v>3216</v>
      </c>
      <c r="E5" s="2461"/>
      <c r="F5" s="2462"/>
      <c r="G5" s="2462"/>
      <c r="H5" s="2462"/>
      <c r="I5" s="2462"/>
      <c r="J5" s="2462"/>
      <c r="K5" s="2462"/>
    </row>
    <row r="6" spans="1:11" ht="16.5">
      <c r="A6" s="2299" t="s">
        <v>656</v>
      </c>
      <c r="B6" s="2299">
        <f ca="1">SUM(G14:G23)</f>
        <v>9470</v>
      </c>
      <c r="C6" s="2299">
        <f ca="1">IF(B6=G14,结果表!H108,ROUND(B6*10000/$B$1,0))</f>
        <v>5049</v>
      </c>
      <c r="D6" s="2299">
        <f ca="1">ROUND(B6*10000/$B$2,0)</f>
        <v>3216</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8518</v>
      </c>
      <c r="C8" s="2299">
        <f ca="1">IF(B8=I14,结果表!H112,ROUND(B8*10000/$B$1,0))</f>
        <v>4542</v>
      </c>
      <c r="D8" s="2299">
        <f ca="1">ROUND(B8*10000/$B$2,0)</f>
        <v>2893</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7485.3499999999985</v>
      </c>
      <c r="C14" s="2305">
        <f>'数据-汇总表'!D3</f>
        <v>14159.619999999999</v>
      </c>
      <c r="D14" s="2305">
        <f ca="1">结果表!G19</f>
        <v>3515</v>
      </c>
      <c r="E14" s="2305">
        <f ca="1">ROUND(D14*10000/B14,0)</f>
        <v>4696</v>
      </c>
      <c r="F14" s="2305">
        <f ca="1">ROUND(D14*10000/C14,0)</f>
        <v>2482</v>
      </c>
      <c r="G14" s="2305">
        <f ca="1">D14</f>
        <v>3515</v>
      </c>
      <c r="H14" s="2305"/>
      <c r="I14" s="2305">
        <f ca="1">结果表!Q59</f>
        <v>3162</v>
      </c>
      <c r="J14" s="2462"/>
      <c r="K14" s="2462"/>
    </row>
    <row r="15" spans="1:11" ht="16.5">
      <c r="A15" s="2304" t="s">
        <v>649</v>
      </c>
      <c r="B15" s="2305">
        <f>[3]系统读取表!B14</f>
        <v>11269.65</v>
      </c>
      <c r="C15" s="2305">
        <f>[3]系统读取表!C14</f>
        <v>15283.380000000001</v>
      </c>
      <c r="D15" s="2305">
        <f ca="1">[3]系统读取表!D14</f>
        <v>5955</v>
      </c>
      <c r="E15" s="2305">
        <f ca="1">[3]系统读取表!E14</f>
        <v>5284</v>
      </c>
      <c r="F15" s="2305">
        <f ca="1">[3]系统读取表!F14</f>
        <v>3896</v>
      </c>
      <c r="G15" s="2305">
        <f ca="1">[3]系统读取表!G14</f>
        <v>5955</v>
      </c>
      <c r="H15" s="2305"/>
      <c r="I15" s="2305">
        <f ca="1">[3]系统读取表!$I$14</f>
        <v>5356</v>
      </c>
      <c r="J15" s="2462"/>
      <c r="K15" s="2462"/>
    </row>
    <row r="16" spans="1:11" ht="16.5">
      <c r="A16" s="2304" t="s">
        <v>648</v>
      </c>
      <c r="B16" s="2306"/>
      <c r="C16" s="2306"/>
      <c r="D16" s="2306"/>
      <c r="E16" s="2305" t="e">
        <f t="shared" ref="E16:E23" si="0">ROUND(D16*10000/B16,0)</f>
        <v>#DIV/0!</v>
      </c>
      <c r="F16" s="2305" t="e">
        <f t="shared" ref="F16:F23" si="1">ROUND(D16*10000/C16,0)</f>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79"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3439</v>
      </c>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3" t="s">
        <v>1265</v>
      </c>
      <c r="B4" s="1624" t="s">
        <v>1266</v>
      </c>
      <c r="C4" s="1625" t="s">
        <v>3423</v>
      </c>
      <c r="D4" s="1625" t="s">
        <v>3422</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6"/>
      <c r="G5" s="1626"/>
      <c r="H5" s="1626"/>
      <c r="I5" s="1281"/>
    </row>
    <row r="6" spans="1:12" ht="12.75">
      <c r="A6" s="3262"/>
      <c r="B6" s="3249"/>
      <c r="C6" s="3266"/>
      <c r="D6" s="3285"/>
      <c r="E6" s="123" t="s">
        <v>1270</v>
      </c>
      <c r="F6" s="1626"/>
      <c r="G6" s="1626"/>
      <c r="H6" s="1626"/>
      <c r="I6" s="1281"/>
    </row>
    <row r="7" spans="1:12" ht="12.75">
      <c r="A7" s="3262"/>
      <c r="B7" s="3249"/>
      <c r="C7" s="3267"/>
      <c r="D7" s="3285"/>
      <c r="E7" s="123" t="s">
        <v>1271</v>
      </c>
      <c r="F7" s="1626"/>
      <c r="G7" s="1626"/>
      <c r="H7" s="1626"/>
      <c r="I7" s="1281"/>
    </row>
    <row r="8" spans="1:12" ht="12.75">
      <c r="A8" s="3262" t="s">
        <v>1272</v>
      </c>
      <c r="B8" s="3249">
        <v>15</v>
      </c>
      <c r="C8" s="3265"/>
      <c r="D8" s="3285"/>
      <c r="E8" s="123" t="s">
        <v>1273</v>
      </c>
      <c r="F8" s="1626"/>
      <c r="G8" s="1626"/>
      <c r="H8" s="1626"/>
      <c r="I8" s="1281"/>
    </row>
    <row r="9" spans="1:12" ht="12.75">
      <c r="A9" s="3262"/>
      <c r="B9" s="3249"/>
      <c r="C9" s="3267"/>
      <c r="D9" s="3285"/>
      <c r="E9" s="123" t="s">
        <v>1274</v>
      </c>
      <c r="F9" s="1626"/>
      <c r="G9" s="1626"/>
      <c r="H9" s="1626"/>
      <c r="I9" s="1281"/>
    </row>
    <row r="10" spans="1:12" ht="12.75">
      <c r="A10" s="3262" t="s">
        <v>1275</v>
      </c>
      <c r="B10" s="3249">
        <v>15</v>
      </c>
      <c r="C10" s="3265"/>
      <c r="D10" s="3285"/>
      <c r="E10" s="123" t="s">
        <v>1276</v>
      </c>
      <c r="F10" s="1626"/>
      <c r="G10" s="1626"/>
      <c r="H10" s="1626"/>
      <c r="I10" s="1281"/>
    </row>
    <row r="11" spans="1:12" ht="12.75">
      <c r="A11" s="3262"/>
      <c r="B11" s="3249"/>
      <c r="C11" s="3267"/>
      <c r="D11" s="3285"/>
      <c r="E11" s="123" t="s">
        <v>1277</v>
      </c>
      <c r="F11" s="1626"/>
      <c r="G11" s="1626"/>
      <c r="H11" s="1626"/>
      <c r="I11" s="1281"/>
    </row>
    <row r="12" spans="1:12" ht="12.75">
      <c r="A12" s="3262" t="s">
        <v>1278</v>
      </c>
      <c r="B12" s="3249">
        <v>15</v>
      </c>
      <c r="C12" s="3265"/>
      <c r="D12" s="3285"/>
      <c r="E12" s="123" t="s">
        <v>1279</v>
      </c>
      <c r="F12" s="1626"/>
      <c r="G12" s="1626"/>
      <c r="H12" s="1626"/>
      <c r="I12" s="1281"/>
    </row>
    <row r="13" spans="1:12" ht="12.75">
      <c r="A13" s="3262"/>
      <c r="B13" s="3249"/>
      <c r="C13" s="3267"/>
      <c r="D13" s="3285"/>
      <c r="E13" s="123" t="s">
        <v>1280</v>
      </c>
      <c r="F13" s="1626"/>
      <c r="G13" s="1626"/>
      <c r="H13" s="1626"/>
      <c r="I13" s="1281"/>
    </row>
    <row r="14" spans="1:12" ht="12.75">
      <c r="A14" s="3262" t="s">
        <v>1281</v>
      </c>
      <c r="B14" s="3249">
        <v>30</v>
      </c>
      <c r="C14" s="3265">
        <v>5</v>
      </c>
      <c r="D14" s="3285">
        <v>5</v>
      </c>
      <c r="E14" s="123" t="s">
        <v>1282</v>
      </c>
      <c r="F14" s="1626"/>
      <c r="G14" s="1626"/>
      <c r="H14" s="1626"/>
      <c r="I14" s="1281"/>
    </row>
    <row r="15" spans="1:12" ht="12.75">
      <c r="A15" s="3262"/>
      <c r="B15" s="3249"/>
      <c r="C15" s="3266"/>
      <c r="D15" s="3285"/>
      <c r="E15" s="123" t="s">
        <v>1283</v>
      </c>
      <c r="F15" s="1626"/>
      <c r="G15" s="1626"/>
      <c r="H15" s="1626"/>
      <c r="I15" s="1281"/>
    </row>
    <row r="16" spans="1:12" ht="12.75">
      <c r="A16" s="3262"/>
      <c r="B16" s="3249"/>
      <c r="C16" s="3267"/>
      <c r="D16" s="3285"/>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272" t="s">
        <v>2131</v>
      </c>
      <c r="F18" s="3273"/>
      <c r="G18" s="3273"/>
      <c r="H18" s="3273"/>
      <c r="I18" s="3273"/>
      <c r="J18" s="3157" t="s">
        <v>3445</v>
      </c>
      <c r="K18" s="294" t="s">
        <v>1289</v>
      </c>
      <c r="L18" s="294">
        <f>IF(C1="",'数据-汇总表'!E3,SUMIF(项目类型,C1,'数据-汇总表'!E17:E26)+SUMIF(项目类型,C1,'数据-汇总表'!I17:I26))</f>
        <v>7485.3499999999985</v>
      </c>
      <c r="M18" s="294">
        <f>IF(C1="",'数据-汇总表'!E3,SUMIF(项目类型,C1,'数据-汇总表'!E17:E26))</f>
        <v>7485.3499999999985</v>
      </c>
    </row>
    <row r="19" spans="1:36" ht="15">
      <c r="A19" s="1629" t="s">
        <v>1290</v>
      </c>
      <c r="B19" s="1630" t="s">
        <v>1291</v>
      </c>
      <c r="C19" s="126">
        <f ca="1">SUMIF(INDIRECT("'"&amp;C4&amp;"'"&amp;"!A:A"),结果表!B19,INDIRECT("'"&amp;C4&amp;"'"&amp;"!B:B"))</f>
        <v>3033</v>
      </c>
      <c r="D19" s="127">
        <f ca="1">SUMIF(INDIRECT("'"&amp;D4&amp;"'"&amp;"!A:A"),结果表!B19,INDIRECT("'"&amp;D4&amp;"'"&amp;"!B:B"))</f>
        <v>3996</v>
      </c>
      <c r="E19" s="1629" t="s">
        <v>1292</v>
      </c>
      <c r="F19" s="1630" t="s">
        <v>1291</v>
      </c>
      <c r="G19" s="128">
        <f ca="1">ROUND(C19*$C$18+D19*$D$18,0)</f>
        <v>3515</v>
      </c>
      <c r="H19" s="1631" t="s">
        <v>1293</v>
      </c>
      <c r="I19" s="121" t="e">
        <f>#REF!</f>
        <v>#REF!</v>
      </c>
      <c r="J19" s="684" t="e">
        <f ca="1">I19+G19</f>
        <v>#REF!</v>
      </c>
      <c r="K19" s="294" t="s">
        <v>1294</v>
      </c>
      <c r="L19" s="294">
        <f>IF(C1="",'数据-汇总表'!D3,SUMIF(项目类型,C1,'数据-汇总表'!D17:D26)+SUMIF(项目类型,C1,'数据-汇总表'!H17:H27))</f>
        <v>14159.619999999999</v>
      </c>
      <c r="M19" s="294">
        <f>IF(C1="",'数据-汇总表'!D3,SUMIF(项目类型,C1,'数据-汇总表'!D17:D26))</f>
        <v>14159.619999999999</v>
      </c>
    </row>
    <row r="20" spans="1:36" ht="15">
      <c r="A20" s="1632"/>
      <c r="B20" s="43" t="s">
        <v>1295</v>
      </c>
      <c r="C20" s="129">
        <f ca="1">SUMIF(INDIRECT("'"&amp;C4&amp;"'"&amp;"!A:A"),结果表!B20,INDIRECT("'"&amp;C4&amp;"'"&amp;"!B:B"))</f>
        <v>4052</v>
      </c>
      <c r="D20" s="130">
        <f ca="1">SUMIF(INDIRECT("'"&amp;D4&amp;"'"&amp;"!A:A"),结果表!B20,INDIRECT("'"&amp;D4&amp;"'"&amp;"!B:B"))</f>
        <v>5338</v>
      </c>
      <c r="E20" s="1632"/>
      <c r="F20" s="43" t="s">
        <v>1295</v>
      </c>
      <c r="G20" s="131">
        <f ca="1">ROUND(C20*$C$18+D20*$D$18,0)</f>
        <v>4695</v>
      </c>
      <c r="H20" s="760" t="s">
        <v>1296</v>
      </c>
      <c r="I20" s="121" t="s">
        <v>3446</v>
      </c>
      <c r="J20" s="684">
        <f ca="1">Q59</f>
        <v>3162</v>
      </c>
    </row>
    <row r="21" spans="1:36" ht="15" customHeight="1" thickBot="1">
      <c r="A21" s="449"/>
      <c r="B21" s="93" t="s">
        <v>1297</v>
      </c>
      <c r="C21" s="678">
        <f ca="1">ROUND(C19*10000/L19,0)</f>
        <v>2142</v>
      </c>
      <c r="D21" s="679">
        <f ca="1">ROUND(D19*10000/L19,0)</f>
        <v>2822</v>
      </c>
      <c r="E21" s="449"/>
      <c r="F21" s="93" t="s">
        <v>1297</v>
      </c>
      <c r="G21" s="132">
        <f ca="1">ROUND(G19*10000/L19,0)</f>
        <v>2482</v>
      </c>
      <c r="H21" s="1633" t="s">
        <v>1296</v>
      </c>
      <c r="I21" s="121"/>
      <c r="J21" s="684" t="e">
        <f>#REF!</f>
        <v>#REF!</v>
      </c>
    </row>
    <row r="22" spans="1:36" ht="15" thickBot="1">
      <c r="A22" s="1564" t="s">
        <v>1298</v>
      </c>
      <c r="B22" s="1634"/>
      <c r="C22" s="1635"/>
      <c r="D22" s="680">
        <f ca="1">IF(C19&lt;D19,D19/C19-1,C19/D19-1)</f>
        <v>0.31750741839762608</v>
      </c>
      <c r="E22" s="121"/>
      <c r="F22" s="121"/>
      <c r="G22" s="121"/>
      <c r="H22" s="121"/>
      <c r="I22" s="121"/>
      <c r="J22" s="684" t="e">
        <f ca="1">J20+J21</f>
        <v>#REF!</v>
      </c>
    </row>
    <row r="23" spans="1:36" ht="13.5" thickBot="1">
      <c r="A23" s="646"/>
      <c r="B23" s="646"/>
      <c r="C23" s="646"/>
      <c r="D23" s="646"/>
      <c r="E23" s="121"/>
      <c r="F23" s="121"/>
      <c r="G23" s="121"/>
      <c r="H23" s="121"/>
      <c r="I23" s="121"/>
    </row>
    <row r="24" spans="1:36" ht="14.25">
      <c r="A24" s="3256" t="s">
        <v>1299</v>
      </c>
      <c r="B24" s="1630" t="s">
        <v>1291</v>
      </c>
      <c r="C24" s="128">
        <f>IF(B30=0,0,D30)</f>
        <v>0</v>
      </c>
      <c r="D24" s="1636"/>
      <c r="E24" s="121"/>
      <c r="F24" s="121"/>
      <c r="G24" s="121"/>
      <c r="H24" s="121"/>
      <c r="I24" s="121"/>
    </row>
    <row r="25" spans="1:36" ht="14.25">
      <c r="A25" s="32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3515</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1645</v>
      </c>
      <c r="D34" s="808">
        <f ca="1">IF(C33="自定义",ROUND(C34/C32,3),IF(C33="收益比率",SUMIF(INDIRECT("'"&amp;D33&amp;"'"&amp;"!b:b"),"土地收益比率",INDIRECT("'"&amp;D33&amp;"'"&amp;"!c:c")),SUMIF(INDIRECT("'"&amp;D33&amp;"'"&amp;"!b:b"),"土地成本比率",INDIRECT("'"&amp;D33&amp;"'"&amp;"!c:c"))))</f>
        <v>0.46799999999999997</v>
      </c>
      <c r="E34" s="1647" t="s">
        <v>1309</v>
      </c>
      <c r="F34" s="1243"/>
      <c r="G34" s="121"/>
      <c r="H34" s="121"/>
      <c r="I34" s="121"/>
    </row>
    <row r="35" spans="1:17" ht="15.75" thickBot="1">
      <c r="A35" s="1648"/>
      <c r="B35" s="1649" t="s">
        <v>1310</v>
      </c>
      <c r="C35" s="1090">
        <f ca="1">IF(C33="自定义",F35,ROUND(C32*D35,0))</f>
        <v>1870</v>
      </c>
      <c r="D35" s="1091">
        <f ca="1">IF(C33="自定义",ROUND(C35/C32,3),IF(C33="收益比率",SUMIF(INDIRECT("'"&amp;D33&amp;"'"&amp;"!b:b"),"建筑物收益比率",INDIRECT("'"&amp;D33&amp;"'"&amp;"!c:c")),SUMIF(INDIRECT("'"&amp;D33&amp;"'"&amp;"!b:b"),"建筑物成本比率",INDIRECT("'"&amp;D33&amp;"'"&amp;"!c:c"))))</f>
        <v>0.53200000000000003</v>
      </c>
      <c r="E35" s="1650" t="s">
        <v>1311</v>
      </c>
      <c r="F35" s="146"/>
      <c r="G35" s="121"/>
      <c r="H35" s="121"/>
      <c r="I35" s="121"/>
    </row>
    <row r="36" spans="1:17" ht="15.75" thickBot="1">
      <c r="A36" s="3276" t="s">
        <v>1312</v>
      </c>
      <c r="B36" s="1651" t="s">
        <v>1313</v>
      </c>
      <c r="C36" s="137"/>
      <c r="D36" s="1652"/>
      <c r="E36" s="1567"/>
      <c r="F36" s="1653"/>
      <c r="G36" s="121"/>
      <c r="H36" s="121"/>
      <c r="I36" s="121"/>
    </row>
    <row r="37" spans="1:17" ht="15.75" thickBot="1">
      <c r="A37" s="3277"/>
      <c r="B37" s="1555" t="s">
        <v>1314</v>
      </c>
      <c r="C37" s="139"/>
      <c r="D37" s="1071"/>
      <c r="E37" s="1071"/>
      <c r="F37" s="1653"/>
      <c r="G37" s="121"/>
      <c r="H37" s="121"/>
      <c r="I37" s="121"/>
    </row>
    <row r="38" spans="1:17" ht="15.75" thickBot="1">
      <c r="A38" s="3278"/>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253" t="s">
        <v>1326</v>
      </c>
      <c r="B45" s="3254"/>
      <c r="C45" s="3255"/>
      <c r="D45" s="147">
        <f ca="1">ROUND(H101*F45,0)</f>
        <v>3515</v>
      </c>
      <c r="E45" s="148" t="s">
        <v>1327</v>
      </c>
      <c r="F45" s="149">
        <v>1</v>
      </c>
      <c r="G45" s="150" t="s">
        <v>1328</v>
      </c>
      <c r="H45" s="121"/>
      <c r="I45" s="121"/>
      <c r="J45" s="3331" t="s">
        <v>1329</v>
      </c>
      <c r="K45" s="3331"/>
      <c r="L45" s="3331"/>
      <c r="M45" s="3331"/>
      <c r="N45" s="3331"/>
      <c r="O45" s="3331"/>
    </row>
    <row r="46" spans="1:17" ht="14.25" customHeight="1">
      <c r="A46" s="3250" t="s">
        <v>1330</v>
      </c>
      <c r="B46" s="3251"/>
      <c r="C46" s="3251"/>
      <c r="D46" s="3251"/>
      <c r="E46" s="3251"/>
      <c r="F46" s="3251"/>
      <c r="G46" s="3252"/>
      <c r="H46" s="1667"/>
      <c r="I46" s="151"/>
      <c r="J46" s="2309">
        <v>1</v>
      </c>
      <c r="K46" s="3312" t="s">
        <v>1331</v>
      </c>
      <c r="L46" s="3312"/>
      <c r="M46" s="3332"/>
      <c r="N46" s="3332"/>
      <c r="O46" s="3332"/>
    </row>
    <row r="47" spans="1:17"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45600</v>
      </c>
      <c r="N47" s="3333"/>
      <c r="O47" s="3333"/>
      <c r="Q47" s="2309" t="s">
        <v>3440</v>
      </c>
    </row>
    <row r="48" spans="1:17" ht="25.5">
      <c r="A48" s="3281" t="s">
        <v>1338</v>
      </c>
      <c r="B48" s="3264"/>
      <c r="C48" s="3264"/>
      <c r="D48" s="12">
        <f ca="1">IF(H48="情况1",0,IF(H48="情况2",D52,IF(H48="情况3",D53,IF(H48="情况4",D54))))</f>
        <v>184</v>
      </c>
      <c r="E48" s="1256" t="str">
        <f>IF(H48="情况4","(销售额-原购置价)×税（费）率","销售额×税（费）率")</f>
        <v>销售额×税（费）率</v>
      </c>
      <c r="F48" s="2334">
        <f>IF(H48="情况1","免征",'数据-取费表'!B41)</f>
        <v>5.5000000000000007E-2</v>
      </c>
      <c r="G48" s="2335" t="s">
        <v>1339</v>
      </c>
      <c r="H48" s="2336" t="s">
        <v>3441</v>
      </c>
      <c r="I48" s="1667"/>
      <c r="J48" s="2309">
        <v>3</v>
      </c>
      <c r="K48" s="3312" t="s">
        <v>1340</v>
      </c>
      <c r="L48" s="3312"/>
      <c r="M48" s="3334">
        <f ca="1">H101</f>
        <v>3515</v>
      </c>
      <c r="N48" s="3334"/>
      <c r="O48" s="3334"/>
      <c r="Q48" s="2309">
        <f ca="1">M48</f>
        <v>3515</v>
      </c>
    </row>
    <row r="49" spans="1:35" ht="25.5" customHeight="1">
      <c r="A49" s="2151" t="s">
        <v>1341</v>
      </c>
      <c r="B49" s="3248" t="s">
        <v>1342</v>
      </c>
      <c r="C49" s="3248"/>
      <c r="D49" s="1478">
        <v>0</v>
      </c>
      <c r="E49" s="316" t="s">
        <v>1343</v>
      </c>
      <c r="F49" s="2232" t="s">
        <v>28</v>
      </c>
      <c r="G49" s="3318"/>
      <c r="H49" s="2133" t="s">
        <v>2134</v>
      </c>
      <c r="I49" s="2134"/>
      <c r="J49" s="2309">
        <v>4</v>
      </c>
      <c r="K49" s="3312" t="str">
        <f>IF(项目基本情况!E8="房地产抵押价值","房地产抵押价值","抵押担保权已注销时的房地产抵押价值")</f>
        <v>房地产抵押价值</v>
      </c>
      <c r="L49" s="3312"/>
      <c r="M49" s="3334">
        <f ca="1">IF(项目基本情况!E8="房地产抵押价值",H107,H109)</f>
        <v>3515</v>
      </c>
      <c r="N49" s="3334"/>
      <c r="O49" s="3334"/>
      <c r="Q49" s="2309">
        <f ca="1">M49</f>
        <v>3515</v>
      </c>
    </row>
    <row r="50" spans="1:35" ht="25.5" customHeight="1">
      <c r="A50" s="2337"/>
      <c r="B50" s="3248" t="s">
        <v>1344</v>
      </c>
      <c r="C50" s="3248"/>
      <c r="D50" s="2188"/>
      <c r="E50" s="323"/>
      <c r="F50" s="2232"/>
      <c r="G50" s="3319"/>
      <c r="H50" s="2135" t="s">
        <v>2135</v>
      </c>
      <c r="I50" s="2134"/>
      <c r="J50" s="3331" t="s">
        <v>1345</v>
      </c>
      <c r="K50" s="3331"/>
      <c r="L50" s="3331"/>
      <c r="M50" s="3331"/>
      <c r="N50" s="3331"/>
      <c r="O50" s="3331"/>
      <c r="Q50" s="2309"/>
    </row>
    <row r="51" spans="1:35" ht="20.45" customHeight="1">
      <c r="A51" s="2338"/>
      <c r="B51" s="3248" t="s">
        <v>1346</v>
      </c>
      <c r="C51" s="3248"/>
      <c r="D51" s="1024"/>
      <c r="E51" s="319"/>
      <c r="F51" s="2232"/>
      <c r="G51" s="3320"/>
      <c r="H51" s="2135" t="s">
        <v>2136</v>
      </c>
      <c r="I51" s="2134"/>
      <c r="J51" s="2310" t="s">
        <v>1347</v>
      </c>
      <c r="K51" s="3312" t="s">
        <v>1348</v>
      </c>
      <c r="L51" s="3312"/>
      <c r="M51" s="2310" t="s">
        <v>1349</v>
      </c>
      <c r="N51" s="2310" t="s">
        <v>1350</v>
      </c>
      <c r="O51" s="2310" t="s">
        <v>1351</v>
      </c>
      <c r="Q51" s="2309"/>
    </row>
    <row r="52" spans="1:35" ht="24" customHeight="1">
      <c r="A52" s="2152" t="s">
        <v>1352</v>
      </c>
      <c r="B52" s="3248" t="s">
        <v>1353</v>
      </c>
      <c r="C52" s="3248"/>
      <c r="D52" s="1024">
        <f ca="1">ROUND(D45*'数据-取费表'!B41/(1+'数据-取费表'!C42),0)</f>
        <v>184</v>
      </c>
      <c r="E52" s="1256" t="s">
        <v>1354</v>
      </c>
      <c r="F52" s="2339">
        <f>'数据-取费表'!B41</f>
        <v>5.5000000000000007E-2</v>
      </c>
      <c r="G52" s="2340"/>
      <c r="H52" s="2330"/>
      <c r="I52" s="1668"/>
      <c r="J52" s="2309">
        <v>1</v>
      </c>
      <c r="K52" s="3313" t="s">
        <v>1355</v>
      </c>
      <c r="L52" s="3313"/>
      <c r="M52" s="2311">
        <f ca="1">D48</f>
        <v>184</v>
      </c>
      <c r="N52" s="2309" t="str">
        <f>E48</f>
        <v>销售额×税（费）率</v>
      </c>
      <c r="O52" s="2312">
        <f>F48</f>
        <v>5.5000000000000007E-2</v>
      </c>
      <c r="Q52" s="2309">
        <f ca="1">M52</f>
        <v>184</v>
      </c>
    </row>
    <row r="53" spans="1:35" ht="12" customHeight="1">
      <c r="A53" s="2152" t="s">
        <v>1356</v>
      </c>
      <c r="B53" s="3274" t="s">
        <v>2282</v>
      </c>
      <c r="C53" s="3275"/>
      <c r="D53" s="1024">
        <f ca="1">ROUND(D45*'数据-取费表'!B41/(1+'数据-取费表'!C42),0)</f>
        <v>184</v>
      </c>
      <c r="E53" s="1256" t="s">
        <v>1354</v>
      </c>
      <c r="F53" s="2339">
        <f>'数据-取费表'!B41</f>
        <v>5.5000000000000007E-2</v>
      </c>
      <c r="G53" s="2340"/>
      <c r="H53" s="2330"/>
      <c r="I53" s="1668"/>
      <c r="J53" s="2309">
        <v>2</v>
      </c>
      <c r="K53" s="3313" t="s">
        <v>1357</v>
      </c>
      <c r="L53" s="3313"/>
      <c r="M53" s="2311">
        <f t="shared" ref="M53:O54" ca="1" si="0">D55</f>
        <v>2</v>
      </c>
      <c r="N53" s="2309" t="str">
        <f t="shared" si="0"/>
        <v>销售额×税（费）率</v>
      </c>
      <c r="O53" s="2312">
        <f t="shared" si="0"/>
        <v>5.0000000000000001E-4</v>
      </c>
      <c r="Q53" s="2309">
        <f ca="1">ROUND(Q49*O53,0)</f>
        <v>2</v>
      </c>
    </row>
    <row r="54" spans="1:35" ht="12" customHeight="1">
      <c r="A54" s="2152" t="s">
        <v>1358</v>
      </c>
      <c r="B54" s="3274" t="s">
        <v>2283</v>
      </c>
      <c r="C54" s="3275"/>
      <c r="D54" s="1024">
        <f ca="1">C68</f>
        <v>0</v>
      </c>
      <c r="E54" s="319" t="s">
        <v>1359</v>
      </c>
      <c r="F54" s="2339">
        <f>'数据-取费表'!B41</f>
        <v>5.5000000000000007E-2</v>
      </c>
      <c r="G54" s="2340"/>
      <c r="H54" s="2341"/>
      <c r="I54" s="1668"/>
      <c r="J54" s="2309">
        <v>3</v>
      </c>
      <c r="K54" s="3313" t="s">
        <v>1360</v>
      </c>
      <c r="L54" s="3313"/>
      <c r="M54" s="2311">
        <f t="shared" ca="1" si="0"/>
        <v>0</v>
      </c>
      <c r="N54" s="2309" t="str">
        <f t="shared" si="0"/>
        <v>增值额×税（费）率</v>
      </c>
      <c r="O54" s="2313" t="str">
        <f t="shared" si="0"/>
        <v>——</v>
      </c>
      <c r="Q54" s="2309">
        <f ca="1">ROUND(Q49/1.05*0.05,0)</f>
        <v>167</v>
      </c>
    </row>
    <row r="55" spans="1:35" ht="24" customHeight="1">
      <c r="A55" s="3263" t="s">
        <v>1361</v>
      </c>
      <c r="B55" s="3264"/>
      <c r="C55" s="3264"/>
      <c r="D55" s="12">
        <f ca="1">IF(H55="个人住宅",0,ROUND(D45*I55,0))</f>
        <v>2</v>
      </c>
      <c r="E55" s="1256" t="s">
        <v>1362</v>
      </c>
      <c r="F55" s="2339">
        <f>IF(H55="正常",I55,"免征")</f>
        <v>5.0000000000000001E-4</v>
      </c>
      <c r="G55" s="2340"/>
      <c r="H55" s="2336" t="s">
        <v>3429</v>
      </c>
      <c r="I55" s="157">
        <f>'数据-取费表'!B49</f>
        <v>5.0000000000000001E-4</v>
      </c>
      <c r="J55" s="2309" t="str">
        <f>IF(H59="非个人房产","",4)</f>
        <v/>
      </c>
      <c r="K55" s="3313" t="str">
        <f>IF(H59="非个人房产","——","个人所得税")</f>
        <v>——</v>
      </c>
      <c r="L55" s="3313"/>
      <c r="M55" s="2314" t="str">
        <f>D59</f>
        <v>——</v>
      </c>
      <c r="N55" s="1882" t="str">
        <f>E59</f>
        <v>——</v>
      </c>
      <c r="O55" s="2315" t="str">
        <f>F59</f>
        <v>——</v>
      </c>
      <c r="Q55" s="2309"/>
    </row>
    <row r="56" spans="1:35" ht="24.75">
      <c r="A56" s="3263" t="s">
        <v>1363</v>
      </c>
      <c r="B56" s="3264"/>
      <c r="C56" s="3264"/>
      <c r="D56" s="12">
        <f ca="1">IF(H56="个人住宅",D57,D58)</f>
        <v>0</v>
      </c>
      <c r="E56" s="1256" t="s">
        <v>1364</v>
      </c>
      <c r="F56" s="2339" t="str">
        <f>IF(H56="正常",F58,"免征")</f>
        <v>——</v>
      </c>
      <c r="G56" s="2342" t="s">
        <v>1365</v>
      </c>
      <c r="H56" s="2343" t="s">
        <v>3429</v>
      </c>
      <c r="I56" s="1669"/>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c r="Q56" s="2309"/>
    </row>
    <row r="57" spans="1:35" ht="12.75">
      <c r="A57" s="2152" t="s">
        <v>1341</v>
      </c>
      <c r="B57" s="3274" t="s">
        <v>1366</v>
      </c>
      <c r="C57" s="3275"/>
      <c r="D57" s="1478">
        <v>0</v>
      </c>
      <c r="E57" s="316" t="s">
        <v>1343</v>
      </c>
      <c r="F57" s="294"/>
      <c r="G57" s="2340"/>
      <c r="H57" s="2344"/>
      <c r="I57" s="1669"/>
      <c r="J57" s="3313">
        <f>IF(AND(J55="",J56=""),4,IF(项目基本情况!K6="上海银行",结果表!J56+1,结果表!J55+1))</f>
        <v>4</v>
      </c>
      <c r="K57" s="3313" t="s">
        <v>1367</v>
      </c>
      <c r="L57" s="2316" t="s">
        <v>1368</v>
      </c>
      <c r="M57" s="2317"/>
      <c r="N57" s="2318">
        <f ca="1">SUMIF(M52:M56,"&lt;9e307")</f>
        <v>186</v>
      </c>
      <c r="O57" s="2319"/>
      <c r="P57" s="2464">
        <f ca="1">N57/M49</f>
        <v>5.2916073968705547E-2</v>
      </c>
      <c r="Q57" s="2309">
        <f ca="1">SUM(Q52:Q54)</f>
        <v>353</v>
      </c>
      <c r="R57" s="2464">
        <f ca="1">Q57/Q49</f>
        <v>0.10042674253200569</v>
      </c>
    </row>
    <row r="58" spans="1:35" ht="24.75">
      <c r="A58" s="2152" t="s">
        <v>1352</v>
      </c>
      <c r="B58" s="3274" t="s">
        <v>1369</v>
      </c>
      <c r="C58" s="3248"/>
      <c r="D58" s="12">
        <f ca="1">IF(H58="转让取得",C81,C97)</f>
        <v>0</v>
      </c>
      <c r="E58" s="1256" t="s">
        <v>1364</v>
      </c>
      <c r="F58" s="294" t="s">
        <v>28</v>
      </c>
      <c r="G58" s="2340"/>
      <c r="H58" s="3156" t="s">
        <v>3442</v>
      </c>
      <c r="I58" s="1669"/>
      <c r="J58" s="3313"/>
      <c r="K58" s="3313"/>
      <c r="L58" s="2316" t="s">
        <v>1370</v>
      </c>
      <c r="M58" s="2320"/>
      <c r="N58" s="2321" t="str">
        <f ca="1">NUMBERSTRING(INT(N57*10000),2)&amp;"元整"</f>
        <v>壹佰捌拾陆万元整</v>
      </c>
      <c r="O58" s="2322"/>
      <c r="Q58" s="2309" t="str">
        <f ca="1">NUMBERSTRING(INT(Q57*10000),2)&amp;"元整"</f>
        <v>叁佰伍拾叁万元整</v>
      </c>
    </row>
    <row r="59" spans="1:35" ht="24.75" thickBot="1">
      <c r="A59" s="3316" t="s">
        <v>1371</v>
      </c>
      <c r="B59" s="3317"/>
      <c r="C59" s="3317"/>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314">
        <f>J57+1</f>
        <v>5</v>
      </c>
      <c r="K59" s="3313" t="s">
        <v>1372</v>
      </c>
      <c r="L59" s="2309" t="s">
        <v>1368</v>
      </c>
      <c r="M59" s="2323"/>
      <c r="N59" s="2324">
        <f ca="1">M49-N57</f>
        <v>3329</v>
      </c>
      <c r="O59" s="2325"/>
      <c r="P59" s="3155">
        <f ca="1">N59/M49</f>
        <v>0.94708392603129443</v>
      </c>
      <c r="Q59" s="2309">
        <f ca="1">Q49-Q57</f>
        <v>3162</v>
      </c>
      <c r="R59" s="2464">
        <f ca="1">Q59/Q49</f>
        <v>0.89957325746799432</v>
      </c>
    </row>
    <row r="60" spans="1:35" ht="12" customHeight="1">
      <c r="A60" s="1670"/>
      <c r="B60" s="646"/>
      <c r="C60" s="646"/>
      <c r="D60" s="646"/>
      <c r="E60" s="1466"/>
      <c r="F60" s="1669"/>
      <c r="G60" s="1669"/>
      <c r="H60" s="151"/>
      <c r="I60" s="121"/>
      <c r="J60" s="3315"/>
      <c r="K60" s="3313"/>
      <c r="L60" s="2316" t="s">
        <v>1370</v>
      </c>
      <c r="M60" s="2320"/>
      <c r="N60" s="2321" t="str">
        <f ca="1">NUMBERSTRING(INT(N59*10000),2)&amp;"元整"</f>
        <v>叁仟叁佰贰拾玖万元整</v>
      </c>
      <c r="O60" s="2322"/>
      <c r="Q60" s="2309" t="str">
        <f ca="1">NUMBERSTRING(INT(Q59*10000),2)&amp;"元整"</f>
        <v>叁仟壹佰陆拾贰万元整</v>
      </c>
    </row>
    <row r="61" spans="1:35" ht="13.5" thickBot="1">
      <c r="A61" s="3261" t="s">
        <v>1373</v>
      </c>
      <c r="B61" s="3261"/>
      <c r="C61" s="3261"/>
      <c r="D61" s="3261"/>
      <c r="E61" s="3261"/>
      <c r="F61" s="1669"/>
      <c r="G61" s="1669"/>
      <c r="H61" s="151"/>
      <c r="I61" s="121"/>
      <c r="J61" s="2309">
        <f>J59+1</f>
        <v>6</v>
      </c>
      <c r="K61" s="3313" t="s">
        <v>1374</v>
      </c>
      <c r="L61" s="3313"/>
      <c r="M61" s="2326"/>
      <c r="N61" s="2327">
        <f ca="1">ROUND(N59*10000/'数据-汇总表'!E3,0)</f>
        <v>4447</v>
      </c>
      <c r="O61" s="2328"/>
      <c r="Q61" s="2309">
        <f ca="1">ROUND(Q59*10000/'数据-汇总表'!E3,0)</f>
        <v>4224</v>
      </c>
    </row>
    <row r="62" spans="1:35" ht="12.75">
      <c r="A62" s="3279" t="s">
        <v>1375</v>
      </c>
      <c r="B62" s="3280"/>
      <c r="C62" s="1864"/>
      <c r="D62" s="1864" t="s">
        <v>1376</v>
      </c>
      <c r="E62" s="158" t="s">
        <v>1377</v>
      </c>
      <c r="F62" s="1669"/>
      <c r="G62" s="1669"/>
      <c r="H62" s="151"/>
      <c r="I62" s="121"/>
    </row>
    <row r="63" spans="1:35" ht="12.75">
      <c r="A63" s="165" t="s">
        <v>330</v>
      </c>
      <c r="B63" s="159" t="s">
        <v>1378</v>
      </c>
      <c r="C63" s="2349">
        <f ca="1">ROUND((C64+C65)/(1+'数据-取费表'!C42),0)</f>
        <v>3348</v>
      </c>
      <c r="D63" s="159"/>
      <c r="E63" s="160"/>
      <c r="F63" s="1669"/>
      <c r="G63" s="1669"/>
      <c r="H63" s="151"/>
      <c r="I63" s="121"/>
      <c r="J63" s="3338" t="s">
        <v>1379</v>
      </c>
      <c r="K63" s="1245" t="s">
        <v>1380</v>
      </c>
      <c r="L63" s="1245">
        <f ca="1">IF(M49&gt;10000,M49*0.5%,IF(AND(M49&gt;1000,M49&lt;=10000),M49*1%,IF(AND(M49&gt;100,M49&lt;=1000),M49*3%,IF(AND(M49&gt;10,M49&lt;=100),M49*5%,M49*8%))))</f>
        <v>35.15</v>
      </c>
      <c r="M63" s="294">
        <f ca="1">ROUND(L63,1)</f>
        <v>35.200000000000003</v>
      </c>
      <c r="N63" s="2329"/>
      <c r="Z63" s="1622"/>
      <c r="AI63" s="1561"/>
    </row>
    <row r="64" spans="1:35" ht="14.25" customHeight="1">
      <c r="A64" s="161" t="s">
        <v>325</v>
      </c>
      <c r="B64" s="162" t="s">
        <v>1381</v>
      </c>
      <c r="C64" s="2350">
        <f ca="1">D45</f>
        <v>3515</v>
      </c>
      <c r="D64" s="162" t="s">
        <v>26</v>
      </c>
      <c r="E64" s="164"/>
      <c r="F64" s="1669"/>
      <c r="G64" s="1669"/>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17.574999999999999</v>
      </c>
      <c r="M64" s="294">
        <f t="shared" ref="M64:M65" ca="1" si="1">ROUND(L64,1)</f>
        <v>17.600000000000001</v>
      </c>
      <c r="N64" s="2330" t="s">
        <v>1383</v>
      </c>
      <c r="Z64" s="1622"/>
      <c r="AI64" s="1561"/>
    </row>
    <row r="65" spans="1:35" ht="14.25" customHeight="1">
      <c r="A65" s="161" t="s">
        <v>326</v>
      </c>
      <c r="B65" s="162" t="s">
        <v>1384</v>
      </c>
      <c r="C65" s="2351"/>
      <c r="D65" s="162"/>
      <c r="E65" s="164"/>
      <c r="F65" s="1669"/>
      <c r="G65" s="1669"/>
      <c r="H65" s="151"/>
      <c r="I65" s="121"/>
      <c r="J65" s="3338"/>
      <c r="K65" s="1245" t="s">
        <v>1385</v>
      </c>
      <c r="L65" s="1245">
        <f ca="1">IF(M49&gt;1000,M49*0.1%,IF(AND(M49&gt;500,M49&lt;=1000),M49*0.5%,IF(AND(M49&gt;50,M49&lt;=500),M49*1%,IF(AND(M49&gt;1,M49&lt;=50),M49*1.5%))))</f>
        <v>3.5150000000000001</v>
      </c>
      <c r="M65" s="294">
        <f t="shared" ca="1" si="1"/>
        <v>3.5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338"/>
      <c r="K66" s="1245" t="s">
        <v>1387</v>
      </c>
      <c r="L66" s="1245">
        <f ca="1">M49*0.5%</f>
        <v>17.574999999999999</v>
      </c>
      <c r="M66" s="294">
        <f ca="1">IF(L66&gt;0.5,0.5,ROUND(L66,0))</f>
        <v>0.5</v>
      </c>
      <c r="N66" s="2330" t="s">
        <v>1388</v>
      </c>
      <c r="Z66" s="1622"/>
      <c r="AI66" s="1561"/>
    </row>
    <row r="67" spans="1:35" ht="14.25" customHeight="1">
      <c r="A67" s="165" t="s">
        <v>328</v>
      </c>
      <c r="B67" s="166" t="s">
        <v>1389</v>
      </c>
      <c r="C67" s="2353">
        <f ca="1">C63-C66</f>
        <v>-482</v>
      </c>
      <c r="D67" s="162" t="s">
        <v>26</v>
      </c>
      <c r="E67" s="164"/>
      <c r="F67" s="1669"/>
      <c r="G67" s="1669"/>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1"/>
    </row>
    <row r="68" spans="1:35" ht="14.25" customHeight="1" thickBot="1">
      <c r="A68" s="168" t="s">
        <v>329</v>
      </c>
      <c r="B68" s="169" t="s">
        <v>1391</v>
      </c>
      <c r="C68" s="2354">
        <f ca="1">IF(C67&lt;=0,0,ROUND(C67*D68,0))</f>
        <v>0</v>
      </c>
      <c r="D68" s="2355">
        <f>'数据-取费表'!B41</f>
        <v>5.5000000000000007E-2</v>
      </c>
      <c r="E68" s="170"/>
      <c r="F68" s="1669"/>
      <c r="G68" s="1669"/>
      <c r="H68" s="151"/>
      <c r="I68" s="121"/>
      <c r="J68" s="3338"/>
      <c r="K68" s="1245" t="s">
        <v>1392</v>
      </c>
      <c r="L68" s="1245">
        <f ca="1">IF(M49&gt;10000,M49*0.5%,IF(AND(M49&gt;5000,M49&lt;=10000),M49*1%,IF(AND(M49&gt;1000,M49&lt;=5000),M49*2%,IF(AND(M49&gt;200,M49&lt;=1000),M49*3%,M49*5%))))</f>
        <v>70.3</v>
      </c>
      <c r="M68" s="294">
        <f ca="1">ROUND(L68,1)</f>
        <v>70.3</v>
      </c>
      <c r="N68" s="2329"/>
      <c r="Z68" s="1622"/>
      <c r="AI68" s="1561"/>
    </row>
    <row r="69" spans="1:35" ht="16.5" customHeight="1">
      <c r="A69" s="1671"/>
      <c r="B69" s="1672"/>
      <c r="C69" s="1673"/>
      <c r="D69" s="1674"/>
      <c r="E69" s="1675"/>
      <c r="F69" s="1466"/>
      <c r="G69" s="1466"/>
      <c r="H69" s="1467"/>
      <c r="I69" s="646"/>
      <c r="J69" s="3338"/>
      <c r="K69" s="1245" t="s">
        <v>1393</v>
      </c>
      <c r="L69" s="1245"/>
      <c r="M69" s="294">
        <f ca="1">ROUND(SUM(M63:M68),0)</f>
        <v>130</v>
      </c>
      <c r="N69" s="2331">
        <f ca="1">M69/M49</f>
        <v>3.6984352773826459E-2</v>
      </c>
      <c r="Z69" s="1622"/>
      <c r="AI69" s="1561"/>
    </row>
    <row r="70" spans="1:35" s="642" customFormat="1" ht="15"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9" t="s">
        <v>1375</v>
      </c>
      <c r="B71" s="32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3348</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3964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4" t="s">
        <v>1402</v>
      </c>
      <c r="F76" s="3248"/>
      <c r="G76" s="3248"/>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v>
      </c>
      <c r="D78" s="2362">
        <f>'数据-取费表'!B43</f>
        <v>5.000000000000001E-3</v>
      </c>
      <c r="E78" s="3258" t="s">
        <v>1406</v>
      </c>
      <c r="F78" s="3259"/>
      <c r="G78" s="3259"/>
      <c r="H78" s="32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-616</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9" t="s">
        <v>1375</v>
      </c>
      <c r="B84" s="32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3348</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0" t="s">
        <v>2129</v>
      </c>
      <c r="H90" s="3341"/>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8" t="s">
        <v>1419</v>
      </c>
      <c r="F91" s="3259"/>
      <c r="G91" s="32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8" t="s">
        <v>1422</v>
      </c>
      <c r="F92" s="3259"/>
      <c r="G92" s="3259"/>
      <c r="H92" s="3268"/>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v>
      </c>
      <c r="D93" s="2362">
        <f>'数据-取费表'!B43</f>
        <v>5.000000000000001E-3</v>
      </c>
      <c r="E93" s="3258" t="s">
        <v>1406</v>
      </c>
      <c r="F93" s="3259"/>
      <c r="G93" s="3259"/>
      <c r="H93" s="32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9" t="s">
        <v>1426</v>
      </c>
      <c r="F94" s="3270"/>
      <c r="G94" s="3270"/>
      <c r="H94" s="32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3331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195.94117647058823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1993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成本法</v>
      </c>
      <c r="D101" s="2371" t="str">
        <f>D4</f>
        <v>收益法</v>
      </c>
      <c r="E101" s="3335" t="s">
        <v>1431</v>
      </c>
      <c r="F101" s="3292"/>
      <c r="G101" s="1686" t="s">
        <v>1432</v>
      </c>
      <c r="H101" s="2380">
        <f ca="1">H118</f>
        <v>3515</v>
      </c>
      <c r="I101" s="121"/>
    </row>
    <row r="102" spans="1:35" ht="18.75" customHeight="1">
      <c r="A102" s="3294" t="s">
        <v>1433</v>
      </c>
      <c r="B102" s="2369" t="s">
        <v>1432</v>
      </c>
      <c r="C102" s="2370">
        <f ca="1">IF(D32="楼面单价",ROUND(C19,0),C19)</f>
        <v>3033</v>
      </c>
      <c r="D102" s="2371">
        <f ca="1">IF(D32="楼面单价",ROUND(D19,0),D19)</f>
        <v>3996</v>
      </c>
      <c r="E102" s="3335"/>
      <c r="F102" s="3292"/>
      <c r="G102" s="1686" t="s">
        <v>1434</v>
      </c>
      <c r="H102" s="2340">
        <f ca="1">I118</f>
        <v>4696</v>
      </c>
      <c r="I102" s="121"/>
    </row>
    <row r="103" spans="1:35" ht="42.75" customHeight="1">
      <c r="A103" s="3294"/>
      <c r="B103" s="2369" t="s">
        <v>1434</v>
      </c>
      <c r="C103" s="2372">
        <f ca="1">C20</f>
        <v>4052</v>
      </c>
      <c r="D103" s="2373">
        <f ca="1">D20</f>
        <v>5338</v>
      </c>
      <c r="E103" s="3329" t="s">
        <v>1435</v>
      </c>
      <c r="F103" s="3330"/>
      <c r="G103" s="1687" t="s">
        <v>1436</v>
      </c>
      <c r="H103" s="2380">
        <f>IF(D36="正常操作",H104+H105+H106,H105+H106)</f>
        <v>0</v>
      </c>
      <c r="I103" s="121"/>
    </row>
    <row r="104" spans="1:35" ht="18.75" customHeight="1">
      <c r="A104" s="3294" t="s">
        <v>1437</v>
      </c>
      <c r="B104" s="2374" t="s">
        <v>1432</v>
      </c>
      <c r="C104" s="2375">
        <f ca="1">H118</f>
        <v>3515</v>
      </c>
      <c r="D104" s="2376"/>
      <c r="E104" s="1555" t="s">
        <v>1438</v>
      </c>
      <c r="F104" s="1548"/>
      <c r="G104" s="1687" t="s">
        <v>1436</v>
      </c>
      <c r="H104" s="2381">
        <f>IF(D36="同一抵押权人同一抵押物续贷",C36&amp;"（续贷，未扣减，详见特别提示）",C36)</f>
        <v>0</v>
      </c>
      <c r="I104" s="121"/>
    </row>
    <row r="105" spans="1:35" ht="18.75" customHeight="1" thickBot="1">
      <c r="A105" s="3295"/>
      <c r="B105" s="2377" t="s">
        <v>1434</v>
      </c>
      <c r="C105" s="2378">
        <f ca="1">I118</f>
        <v>4696</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91" t="str">
        <f>IF(项目基本情况!E8="已注销","——","3.房地产抵押价值")</f>
        <v>3.房地产抵押价值</v>
      </c>
      <c r="F107" s="3292"/>
      <c r="G107" s="1686" t="s">
        <v>1432</v>
      </c>
      <c r="H107" s="2380">
        <f ca="1">IF(E107="——","——",H101-H103)</f>
        <v>3515</v>
      </c>
      <c r="I107" s="121"/>
    </row>
    <row r="108" spans="1:35" ht="18.75" customHeight="1">
      <c r="A108" s="121"/>
      <c r="B108" s="121"/>
      <c r="C108" s="121"/>
      <c r="D108" s="121"/>
      <c r="E108" s="3291"/>
      <c r="F108" s="3292"/>
      <c r="G108" s="1686" t="s">
        <v>1434</v>
      </c>
      <c r="H108" s="2340">
        <f ca="1">IF(H107=H101,H102,ROUND(H107*10000/'数据-汇总表'!E3,0))</f>
        <v>4696</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6" t="s">
        <v>1432</v>
      </c>
      <c r="H109" s="2383" t="str">
        <f>IF(E109="——","——",H101-H105-H106)</f>
        <v>——</v>
      </c>
      <c r="I109" s="121"/>
    </row>
    <row r="110" spans="1:35" ht="18.75" customHeight="1">
      <c r="A110" s="121"/>
      <c r="B110" s="121"/>
      <c r="C110" s="121"/>
      <c r="D110" s="121"/>
      <c r="E110" s="3291"/>
      <c r="F110" s="3292"/>
      <c r="G110" s="1686"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4.抵押净值</v>
      </c>
      <c r="F111" s="3293"/>
      <c r="G111" s="1686" t="s">
        <v>1432</v>
      </c>
      <c r="H111" s="2380">
        <f ca="1">IF(E111="——","——",N59)</f>
        <v>3329</v>
      </c>
      <c r="I111" s="121"/>
    </row>
    <row r="112" spans="1:35" ht="18.75" customHeight="1" thickBot="1">
      <c r="A112" s="121"/>
      <c r="B112" s="121"/>
      <c r="C112" s="121"/>
      <c r="D112" s="121"/>
      <c r="E112" s="3324"/>
      <c r="F112" s="3325"/>
      <c r="G112" s="1689" t="s">
        <v>1434</v>
      </c>
      <c r="H112" s="2384">
        <f ca="1">IF(E111="——","——",N61)</f>
        <v>4447</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7485.3499999999985</v>
      </c>
      <c r="C118" s="2149">
        <f>M19</f>
        <v>14159.619999999999</v>
      </c>
      <c r="D118" s="2149">
        <f ca="1">ROUND(IF(D32="总价",C34,E118*B118/10000),0)</f>
        <v>1645</v>
      </c>
      <c r="E118" s="2149">
        <f ca="1">ROUND(IF(C33="自定义",IF(D32="楼面单价",C34,D118*10000/B118),I118-G118),0)</f>
        <v>2198</v>
      </c>
      <c r="F118" s="2149">
        <f ca="1">ROUND(IF(D32="总价",C35,G118*B118/10000),0)</f>
        <v>1870</v>
      </c>
      <c r="G118" s="2149">
        <f ca="1">ROUND(IF(D32="楼面单价",C35,F118*10000/B118),0)</f>
        <v>2498</v>
      </c>
      <c r="H118" s="2149">
        <f ca="1">ROUND(IF(D32="总价",C32,I118*B118/10000),0)</f>
        <v>3515</v>
      </c>
      <c r="I118" s="2149">
        <f ca="1">ROUND(IF(D32="楼面单价",C32,H118*10000/B118),0)</f>
        <v>4696</v>
      </c>
      <c r="J118" s="684">
        <f ca="1">D118/(C118/666.67)</f>
        <v>77.450676642452265</v>
      </c>
    </row>
    <row r="119" spans="1:27" ht="18.75" customHeight="1">
      <c r="A119" s="3262" t="s">
        <v>1452</v>
      </c>
      <c r="B119" s="3262"/>
      <c r="C119" s="3262"/>
      <c r="D119" s="3302" t="str">
        <f ca="1">NUMBERSTRING(INT(D118*10000),2)&amp;"元整"</f>
        <v>壹仟陆佰肆拾伍万元整</v>
      </c>
      <c r="E119" s="3304"/>
      <c r="F119" s="3302" t="str">
        <f ca="1">NUMBERSTRING(INT(F118*10000),2)&amp;"元整"</f>
        <v>壹仟捌佰柒拾万元整</v>
      </c>
      <c r="G119" s="3304"/>
      <c r="H119" s="3302" t="str">
        <f ca="1">NUMBERSTRING(INT(H118*10000),2)&amp;"元整"</f>
        <v>叁仟伍佰壹拾伍万元整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3515</v>
      </c>
      <c r="E122" s="3327"/>
      <c r="F122" s="3327"/>
      <c r="G122" s="3327"/>
      <c r="H122" s="3327"/>
      <c r="I122" s="3328"/>
      <c r="AA122" s="684"/>
    </row>
    <row r="123" spans="1:27" ht="18.75" customHeight="1">
      <c r="A123" s="3262" t="s">
        <v>1452</v>
      </c>
      <c r="B123" s="3262"/>
      <c r="C123" s="3262"/>
      <c r="D123" s="3302" t="str">
        <f ca="1">NUMBERSTRING(INT(D122*10000),2)&amp;"元整"</f>
        <v>叁仟伍佰壹拾伍万元整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抵押净值</v>
      </c>
      <c r="B126" s="3293"/>
      <c r="C126" s="3293"/>
      <c r="D126" s="3326">
        <f ca="1">H111</f>
        <v>3329</v>
      </c>
      <c r="E126" s="3327"/>
      <c r="F126" s="3327"/>
      <c r="G126" s="3327"/>
      <c r="H126" s="3327"/>
      <c r="I126" s="3328"/>
      <c r="AA126" s="684"/>
    </row>
    <row r="127" spans="1:27" ht="18.75" customHeight="1">
      <c r="A127" s="3262" t="s">
        <v>1452</v>
      </c>
      <c r="B127" s="3262"/>
      <c r="C127" s="3262"/>
      <c r="D127" s="3302" t="str">
        <f ca="1">NUMBERSTRING(INT(D126*10000),2)&amp;"元整"</f>
        <v>叁仟叁佰贰拾玖万元整</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3033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4052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v>
      </c>
      <c r="D5" s="203" t="s">
        <v>1469</v>
      </c>
      <c r="E5" s="204" t="s">
        <v>1470</v>
      </c>
      <c r="F5" s="204" t="s">
        <v>1471</v>
      </c>
      <c r="G5" s="205"/>
    </row>
    <row r="6" spans="1:9" s="206" customFormat="1" ht="13.5" customHeight="1">
      <c r="A6" s="732" t="s">
        <v>1472</v>
      </c>
      <c r="B6" s="207" t="s">
        <v>1473</v>
      </c>
      <c r="C6" s="208">
        <f>基准地价修正!B2</f>
        <v>963</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150</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7485.3499999999985</v>
      </c>
      <c r="E19" s="203">
        <f>'数据-取费表'!B31</f>
        <v>200</v>
      </c>
      <c r="F19" s="223"/>
      <c r="G19" s="1713" t="s">
        <v>3412</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93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1630</v>
      </c>
      <c r="D34" s="209"/>
      <c r="E34" s="212"/>
      <c r="F34" s="249">
        <f ca="1">IF('数据-取费表'!B24=0,1,IF(B1="",'数据-取费表'!N16,INDIRECT("'数据-取费表'!n"&amp;$G$1)))</f>
        <v>1</v>
      </c>
      <c r="G34" s="211" t="s">
        <v>1526</v>
      </c>
    </row>
    <row r="35" spans="1:7" ht="13.5" customHeight="1">
      <c r="A35" s="734" t="s">
        <v>351</v>
      </c>
      <c r="B35" s="207" t="s">
        <v>1527</v>
      </c>
      <c r="C35" s="212">
        <f ca="1">ROUND(C34*F35,0)</f>
        <v>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150</v>
      </c>
      <c r="D37" s="209">
        <f ca="1">D19</f>
        <v>7485.3499999999985</v>
      </c>
      <c r="E37" s="241">
        <f>'数据-取费表'!B35</f>
        <v>200</v>
      </c>
      <c r="F37" s="251"/>
      <c r="G37" s="253" t="s">
        <v>1532</v>
      </c>
    </row>
    <row r="38" spans="1:7" ht="13.5" customHeight="1">
      <c r="A38" s="734" t="s">
        <v>354</v>
      </c>
      <c r="B38" s="207" t="s">
        <v>1533</v>
      </c>
      <c r="C38" s="212">
        <f ca="1">ROUND(C34*F38,0)</f>
        <v>33</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2" t="s">
        <v>1544</v>
      </c>
    </row>
    <row r="43" spans="1:7" ht="13.5" customHeight="1">
      <c r="A43" s="734" t="s">
        <v>347</v>
      </c>
      <c r="B43" s="207" t="s">
        <v>1545</v>
      </c>
      <c r="C43" s="230">
        <f ca="1">ROUND(IF('数据-取费表'!B22&lt;=1,C39*F22*'数据-取费表'!B21/2,C39*(POWER((1+F22),'数据-取费表'!B21/2)-1)),0)</f>
        <v>1</v>
      </c>
      <c r="D43" s="230"/>
      <c r="E43" s="230"/>
      <c r="F43" s="231"/>
      <c r="G43" s="3343"/>
    </row>
    <row r="44" spans="1:7" ht="13.5" customHeight="1">
      <c r="A44" s="734" t="s">
        <v>348</v>
      </c>
      <c r="B44" s="207" t="s">
        <v>1546</v>
      </c>
      <c r="C44" s="230">
        <f ca="1">ROUND(IF('数据-取费表'!B22&lt;=1,C40*F22*'数据-取费表'!B21/2,C40*(POWER((1+F22),'数据-取费表'!B21/2)-1)),4)</f>
        <v>5.0000000000000001E-4</v>
      </c>
      <c r="D44" s="230"/>
      <c r="E44" s="230"/>
      <c r="F44" s="231"/>
      <c r="G44" s="3344"/>
    </row>
    <row r="45" spans="1:7" s="206" customFormat="1" ht="13.5" customHeight="1">
      <c r="A45" s="247" t="s">
        <v>1547</v>
      </c>
      <c r="B45" s="236" t="s">
        <v>1513</v>
      </c>
      <c r="C45" s="237">
        <f ca="1">C46</f>
        <v>155</v>
      </c>
      <c r="D45" s="227">
        <f ca="1">C47</f>
        <v>1.6000000000000001E-3</v>
      </c>
      <c r="E45" s="228" t="s">
        <v>1539</v>
      </c>
      <c r="F45" s="238">
        <f ca="1">F27</f>
        <v>0.08</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2305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1614</v>
      </c>
      <c r="D51" s="224"/>
      <c r="E51" s="224"/>
      <c r="F51" s="256"/>
      <c r="G51" s="226" t="s">
        <v>1560</v>
      </c>
    </row>
    <row r="52" spans="1:7" s="200" customFormat="1" ht="16.5" thickBot="1">
      <c r="A52" s="257" t="s">
        <v>1561</v>
      </c>
      <c r="B52" s="258"/>
      <c r="C52" s="259">
        <f ca="1">C31+C51</f>
        <v>3033</v>
      </c>
      <c r="D52" s="258"/>
      <c r="E52" s="258"/>
      <c r="F52" s="258"/>
      <c r="G52" s="260"/>
    </row>
    <row r="55" spans="1:7" ht="15">
      <c r="B55" s="262" t="s">
        <v>1562</v>
      </c>
      <c r="C55" s="263"/>
    </row>
    <row r="56" spans="1:7">
      <c r="B56" s="265" t="s">
        <v>802</v>
      </c>
      <c r="C56" s="267">
        <f ca="1">1-C57</f>
        <v>0.46799999999999997</v>
      </c>
    </row>
    <row r="57" spans="1:7">
      <c r="B57" s="265" t="s">
        <v>803</v>
      </c>
      <c r="C57" s="266">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1983.4401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1497070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1497070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1497070</v>
      </c>
      <c r="D19" s="204">
        <f ca="1">D9+D10</f>
        <v>7485.3499999999985</v>
      </c>
      <c r="E19" s="203">
        <f>'数据-取费表'!B31</f>
        <v>200</v>
      </c>
      <c r="F19" s="223"/>
      <c r="G19" s="1713"/>
    </row>
    <row r="20" spans="1:7" s="206" customFormat="1" ht="13.5" customHeight="1">
      <c r="A20" s="247" t="s">
        <v>1574</v>
      </c>
      <c r="B20" s="202" t="s">
        <v>1575</v>
      </c>
      <c r="C20" s="224">
        <f ca="1">ROUND((C5+C19)*F20,0)</f>
        <v>59883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141689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70151</v>
      </c>
      <c r="D24" s="230"/>
      <c r="E24" s="230"/>
      <c r="F24" s="231"/>
      <c r="G24" s="232" t="s">
        <v>1586</v>
      </c>
    </row>
    <row r="25" spans="1:7" s="206" customFormat="1" ht="24">
      <c r="A25" s="734" t="s">
        <v>1476</v>
      </c>
      <c r="B25" s="207" t="s">
        <v>1587</v>
      </c>
      <c r="C25" s="230">
        <f ca="1">ROUND(IF('数据-取费表'!B22&lt;=1,C20*F22*'数据-取费表'!B22/2,C20*(POWER((1+F22),'数据-取费表'!B22/2)-1)),0)</f>
        <v>1387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244322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244322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3716947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18938070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16300000</v>
      </c>
      <c r="D34" s="209"/>
      <c r="E34" s="212"/>
      <c r="F34" s="249"/>
      <c r="G34" s="211"/>
    </row>
    <row r="35" spans="1:7" ht="13.5" customHeight="1">
      <c r="A35" s="734" t="s">
        <v>351</v>
      </c>
      <c r="B35" s="207" t="s">
        <v>1527</v>
      </c>
      <c r="C35" s="212">
        <f ca="1">ROUND(C34*F35,0)</f>
        <v>815000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1497070</v>
      </c>
      <c r="D37" s="209">
        <f ca="1">D19</f>
        <v>7485.3499999999985</v>
      </c>
      <c r="E37" s="241">
        <f>'数据-取费表'!B35</f>
        <v>200</v>
      </c>
      <c r="F37" s="251"/>
      <c r="G37" s="253"/>
    </row>
    <row r="38" spans="1:7" ht="13.5" customHeight="1">
      <c r="A38" s="734" t="s">
        <v>354</v>
      </c>
      <c r="B38" s="207" t="s">
        <v>1533</v>
      </c>
      <c r="C38" s="212">
        <f ca="1">ROUND(C34*F38,0)</f>
        <v>326000</v>
      </c>
      <c r="D38" s="212"/>
      <c r="E38" s="212"/>
      <c r="F38" s="251">
        <f>'数据-取费表'!B36</f>
        <v>0.02</v>
      </c>
      <c r="G38" s="211" t="s">
        <v>1528</v>
      </c>
    </row>
    <row r="39" spans="1:7" s="206" customFormat="1" ht="13.5" customHeight="1">
      <c r="A39" s="247" t="s">
        <v>1534</v>
      </c>
      <c r="B39" s="202" t="s">
        <v>1535</v>
      </c>
      <c r="C39" s="224">
        <f ca="1">ROUND(C33*F20,0)</f>
        <v>378761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447399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438626</v>
      </c>
      <c r="D42" s="230"/>
      <c r="E42" s="230"/>
      <c r="F42" s="231"/>
      <c r="G42" s="3342" t="s">
        <v>1591</v>
      </c>
    </row>
    <row r="43" spans="1:7" ht="13.5" customHeight="1">
      <c r="A43" s="734" t="s">
        <v>347</v>
      </c>
      <c r="B43" s="207" t="s">
        <v>1545</v>
      </c>
      <c r="C43" s="230">
        <f ca="1">ROUND(IF('数据-取费表'!B22&lt;=1,C39*F22*'数据-取费表'!B20/2,C39*(POWER((1+F22),'数据-取费表'!B20/2)-1)),0)</f>
        <v>8773</v>
      </c>
      <c r="D43" s="230"/>
      <c r="E43" s="230"/>
      <c r="F43" s="231"/>
      <c r="G43" s="3343"/>
    </row>
    <row r="44" spans="1:7" ht="13.5" customHeight="1">
      <c r="A44" s="734" t="s">
        <v>348</v>
      </c>
      <c r="B44" s="207" t="s">
        <v>1546</v>
      </c>
      <c r="C44" s="230">
        <f ca="1">ROUND(IF('数据-取费表'!B22&lt;=1,C40*F22*'数据-取费表'!B20/2,C40*(POWER((1+F22),'数据-取费表'!B20/2)-1)),4)</f>
        <v>5.0000000000000001E-4</v>
      </c>
      <c r="D44" s="230"/>
      <c r="E44" s="230"/>
      <c r="F44" s="231"/>
      <c r="G44" s="3344"/>
    </row>
    <row r="45" spans="1:7" s="206" customFormat="1" ht="13.5" customHeight="1">
      <c r="A45" s="247" t="s">
        <v>1547</v>
      </c>
      <c r="B45" s="236" t="s">
        <v>1513</v>
      </c>
      <c r="C45" s="237">
        <f ca="1">C46</f>
        <v>1545346</v>
      </c>
      <c r="D45" s="227">
        <f ca="1">C47</f>
        <v>1.6000000000000001E-3</v>
      </c>
      <c r="E45" s="228" t="s">
        <v>1539</v>
      </c>
      <c r="F45" s="238">
        <f ca="1">F27</f>
        <v>0.08</v>
      </c>
      <c r="G45" s="239" t="s">
        <v>1548</v>
      </c>
    </row>
    <row r="46" spans="1:7" s="206" customFormat="1" ht="13.5" customHeight="1">
      <c r="A46" s="734" t="s">
        <v>346</v>
      </c>
      <c r="B46" s="240" t="s">
        <v>1549</v>
      </c>
      <c r="C46" s="241">
        <f ca="1">ROUND((C33+C39)*F27,0)</f>
        <v>1545346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23024934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16117454</v>
      </c>
      <c r="D51" s="224"/>
      <c r="E51" s="224"/>
      <c r="F51" s="256"/>
      <c r="G51" s="226" t="s">
        <v>1560</v>
      </c>
    </row>
    <row r="52" spans="1:7" s="200" customFormat="1" ht="16.5" thickBot="1">
      <c r="A52" s="257" t="s">
        <v>1561</v>
      </c>
      <c r="B52" s="258"/>
      <c r="C52" s="259">
        <f ca="1">C31+C51</f>
        <v>19834401</v>
      </c>
      <c r="D52" s="258"/>
      <c r="E52" s="258"/>
      <c r="F52" s="258"/>
      <c r="G52" s="260"/>
    </row>
    <row r="55" spans="1:7" ht="15">
      <c r="B55" s="262" t="s">
        <v>1562</v>
      </c>
      <c r="C55" s="263"/>
    </row>
    <row r="56" spans="1:7">
      <c r="B56" s="265" t="s">
        <v>802</v>
      </c>
      <c r="C56" s="267">
        <f ca="1">1-C57</f>
        <v>0.18700000000000006</v>
      </c>
    </row>
    <row r="57" spans="1:7">
      <c r="B57" s="265" t="s">
        <v>803</v>
      </c>
      <c r="C57" s="266">
        <f ca="1">ROUND(C51/C52,3)</f>
        <v>0.81299999999999994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7485.3499999999985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7485.3499999999985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14159.619999999999</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963</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52"/>
      <c r="B4" s="3353"/>
      <c r="C4" s="3353"/>
      <c r="D4" s="3354"/>
      <c r="E4" s="3354"/>
      <c r="F4" s="3354"/>
      <c r="G4" s="3354"/>
      <c r="H4" s="3354"/>
      <c r="I4" s="3354"/>
      <c r="J4" s="335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1"/>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6" t="s">
        <v>3247</v>
      </c>
      <c r="B20" s="159" t="s">
        <v>1994</v>
      </c>
      <c r="C20" s="3031">
        <f>ROUND(IF(F21="与级别开发程度一致",0,(G21-E21)/C21),0)</f>
        <v>0</v>
      </c>
      <c r="D20" s="3046" t="s">
        <v>1998</v>
      </c>
      <c r="E20" s="3047"/>
      <c r="F20" s="3362" t="s">
        <v>1995</v>
      </c>
      <c r="G20" s="336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7"/>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963</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面积!Y4</f>
        <v>14159.619999999999</v>
      </c>
      <c r="E33" s="727">
        <f>ROUND(C33*D33/10000,0)</f>
        <v>963</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60"/>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1"/>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61"/>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8" t="s">
        <v>3287</v>
      </c>
      <c r="B103" s="3358"/>
      <c r="C103" s="3358"/>
      <c r="D103" s="3358"/>
      <c r="E103" s="3358"/>
      <c r="F103" s="3358"/>
      <c r="G103" s="3358"/>
      <c r="H103" s="3358"/>
      <c r="I103" s="3358"/>
      <c r="J103" s="3358"/>
      <c r="K103" s="1666"/>
      <c r="L103" s="1666"/>
      <c r="M103" s="1666"/>
      <c r="N103" s="1666"/>
    </row>
    <row r="104" spans="1:14">
      <c r="A104" s="3359" t="s">
        <v>3288</v>
      </c>
      <c r="B104" s="3359" t="s">
        <v>3289</v>
      </c>
      <c r="C104" s="3090" t="s">
        <v>3290</v>
      </c>
      <c r="D104" s="3091"/>
      <c r="E104" s="3091"/>
      <c r="F104" s="3091"/>
      <c r="G104" s="3091"/>
      <c r="H104" s="3091"/>
      <c r="I104" s="3091"/>
      <c r="J104" s="3092"/>
      <c r="K104" s="3093"/>
      <c r="L104" s="3093"/>
      <c r="M104" s="3093"/>
      <c r="N104" s="3093"/>
    </row>
    <row r="105" spans="1:14">
      <c r="A105" s="3359"/>
      <c r="B105" s="3359"/>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5"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6"/>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8" t="s">
        <v>3304</v>
      </c>
      <c r="B113" s="3348"/>
      <c r="C113" s="3348"/>
      <c r="D113" s="3348"/>
      <c r="E113" s="3348"/>
      <c r="F113" s="3348"/>
      <c r="G113" s="3348"/>
      <c r="H113" s="3348"/>
      <c r="I113" s="3348"/>
      <c r="J113" s="33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8" sqref="C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3996</v>
      </c>
      <c r="C2" s="1289" t="s">
        <v>805</v>
      </c>
      <c r="D2" s="1289"/>
      <c r="E2" s="1295"/>
      <c r="F2" s="1296"/>
      <c r="G2" s="2478"/>
      <c r="H2" s="2468"/>
      <c r="I2" s="2468"/>
      <c r="J2" s="2468"/>
      <c r="K2" s="2469"/>
      <c r="L2" s="2468"/>
      <c r="M2" s="2468"/>
    </row>
    <row r="3" spans="1:37" ht="18" customHeight="1" thickBot="1">
      <c r="A3" s="1297" t="s">
        <v>806</v>
      </c>
      <c r="B3" s="1298">
        <f ca="1">IF(ISERROR(B2*10000/F43),0,ROUND(B2*10000/F43,0))</f>
        <v>5338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283</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283</v>
      </c>
      <c r="D6" s="147" t="s">
        <v>2109</v>
      </c>
      <c r="E6" s="294" t="s">
        <v>696</v>
      </c>
      <c r="F6" s="295">
        <f ca="1">INDIRECT("'数据-取费表'!u"&amp;$G$1)</f>
        <v>1.1499999999999999</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7485.3499999999985</v>
      </c>
      <c r="G7" s="1292"/>
      <c r="H7" s="296"/>
      <c r="I7" s="3367"/>
      <c r="J7" s="298"/>
      <c r="K7" s="299"/>
      <c r="L7" s="294" t="s">
        <v>697</v>
      </c>
      <c r="M7" s="295">
        <f ca="1">F7</f>
        <v>7485.3499999999985</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1614</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1630</v>
      </c>
      <c r="D14" s="1257" t="s">
        <v>708</v>
      </c>
      <c r="E14" s="1255"/>
      <c r="F14" s="311"/>
      <c r="G14" s="1292"/>
      <c r="H14" s="928" t="s">
        <v>398</v>
      </c>
      <c r="I14" s="294" t="s">
        <v>709</v>
      </c>
      <c r="J14" s="21">
        <f ca="1">C29</f>
        <v>2305</v>
      </c>
      <c r="K14" s="12"/>
      <c r="L14" s="759"/>
      <c r="M14" s="760"/>
    </row>
    <row r="15" spans="1:37" s="1304" customFormat="1" ht="18" customHeight="1" thickBot="1">
      <c r="A15" s="928" t="s">
        <v>399</v>
      </c>
      <c r="B15" s="294" t="s">
        <v>710</v>
      </c>
      <c r="C15" s="21">
        <f ca="1">ROUND(C14*F15,0)</f>
        <v>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150</v>
      </c>
      <c r="D17" s="294" t="s">
        <v>717</v>
      </c>
      <c r="E17" s="294" t="s">
        <v>718</v>
      </c>
      <c r="F17" s="23">
        <f>'数据-取费表'!B35</f>
        <v>200</v>
      </c>
      <c r="G17" s="1303"/>
      <c r="H17" s="928" t="s">
        <v>398</v>
      </c>
      <c r="I17" s="294" t="s">
        <v>719</v>
      </c>
      <c r="J17" s="2139">
        <f ca="1">ROUND(IF(AND(项目基本情况!B11="自然人",项目基本情况!B10="北京市"),J6*M17/(1+'数据-取费表'!C42),J18+J19+J20),2)</f>
        <v>2.12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1895</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2.12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14159.62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4.6100000000000003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155</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2305</v>
      </c>
      <c r="D29" s="1029"/>
      <c r="E29" s="1027"/>
      <c r="F29" s="1030"/>
      <c r="G29" s="1303"/>
      <c r="H29" s="325" t="s">
        <v>396</v>
      </c>
      <c r="I29" s="326" t="s">
        <v>768</v>
      </c>
      <c r="J29" s="327">
        <f ca="1">ROUND(J26/(1+F40)^F41,0)</f>
        <v>0</v>
      </c>
      <c r="K29" s="328" t="s">
        <v>769</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49.28</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14.82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32.340000000000003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2.12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14159.62</v>
      </c>
      <c r="G35" s="1292"/>
      <c r="H35" s="2470"/>
      <c r="I35" s="1305"/>
      <c r="J35" s="1306"/>
      <c r="K35" s="2474"/>
      <c r="L35" s="2473"/>
      <c r="M35" s="2473"/>
    </row>
    <row r="36" spans="1:18" ht="18" customHeight="1">
      <c r="A36" s="1039" t="s">
        <v>402</v>
      </c>
      <c r="B36" s="294" t="s">
        <v>738</v>
      </c>
      <c r="C36" s="21">
        <f ca="1">ROUND(C29*F36,2)</f>
        <v>4.6100000000000003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1.61</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2.83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225</v>
      </c>
      <c r="D39" s="1032" t="s">
        <v>773</v>
      </c>
      <c r="E39" s="1033"/>
      <c r="F39" s="1034"/>
      <c r="G39" s="1292">
        <f ca="1">C39/C5</f>
        <v>0.79505300353356889</v>
      </c>
      <c r="H39" s="2473"/>
      <c r="I39" s="1305"/>
      <c r="J39" s="1306"/>
      <c r="K39" s="2471"/>
      <c r="L39" s="2473"/>
      <c r="M39" s="2473"/>
    </row>
    <row r="40" spans="1:18" ht="18" customHeight="1">
      <c r="A40" s="291" t="s">
        <v>395</v>
      </c>
      <c r="B40" s="292" t="s">
        <v>774</v>
      </c>
      <c r="C40" s="293">
        <f ca="1">ROUND(C39*(1-((1+F42)/(1+F40))^F41)/(F40-F42),0)</f>
        <v>3868</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5167</v>
      </c>
      <c r="D43" s="328" t="s">
        <v>777</v>
      </c>
      <c r="E43" s="329" t="s">
        <v>778</v>
      </c>
      <c r="F43" s="330">
        <f ca="1">INDIRECT("'数据-取费表'!k"&amp;$G$1)</f>
        <v>7485.3499999999985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-3980</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3444</v>
      </c>
      <c r="K47" s="1323" t="s">
        <v>816</v>
      </c>
      <c r="L47" s="1324">
        <f ca="1">INDIRECT("'数据-取费表'!d"&amp;$G$1)</f>
        <v>50</v>
      </c>
      <c r="M47" s="1288" t="str">
        <f>IF(ISNUMBER(FIND("住宅",C1)),"住宅","非住宅")</f>
        <v>非住宅</v>
      </c>
      <c r="O47" s="1325" t="s">
        <v>403</v>
      </c>
      <c r="P47" s="1326" t="s">
        <v>817</v>
      </c>
      <c r="Q47" s="1327">
        <f ca="1">C40+J29</f>
        <v>3868</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27.28</v>
      </c>
      <c r="O48" s="1325" t="s">
        <v>404</v>
      </c>
      <c r="P48" s="1326" t="s">
        <v>821</v>
      </c>
      <c r="Q48" s="1327">
        <f ca="1">J60</f>
        <v>128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2305</v>
      </c>
      <c r="R49" s="1327" t="s">
        <v>818</v>
      </c>
    </row>
    <row r="50" spans="1:18" s="1292" customFormat="1" ht="13.5" thickBot="1">
      <c r="A50" s="922"/>
      <c r="B50" s="925"/>
      <c r="C50" s="1055"/>
      <c r="D50" s="899"/>
      <c r="E50" s="993" t="s">
        <v>697</v>
      </c>
      <c r="F50" s="994">
        <f ca="1">F7</f>
        <v>7485.3499999999985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1669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4" t="s">
        <v>837</v>
      </c>
      <c r="L53" s="3365"/>
      <c r="O53" s="1325" t="s">
        <v>409</v>
      </c>
      <c r="P53" s="1326" t="s">
        <v>838</v>
      </c>
      <c r="Q53" s="1327">
        <f ca="1">Q47+Q48</f>
        <v>3996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1614</v>
      </c>
      <c r="D56" s="1352"/>
      <c r="E56" s="1353"/>
      <c r="F56" s="1345"/>
      <c r="I56" s="1354" t="s">
        <v>842</v>
      </c>
      <c r="J56" s="1355" t="s">
        <v>3414</v>
      </c>
      <c r="K56" s="1328" t="s">
        <v>843</v>
      </c>
      <c r="L56" s="1331" t="str">
        <f ca="1">IF(L48&lt;J51,"——",L48-J53)</f>
        <v>——</v>
      </c>
      <c r="O56" s="1325" t="s">
        <v>403</v>
      </c>
      <c r="P56" s="1326" t="s">
        <v>817</v>
      </c>
      <c r="Q56" s="1327">
        <f ca="1">C40+J29</f>
        <v>3868</v>
      </c>
      <c r="R56" s="1327" t="s">
        <v>818</v>
      </c>
    </row>
    <row r="57" spans="1:18" s="1292" customFormat="1" ht="24.75" thickBot="1">
      <c r="A57" s="1356"/>
      <c r="B57" s="896" t="s">
        <v>767</v>
      </c>
      <c r="C57" s="230">
        <f ca="1">C29</f>
        <v>2305</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2.12</v>
      </c>
      <c r="D62" s="911" t="s">
        <v>786</v>
      </c>
      <c r="E62" s="896" t="s">
        <v>787</v>
      </c>
      <c r="F62" s="317">
        <f t="shared" si="0"/>
        <v>1.5</v>
      </c>
      <c r="I62" s="1367" t="s">
        <v>858</v>
      </c>
      <c r="J62" s="610" t="s">
        <v>859</v>
      </c>
      <c r="K62" s="610" t="s">
        <v>860</v>
      </c>
      <c r="L62" s="610" t="s">
        <v>861</v>
      </c>
      <c r="M62" s="1368" t="s">
        <v>862</v>
      </c>
      <c r="O62" s="1325" t="s">
        <v>409</v>
      </c>
      <c r="P62" s="1326" t="s">
        <v>863</v>
      </c>
      <c r="Q62" s="1327">
        <f ca="1">Q56+Q57</f>
        <v>3868</v>
      </c>
      <c r="R62" s="1327" t="s">
        <v>410</v>
      </c>
    </row>
    <row r="63" spans="1:18" s="1292" customFormat="1" ht="13.5" thickBot="1">
      <c r="A63" s="318"/>
      <c r="B63" s="902"/>
      <c r="C63" s="26"/>
      <c r="D63" s="912"/>
      <c r="E63" s="896" t="s">
        <v>788</v>
      </c>
      <c r="F63" s="295">
        <f t="shared" ca="1" si="0"/>
        <v>14159.62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4.6100000000000003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1.61</v>
      </c>
      <c r="D65" s="910" t="s">
        <v>743</v>
      </c>
      <c r="E65" s="896" t="s">
        <v>744</v>
      </c>
      <c r="F65" s="321">
        <f t="shared" ca="1" si="0"/>
        <v>1E-3</v>
      </c>
      <c r="I65" s="1367" t="s">
        <v>867</v>
      </c>
      <c r="J65" s="610">
        <v>40</v>
      </c>
      <c r="K65" s="610">
        <v>30</v>
      </c>
      <c r="L65" s="610">
        <v>50</v>
      </c>
      <c r="M65" s="1369">
        <v>0.02</v>
      </c>
      <c r="O65" s="1325" t="s">
        <v>403</v>
      </c>
      <c r="P65" s="1326" t="s">
        <v>868</v>
      </c>
      <c r="Q65" s="1327">
        <f ca="1">C40+J29</f>
        <v>3868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1669</v>
      </c>
      <c r="R67" s="1327" t="s">
        <v>870</v>
      </c>
    </row>
    <row r="68" spans="1:18" s="1292" customFormat="1" ht="16.5" thickBot="1">
      <c r="A68" s="893" t="s">
        <v>395</v>
      </c>
      <c r="B68" s="894" t="s">
        <v>774</v>
      </c>
      <c r="C68" s="293">
        <f ca="1">ROUND(C67*(1-((1+F70)/(1+F68))^F69)/(F68-F70),0)</f>
        <v>-112</v>
      </c>
      <c r="D68" s="911" t="s">
        <v>758</v>
      </c>
      <c r="E68" s="896" t="s">
        <v>759</v>
      </c>
      <c r="F68" s="304">
        <f ca="1">F40</f>
        <v>5.5E-2</v>
      </c>
      <c r="O68" s="1334" t="s">
        <v>406</v>
      </c>
      <c r="P68" s="1371" t="s">
        <v>871</v>
      </c>
      <c r="Q68" s="1327">
        <f ca="1">ROUND(Q69-Q70*Q71,0)</f>
        <v>112</v>
      </c>
      <c r="R68" s="1327" t="s">
        <v>414</v>
      </c>
    </row>
    <row r="69" spans="1:18" s="1292" customFormat="1" ht="13.5" thickBot="1">
      <c r="A69" s="897"/>
      <c r="B69" s="898"/>
      <c r="C69" s="298"/>
      <c r="D69" s="916" t="s">
        <v>762</v>
      </c>
      <c r="E69" s="896" t="s">
        <v>763</v>
      </c>
      <c r="F69" s="324">
        <f ca="1">F41</f>
        <v>27.28</v>
      </c>
      <c r="O69" s="1334" t="s">
        <v>411</v>
      </c>
      <c r="P69" s="1371" t="s">
        <v>872</v>
      </c>
      <c r="Q69" s="1327">
        <f ca="1">C39</f>
        <v>225</v>
      </c>
      <c r="R69" s="1327" t="s">
        <v>818</v>
      </c>
    </row>
    <row r="70" spans="1:18" s="1292" customFormat="1" ht="13.5" thickBot="1">
      <c r="A70" s="900"/>
      <c r="B70" s="901"/>
      <c r="C70" s="302"/>
      <c r="D70" s="912"/>
      <c r="E70" s="896" t="s">
        <v>766</v>
      </c>
      <c r="F70" s="991"/>
      <c r="O70" s="1334" t="s">
        <v>412</v>
      </c>
      <c r="P70" s="1371" t="s">
        <v>873</v>
      </c>
      <c r="Q70" s="1327">
        <f ca="1">C13</f>
        <v>1614</v>
      </c>
      <c r="R70" s="1327" t="s">
        <v>818</v>
      </c>
    </row>
    <row r="71" spans="1:18" s="1292" customFormat="1" ht="13.5" thickBot="1">
      <c r="A71" s="917" t="s">
        <v>396</v>
      </c>
      <c r="B71" s="918" t="s">
        <v>776</v>
      </c>
      <c r="C71" s="327">
        <f ca="1">ROUND(C68*10000/F71,0)</f>
        <v>-150</v>
      </c>
      <c r="D71" s="919" t="s">
        <v>777</v>
      </c>
      <c r="E71" s="920" t="s">
        <v>778</v>
      </c>
      <c r="F71" s="330">
        <f ca="1">F43</f>
        <v>7485.3499999999985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113</v>
      </c>
      <c r="D75" s="1292"/>
      <c r="E75" s="1292"/>
      <c r="F75" s="1292"/>
      <c r="K75" s="1309"/>
      <c r="L75" s="1292"/>
      <c r="O75" s="1325" t="s">
        <v>409</v>
      </c>
      <c r="P75" s="1326" t="s">
        <v>838</v>
      </c>
      <c r="Q75" s="1327">
        <f ca="1">Q65+Q66</f>
        <v>3868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0.498</v>
      </c>
    </row>
    <row r="80" spans="1:18">
      <c r="B80" s="331" t="s">
        <v>800</v>
      </c>
      <c r="C80" s="266">
        <f ca="1">ROUND(C75/C39,3)</f>
        <v>0.502</v>
      </c>
    </row>
    <row r="81" spans="2:3">
      <c r="B81" s="262" t="s">
        <v>801</v>
      </c>
      <c r="C81" s="230"/>
    </row>
    <row r="82" spans="2:3">
      <c r="B82" s="265" t="s">
        <v>802</v>
      </c>
      <c r="C82" s="267">
        <f ca="1">1-C83</f>
        <v>0.58299999999999996</v>
      </c>
    </row>
    <row r="83" spans="2:3">
      <c r="B83" s="265" t="s">
        <v>803</v>
      </c>
      <c r="C83" s="266">
        <f ca="1">ROUND(C13/C40,3)</f>
        <v>0.41699999999999998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6" t="s">
        <v>694</v>
      </c>
      <c r="C6" s="1011" t="e">
        <f ca="1">ROUND(F6*F8*F7*(1-F9)/10000,0)</f>
        <v>#N/A</v>
      </c>
      <c r="D6" s="147" t="s">
        <v>2109</v>
      </c>
      <c r="E6" s="294" t="s">
        <v>696</v>
      </c>
      <c r="F6" s="295" t="e">
        <f ca="1">INDIRECT("'数据-取费表'!u"&amp;$G$1)</f>
        <v>#N/A</v>
      </c>
      <c r="G6" s="1292"/>
      <c r="H6" s="1006" t="s">
        <v>398</v>
      </c>
      <c r="I6" s="3366" t="s">
        <v>694</v>
      </c>
      <c r="J6" s="293" t="e">
        <f ca="1">ROUND(M6*M8*M7*(1-M9)/10000,0)</f>
        <v>#N/A</v>
      </c>
      <c r="K6" s="147" t="s">
        <v>2108</v>
      </c>
      <c r="L6" s="294" t="s">
        <v>696</v>
      </c>
      <c r="M6" s="295" t="e">
        <f ca="1">INDIRECT("'数据-取费表'!z"&amp;$G$1)</f>
        <v>#N/A</v>
      </c>
    </row>
    <row r="7" spans="1:37" ht="18" customHeight="1">
      <c r="A7" s="1010"/>
      <c r="B7" s="3367"/>
      <c r="C7" s="1012"/>
      <c r="D7" s="299"/>
      <c r="E7" s="1013" t="s">
        <v>697</v>
      </c>
      <c r="F7" s="295" t="e">
        <f ca="1">IF(INDIRECT("'数据-取费表'!ah"&amp;$G$1)="",INDIRECT("'数据-取费表'!k"&amp;$G$1),INDIRECT("'数据-取费表'!ah"&amp;$G$1))</f>
        <v>#N/A</v>
      </c>
      <c r="G7" s="1292"/>
      <c r="H7" s="296"/>
      <c r="I7" s="3367"/>
      <c r="J7" s="298"/>
      <c r="K7" s="299"/>
      <c r="L7" s="294" t="s">
        <v>697</v>
      </c>
      <c r="M7" s="295" t="e">
        <f ca="1">F7</f>
        <v>#N/A</v>
      </c>
    </row>
    <row r="8" spans="1:37" ht="18" customHeight="1">
      <c r="A8" s="296"/>
      <c r="B8" s="3367"/>
      <c r="C8" s="298"/>
      <c r="D8" s="299"/>
      <c r="E8" s="294" t="s">
        <v>698</v>
      </c>
      <c r="F8" s="295" t="e">
        <f ca="1">INDIRECT("'数据-取费表'!ai"&amp;$G$1)</f>
        <v>#N/A</v>
      </c>
      <c r="G8" s="1292"/>
      <c r="H8" s="296"/>
      <c r="I8" s="3367"/>
      <c r="J8" s="298"/>
      <c r="K8" s="299"/>
      <c r="L8" s="294" t="s">
        <v>698</v>
      </c>
      <c r="M8" s="295" t="e">
        <f ca="1">INDIRECT("'数据-取费表'!ai"&amp;$G$1)</f>
        <v>#N/A</v>
      </c>
    </row>
    <row r="9" spans="1:37" ht="18" customHeight="1">
      <c r="A9" s="296"/>
      <c r="B9" s="3368"/>
      <c r="C9" s="298"/>
      <c r="D9" s="299"/>
      <c r="E9" s="294" t="s">
        <v>699</v>
      </c>
      <c r="F9" s="304" t="e">
        <f ca="1">INDIRECT("'数据-取费表'!w"&amp;$G$1)</f>
        <v>#N/A</v>
      </c>
      <c r="G9" s="1292"/>
      <c r="H9" s="296"/>
      <c r="I9" s="3368"/>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4" t="s">
        <v>837</v>
      </c>
      <c r="L53" s="3365"/>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75" t="s">
        <v>2310</v>
      </c>
      <c r="K2" s="3376"/>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7" t="s">
        <v>2320</v>
      </c>
      <c r="K3" s="3378"/>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7" t="s">
        <v>2322</v>
      </c>
      <c r="K4" s="3378"/>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83" t="s">
        <v>2326</v>
      </c>
      <c r="B6" s="3384"/>
      <c r="C6" s="3385"/>
      <c r="D6" s="2621"/>
      <c r="E6" s="2622"/>
      <c r="F6" s="2623"/>
      <c r="G6" s="2624"/>
      <c r="H6" s="2599"/>
      <c r="I6" s="2600"/>
      <c r="J6" s="3369">
        <v>1</v>
      </c>
      <c r="K6" s="3370"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9"/>
      <c r="K7" s="3371"/>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6" t="s">
        <v>2340</v>
      </c>
      <c r="C8" s="3387"/>
      <c r="D8" s="2640" t="s">
        <v>2341</v>
      </c>
      <c r="E8" s="2641" t="s">
        <v>2342</v>
      </c>
      <c r="F8" s="2642" t="s">
        <v>2343</v>
      </c>
      <c r="G8" s="2643"/>
      <c r="H8" s="2599"/>
      <c r="I8" s="2600"/>
      <c r="J8" s="3369"/>
      <c r="K8" s="3371"/>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6" t="s">
        <v>2346</v>
      </c>
      <c r="C9" s="3387"/>
      <c r="D9" s="2640">
        <f>ROUND(D6*E9,0)</f>
        <v>0</v>
      </c>
      <c r="E9" s="2644"/>
      <c r="F9" s="2645" t="s">
        <v>2347</v>
      </c>
      <c r="G9" s="2624"/>
      <c r="H9" s="2599"/>
      <c r="I9" s="2600"/>
      <c r="J9" s="3369"/>
      <c r="K9" s="3371"/>
      <c r="L9" s="2634" t="s">
        <v>2348</v>
      </c>
      <c r="M9" s="2635"/>
      <c r="N9" s="2611"/>
      <c r="O9" s="2636"/>
      <c r="P9" s="2636"/>
      <c r="Q9" s="2637">
        <v>365</v>
      </c>
      <c r="R9" s="2638">
        <f t="shared" si="0"/>
        <v>0</v>
      </c>
      <c r="S9" s="2592"/>
      <c r="T9" s="2592"/>
      <c r="U9" s="2592"/>
      <c r="V9" s="2600"/>
    </row>
    <row r="10" spans="1:22" s="2604" customFormat="1" ht="13.15" customHeight="1">
      <c r="A10" s="2639">
        <v>2</v>
      </c>
      <c r="B10" s="3386" t="s">
        <v>2349</v>
      </c>
      <c r="C10" s="3387"/>
      <c r="D10" s="2640">
        <f>ROUND(D6*E10,0)</f>
        <v>0</v>
      </c>
      <c r="E10" s="2644"/>
      <c r="F10" s="2645" t="s">
        <v>2350</v>
      </c>
      <c r="G10" s="2624"/>
      <c r="H10" s="2599"/>
      <c r="I10" s="2600"/>
      <c r="J10" s="3369"/>
      <c r="K10" s="3371"/>
      <c r="L10" s="2634" t="s">
        <v>2351</v>
      </c>
      <c r="M10" s="2635"/>
      <c r="N10" s="2611"/>
      <c r="O10" s="2636"/>
      <c r="P10" s="2636"/>
      <c r="Q10" s="2637">
        <v>365</v>
      </c>
      <c r="R10" s="2638">
        <f t="shared" si="0"/>
        <v>0</v>
      </c>
      <c r="S10" s="2592"/>
      <c r="T10" s="2592"/>
      <c r="U10" s="2592"/>
      <c r="V10" s="2600"/>
    </row>
    <row r="11" spans="1:22" s="2604" customFormat="1" ht="13.15" customHeight="1">
      <c r="A11" s="2639">
        <v>3</v>
      </c>
      <c r="B11" s="3386" t="s">
        <v>2352</v>
      </c>
      <c r="C11" s="3387"/>
      <c r="D11" s="2640">
        <f>D12+D14+D15+D16</f>
        <v>0</v>
      </c>
      <c r="E11" s="2646" t="e">
        <f>D11/D6</f>
        <v>#DIV/0!</v>
      </c>
      <c r="F11" s="2642"/>
      <c r="G11" s="2643"/>
      <c r="H11" s="2599"/>
      <c r="I11" s="2600"/>
      <c r="J11" s="3369"/>
      <c r="K11" s="3371"/>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9" t="s">
        <v>2355</v>
      </c>
      <c r="C12" s="3380"/>
      <c r="D12" s="2648">
        <f>ROUND(D13*1.2%*(1-30%),0)</f>
        <v>0</v>
      </c>
      <c r="E12" s="2649">
        <v>1.2E-2</v>
      </c>
      <c r="F12" s="2642" t="s">
        <v>2356</v>
      </c>
      <c r="G12" s="2643"/>
      <c r="H12" s="2599"/>
      <c r="I12" s="2600"/>
      <c r="J12" s="3369"/>
      <c r="K12" s="3371"/>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9"/>
      <c r="K13" s="3371"/>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9" t="s">
        <v>2361</v>
      </c>
      <c r="C14" s="3380"/>
      <c r="D14" s="2648">
        <f>ROUND(E14*B5/10000,0)</f>
        <v>0</v>
      </c>
      <c r="E14" s="2637"/>
      <c r="F14" s="2642" t="s">
        <v>2362</v>
      </c>
      <c r="G14" s="2643"/>
      <c r="H14" s="2599"/>
      <c r="I14" s="2600"/>
      <c r="J14" s="3369"/>
      <c r="K14" s="3372"/>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9" t="s">
        <v>2365</v>
      </c>
      <c r="C15" s="3380"/>
      <c r="D15" s="2648">
        <f>ROUND(D6*E15,0)</f>
        <v>0</v>
      </c>
      <c r="E15" s="2649">
        <v>5.5E-2</v>
      </c>
      <c r="F15" s="2642" t="s">
        <v>2366</v>
      </c>
      <c r="G15" s="2624"/>
      <c r="H15" s="2599"/>
      <c r="I15" s="2600"/>
      <c r="J15" s="3369">
        <v>2</v>
      </c>
      <c r="K15" s="3370"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9" t="s">
        <v>2374</v>
      </c>
      <c r="C16" s="3380"/>
      <c r="D16" s="2659">
        <f>D6*E16</f>
        <v>0</v>
      </c>
      <c r="E16" s="2660"/>
      <c r="F16" s="2645" t="s">
        <v>2375</v>
      </c>
      <c r="G16" s="2624"/>
      <c r="H16" s="2599"/>
      <c r="I16" s="2600"/>
      <c r="J16" s="3369"/>
      <c r="K16" s="3371"/>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2377</v>
      </c>
      <c r="C17" s="3382"/>
      <c r="D17" s="2662">
        <f>ROUND(D6*E17,0)</f>
        <v>0</v>
      </c>
      <c r="E17" s="2663"/>
      <c r="F17" s="2664" t="s">
        <v>2378</v>
      </c>
      <c r="G17" s="2624"/>
      <c r="H17" s="2599"/>
      <c r="I17" s="2600"/>
      <c r="J17" s="3369"/>
      <c r="K17" s="3371"/>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9"/>
      <c r="K18" s="3371"/>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9"/>
      <c r="K19" s="3372"/>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9"/>
      <c r="K21" s="3371"/>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9"/>
      <c r="K22" s="3371"/>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9"/>
      <c r="K23" s="3371"/>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9"/>
      <c r="K24" s="3372"/>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73">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75" t="s">
        <v>2310</v>
      </c>
      <c r="K32" s="3376"/>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7" t="s">
        <v>2320</v>
      </c>
      <c r="K33" s="3378"/>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7" t="s">
        <v>2322</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9">
        <v>1</v>
      </c>
      <c r="K36" s="3370"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9"/>
      <c r="K40" s="3372"/>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3">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3996</v>
      </c>
      <c r="C2" s="1728" t="s">
        <v>1651</v>
      </c>
      <c r="D2" s="1729" t="s">
        <v>1652</v>
      </c>
      <c r="E2" s="2392">
        <f>SUM(E6:E13)</f>
        <v>7485.3499999999985</v>
      </c>
      <c r="F2" s="2479"/>
      <c r="G2" s="459"/>
      <c r="H2" s="459"/>
      <c r="I2" s="459"/>
      <c r="J2" s="459"/>
      <c r="K2" s="459"/>
      <c r="L2" s="459"/>
      <c r="M2" s="459"/>
      <c r="N2" s="459"/>
      <c r="O2" s="459"/>
      <c r="P2" s="459"/>
      <c r="Q2" s="459"/>
      <c r="R2" s="459"/>
      <c r="S2" s="459"/>
    </row>
    <row r="3" spans="1:22" ht="15.75">
      <c r="A3" s="1727" t="s">
        <v>686</v>
      </c>
      <c r="B3" s="2386">
        <f ca="1">ROUND(B2*10000/E2,0)</f>
        <v>5338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3996</v>
      </c>
      <c r="C6" s="1728" t="s">
        <v>1651</v>
      </c>
      <c r="D6" s="2479"/>
      <c r="E6" s="2391">
        <f>IF(OR(A6=0,F6="否"),0,'数据-取费表'!K6+'数据-取费表'!S6)</f>
        <v>7485.3499999999985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估价对象为北京市房地产，为所有。根据《国有土地使用证》[]，估价对象（分摊）出让国有建设用地使用权面积为14159.62平方米，建筑面积为7485.35平方米。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估价对象为北京市房地产,为开发建设的，该项目尚在开发建设中。根据《国有土地使用证》[]，估价对象（分摊）出让国有建设用地使用权面积为14159.62平方米，规划建筑面积为7485.35平方米。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7485.3499999999985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4"/>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1744"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4"/>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4"/>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4"/>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03"/>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03"/>
      <c r="Q18" s="1263"/>
      <c r="R18" s="667"/>
      <c r="S18" s="668"/>
      <c r="T18" s="667"/>
      <c r="U18" s="668"/>
      <c r="V18" s="667"/>
      <c r="W18" s="668"/>
      <c r="X18" s="1265"/>
      <c r="Y18" s="3396"/>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03"/>
      <c r="Q20" s="1263"/>
      <c r="R20" s="667"/>
      <c r="S20" s="668"/>
      <c r="T20" s="667"/>
      <c r="U20" s="668"/>
      <c r="V20" s="667"/>
      <c r="W20" s="668"/>
      <c r="X20" s="1265"/>
      <c r="Y20" s="3396"/>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03"/>
      <c r="Q22" s="1263"/>
      <c r="R22" s="667"/>
      <c r="S22" s="668"/>
      <c r="T22" s="667"/>
      <c r="U22" s="668"/>
      <c r="V22" s="667"/>
      <c r="W22" s="668"/>
      <c r="X22" s="1265"/>
      <c r="Y22" s="3396"/>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394"/>
      <c r="AC6" s="340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03"/>
      <c r="Q18" s="1263"/>
      <c r="R18" s="667"/>
      <c r="S18" s="668"/>
      <c r="T18" s="667"/>
      <c r="U18" s="668"/>
      <c r="V18" s="667"/>
      <c r="W18" s="668"/>
      <c r="X18" s="1265"/>
      <c r="Y18" s="3396"/>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03"/>
      <c r="Q20" s="1263"/>
      <c r="R20" s="667"/>
      <c r="S20" s="668"/>
      <c r="T20" s="667"/>
      <c r="U20" s="668"/>
      <c r="V20" s="667"/>
      <c r="W20" s="668"/>
      <c r="X20" s="1265"/>
      <c r="Y20" s="3396"/>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03"/>
      <c r="Q22" s="1263"/>
      <c r="R22" s="667"/>
      <c r="S22" s="668"/>
      <c r="T22" s="667"/>
      <c r="U22" s="668"/>
      <c r="V22" s="667"/>
      <c r="W22" s="668"/>
      <c r="X22" s="1265"/>
      <c r="Y22" s="3396"/>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45" t="s">
        <v>1771</v>
      </c>
      <c r="S4" s="3446"/>
      <c r="T4" s="3445" t="s">
        <v>1772</v>
      </c>
      <c r="U4" s="3446"/>
      <c r="V4" s="3447" t="s">
        <v>1773</v>
      </c>
      <c r="W4" s="3447"/>
      <c r="X4" s="1808"/>
      <c r="Y4" s="3445" t="s">
        <v>1775</v>
      </c>
      <c r="Z4" s="3446"/>
      <c r="AA4" s="3449" t="s">
        <v>1771</v>
      </c>
      <c r="AB4" s="3449" t="s">
        <v>1772</v>
      </c>
      <c r="AC4" s="3438" t="s">
        <v>1773</v>
      </c>
    </row>
    <row r="5" spans="1:29" ht="15">
      <c r="A5" s="348"/>
      <c r="B5" s="349"/>
      <c r="C5" s="3426" t="s">
        <v>1673</v>
      </c>
      <c r="D5" s="3427"/>
      <c r="E5" s="3433" t="s">
        <v>1674</v>
      </c>
      <c r="F5" s="3434"/>
      <c r="G5" s="3426" t="s">
        <v>1675</v>
      </c>
      <c r="H5" s="3427"/>
      <c r="I5" s="3426" t="s">
        <v>1676</v>
      </c>
      <c r="J5" s="3427"/>
      <c r="K5" s="537"/>
      <c r="L5" s="2486"/>
      <c r="M5" s="2487"/>
      <c r="N5" s="2487"/>
      <c r="O5" s="2487"/>
      <c r="P5" s="3443"/>
      <c r="Q5" s="3415"/>
      <c r="R5" s="3420"/>
      <c r="S5" s="3421"/>
      <c r="T5" s="3420"/>
      <c r="U5" s="3421"/>
      <c r="V5" s="3394"/>
      <c r="W5" s="3394"/>
      <c r="X5" s="1265"/>
      <c r="Y5" s="3420"/>
      <c r="Z5" s="3421"/>
      <c r="AA5" s="3406"/>
      <c r="AB5" s="3406"/>
      <c r="AC5" s="3439"/>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44"/>
      <c r="Q6" s="3417"/>
      <c r="R6" s="3420"/>
      <c r="S6" s="3421"/>
      <c r="T6" s="3422"/>
      <c r="U6" s="3423"/>
      <c r="V6" s="3394"/>
      <c r="W6" s="3394"/>
      <c r="X6" s="1265"/>
      <c r="Y6" s="3422"/>
      <c r="Z6" s="3423"/>
      <c r="AA6" s="3407"/>
      <c r="AB6" s="3407"/>
      <c r="AC6" s="3440"/>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8"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3"/>
      <c r="Q18" s="1263"/>
      <c r="R18" s="667"/>
      <c r="S18" s="668"/>
      <c r="T18" s="667"/>
      <c r="U18" s="668"/>
      <c r="V18" s="667"/>
      <c r="W18" s="668"/>
      <c r="X18" s="1265"/>
      <c r="Y18" s="3396"/>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3"/>
      <c r="Q20" s="1263"/>
      <c r="R20" s="667"/>
      <c r="S20" s="668"/>
      <c r="T20" s="667"/>
      <c r="U20" s="668"/>
      <c r="V20" s="667"/>
      <c r="W20" s="668"/>
      <c r="X20" s="1265"/>
      <c r="Y20" s="3396"/>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03"/>
      <c r="Q22" s="1263"/>
      <c r="R22" s="667"/>
      <c r="S22" s="668"/>
      <c r="T22" s="667"/>
      <c r="U22" s="668"/>
      <c r="V22" s="667"/>
      <c r="W22" s="668"/>
      <c r="X22" s="1265"/>
      <c r="Y22" s="3396"/>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3"/>
      <c r="Q24" s="1263"/>
      <c r="R24" s="667"/>
      <c r="S24" s="668"/>
      <c r="T24" s="667"/>
      <c r="U24" s="668"/>
      <c r="V24" s="667"/>
      <c r="W24" s="668"/>
      <c r="X24" s="1265"/>
      <c r="Y24" s="3396"/>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03"/>
      <c r="Q26" s="1263"/>
      <c r="R26" s="667"/>
      <c r="S26" s="668"/>
      <c r="T26" s="667"/>
      <c r="U26" s="668"/>
      <c r="V26" s="667"/>
      <c r="W26" s="668"/>
      <c r="X26" s="1265"/>
      <c r="Y26" s="3396"/>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6"/>
      <c r="Q15" s="1263"/>
      <c r="R15" s="667"/>
      <c r="S15" s="668"/>
      <c r="T15" s="667"/>
      <c r="U15" s="668"/>
      <c r="V15" s="667"/>
      <c r="W15" s="668"/>
      <c r="X15" s="1265"/>
      <c r="Y15" s="3396"/>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96"/>
      <c r="Q17" s="1263"/>
      <c r="R17" s="667"/>
      <c r="S17" s="668"/>
      <c r="T17" s="667"/>
      <c r="U17" s="668"/>
      <c r="V17" s="667"/>
      <c r="W17" s="668"/>
      <c r="X17" s="1265"/>
      <c r="Y17" s="3396"/>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96"/>
      <c r="Q19" s="1263"/>
      <c r="R19" s="667"/>
      <c r="S19" s="668"/>
      <c r="T19" s="667"/>
      <c r="U19" s="668"/>
      <c r="V19" s="667"/>
      <c r="W19" s="668"/>
      <c r="X19" s="1265"/>
      <c r="Y19" s="3396"/>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93" t="str">
        <f>A37</f>
        <v>成交单价</v>
      </c>
      <c r="Q37" s="3393"/>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0" t="str">
        <f>A39</f>
        <v>估价对象XX用房的比较价值（楼面单价，元/平方米）</v>
      </c>
      <c r="Q39" s="3391"/>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3"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3"/>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3"/>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6"/>
      <c r="Q15" s="1263"/>
      <c r="R15" s="667"/>
      <c r="S15" s="668"/>
      <c r="T15" s="667"/>
      <c r="U15" s="668"/>
      <c r="V15" s="667"/>
      <c r="W15" s="668"/>
      <c r="X15" s="1265"/>
      <c r="Y15" s="3396"/>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96"/>
      <c r="Q17" s="1263"/>
      <c r="R17" s="667"/>
      <c r="S17" s="668"/>
      <c r="T17" s="667"/>
      <c r="U17" s="668"/>
      <c r="V17" s="667"/>
      <c r="W17" s="668"/>
      <c r="X17" s="1265"/>
      <c r="Y17" s="3396"/>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96"/>
      <c r="Q19" s="1263"/>
      <c r="R19" s="667"/>
      <c r="S19" s="668"/>
      <c r="T19" s="667"/>
      <c r="U19" s="668"/>
      <c r="V19" s="667"/>
      <c r="W19" s="668"/>
      <c r="X19" s="1265"/>
      <c r="Y19" s="3396"/>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0" t="str">
        <f>A37</f>
        <v>估价对象XX用房的比较价值（楼面单价，元/平方米）</v>
      </c>
      <c r="Q37" s="3391"/>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393"/>
      <c r="Q10" s="530" t="str">
        <f t="shared" si="6"/>
        <v>土地使用年限（年）</v>
      </c>
      <c r="R10" s="664" t="s">
        <v>14</v>
      </c>
      <c r="S10" s="665">
        <f t="shared" si="0"/>
        <v>124</v>
      </c>
      <c r="T10" s="664" t="s">
        <v>14</v>
      </c>
      <c r="U10" s="665">
        <f t="shared" si="1"/>
        <v>124</v>
      </c>
      <c r="V10" s="664" t="s">
        <v>14</v>
      </c>
      <c r="W10" s="665">
        <f t="shared" si="2"/>
        <v>124</v>
      </c>
      <c r="X10" s="666"/>
      <c r="Y10" s="3249"/>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3"/>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96"/>
      <c r="Q20" s="1263"/>
      <c r="R20" s="667"/>
      <c r="S20" s="668"/>
      <c r="T20" s="667"/>
      <c r="U20" s="668"/>
      <c r="V20" s="667"/>
      <c r="W20" s="668"/>
      <c r="X20" s="1265"/>
      <c r="Y20" s="3396"/>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96"/>
      <c r="Q24" s="1263"/>
      <c r="R24" s="667"/>
      <c r="S24" s="668"/>
      <c r="T24" s="667"/>
      <c r="U24" s="668"/>
      <c r="V24" s="667"/>
      <c r="W24" s="668"/>
      <c r="X24" s="1265"/>
      <c r="Y24" s="3396"/>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96"/>
      <c r="Q26" s="1263"/>
      <c r="R26" s="667"/>
      <c r="S26" s="668"/>
      <c r="T26" s="667"/>
      <c r="U26" s="668"/>
      <c r="V26" s="667"/>
      <c r="W26" s="668"/>
      <c r="X26" s="1265"/>
      <c r="Y26" s="3396"/>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96"/>
      <c r="Q28" s="530"/>
      <c r="R28" s="664"/>
      <c r="S28" s="665"/>
      <c r="T28" s="664"/>
      <c r="U28" s="665"/>
      <c r="V28" s="664"/>
      <c r="W28" s="665"/>
      <c r="X28" s="666"/>
      <c r="Y28" s="3396"/>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93" t="str">
        <f>A46</f>
        <v>成交单价</v>
      </c>
      <c r="Q46" s="3393"/>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93" t="str">
        <f>A47</f>
        <v>比较价值（元/平方米）</v>
      </c>
      <c r="Q47" s="3393"/>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0" t="str">
        <f>A48</f>
        <v>估价对象XX用房的比较价值（楼面单价，元/平方米）</v>
      </c>
      <c r="Q48" s="3391"/>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8"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7485.3499999999985</v>
      </c>
      <c r="F56" s="833" t="e">
        <f t="shared" ref="F56:F64" si="15">ROUND(B56*E56/10000,0)</f>
        <v>#DIV/0!</v>
      </c>
      <c r="G56" s="3404"/>
      <c r="H56" s="339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3"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393"/>
      <c r="Q10" s="530" t="str">
        <f t="shared" si="6"/>
        <v>土地使用年限（年）</v>
      </c>
      <c r="R10" s="664" t="s">
        <v>14</v>
      </c>
      <c r="S10" s="665">
        <f t="shared" si="0"/>
        <v>124</v>
      </c>
      <c r="T10" s="664" t="s">
        <v>14</v>
      </c>
      <c r="U10" s="665">
        <f t="shared" si="1"/>
        <v>124</v>
      </c>
      <c r="V10" s="664" t="s">
        <v>14</v>
      </c>
      <c r="W10" s="665">
        <f t="shared" si="2"/>
        <v>124</v>
      </c>
      <c r="X10" s="666"/>
      <c r="Y10" s="3249"/>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3"/>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96"/>
      <c r="Q20" s="1263"/>
      <c r="R20" s="667"/>
      <c r="S20" s="668"/>
      <c r="T20" s="667"/>
      <c r="U20" s="668"/>
      <c r="V20" s="667"/>
      <c r="W20" s="668"/>
      <c r="X20" s="1265"/>
      <c r="Y20" s="3396"/>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96"/>
      <c r="Q24" s="530"/>
      <c r="R24" s="664"/>
      <c r="S24" s="665"/>
      <c r="T24" s="664"/>
      <c r="U24" s="665"/>
      <c r="V24" s="664"/>
      <c r="W24" s="665"/>
      <c r="X24" s="666"/>
      <c r="Y24" s="3396"/>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93" t="str">
        <f>A41</f>
        <v>成交单价</v>
      </c>
      <c r="Q41" s="3393"/>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93" t="str">
        <f>A42</f>
        <v>比较价值（元/平方米）</v>
      </c>
      <c r="Q42" s="3393"/>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0" t="str">
        <f>A43</f>
        <v>估价对象XX用房的比较价值（楼面单价，元/平方米）</v>
      </c>
      <c r="Q43" s="3391"/>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8" t="s">
        <v>1887</v>
      </c>
      <c r="H50" s="345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7485.3499999999985</v>
      </c>
      <c r="F51" s="611" t="e">
        <f t="shared" ref="F51:F60" si="15">ROUND(B51*E51/10000,0)</f>
        <v>#DIV/0!</v>
      </c>
      <c r="G51" s="3404"/>
      <c r="H51" s="339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14159.619999999999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963</v>
      </c>
      <c r="C2" s="1983" t="s">
        <v>2074</v>
      </c>
      <c r="D2" s="1983" t="s">
        <v>2075</v>
      </c>
      <c r="E2" s="2397">
        <f ca="1">SUMIF(E6:E13,"&lt;&gt;#ref!",E6:E13)</f>
        <v>14159.619999999999</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963</v>
      </c>
      <c r="C6" s="1983" t="s">
        <v>2074</v>
      </c>
      <c r="D6" s="2544"/>
      <c r="E6" s="2397">
        <f ca="1">SUMIF(INDIRECT("'"&amp;A6&amp;"'"&amp;"!C:C"),"建筑面积",INDIRECT("'"&amp;A6&amp;"'"&amp;"!D:D"))</f>
        <v>14159.619999999999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3515</v>
      </c>
    </row>
    <row r="6" spans="1:5" ht="15.75">
      <c r="B6" s="3162"/>
      <c r="C6" s="1392" t="s">
        <v>911</v>
      </c>
      <c r="D6" s="797" t="str">
        <f ca="1">NUMBERSTRING(INT(D5*10000),2)&amp;"元整"</f>
        <v>叁仟伍佰壹拾伍万元整</v>
      </c>
    </row>
    <row r="7" spans="1:5" ht="15.75">
      <c r="B7" s="3167"/>
      <c r="C7" s="1393" t="s">
        <v>912</v>
      </c>
      <c r="D7" s="798">
        <f ca="1">结果表!H102</f>
        <v>4696</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3515</v>
      </c>
    </row>
    <row r="14" spans="1:5" ht="15.75">
      <c r="B14" s="3162"/>
      <c r="C14" s="1392" t="s">
        <v>911</v>
      </c>
      <c r="D14" s="797" t="str">
        <f ca="1">NUMBERSTRING(INT(D13*10000),2)&amp;"元整"</f>
        <v>叁仟伍佰壹拾伍万元整</v>
      </c>
    </row>
    <row r="15" spans="1:5" ht="15">
      <c r="B15" s="3167"/>
      <c r="C15" s="1393" t="s">
        <v>921</v>
      </c>
      <c r="D15" s="806">
        <f ca="1">结果表!H108</f>
        <v>4696</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4.抵押净值</v>
      </c>
      <c r="C19" s="1397" t="s">
        <v>910</v>
      </c>
      <c r="D19" s="798">
        <f ca="1">结果表!H111</f>
        <v>3329</v>
      </c>
    </row>
    <row r="20" spans="1:5" ht="15.75">
      <c r="B20" s="3162"/>
      <c r="C20" s="1392" t="s">
        <v>923</v>
      </c>
      <c r="D20" s="797" t="str">
        <f ca="1">NUMBERSTRING(INT(D19*10000),2)&amp;"元整"</f>
        <v>叁仟叁佰贰拾玖万元整</v>
      </c>
    </row>
    <row r="21" spans="1:5" ht="15.75" thickBot="1">
      <c r="B21" s="3163"/>
      <c r="C21" s="1399" t="s">
        <v>921</v>
      </c>
      <c r="D21" s="807">
        <f ca="1">结果表!H112</f>
        <v>4447</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4" t="s">
        <v>2600</v>
      </c>
      <c r="B20" s="3469" t="s">
        <v>2621</v>
      </c>
      <c r="C20" s="2842" t="s">
        <v>2432</v>
      </c>
      <c r="D20" s="2843"/>
      <c r="E20" s="2844">
        <v>1</v>
      </c>
      <c r="F20" s="2845" t="s">
        <v>2433</v>
      </c>
      <c r="G20" s="2845"/>
    </row>
    <row r="21" spans="1:13" ht="19.5" customHeight="1">
      <c r="A21" s="3475"/>
      <c r="B21" s="3468"/>
      <c r="C21" s="2846" t="s">
        <v>2434</v>
      </c>
      <c r="D21" s="2847"/>
      <c r="E21" s="2848">
        <v>1</v>
      </c>
      <c r="F21" s="2845" t="s">
        <v>2435</v>
      </c>
      <c r="G21" s="2845"/>
    </row>
    <row r="22" spans="1:13" ht="19.5" customHeight="1">
      <c r="A22" s="3475"/>
      <c r="B22" s="3468"/>
      <c r="C22" s="2846" t="s">
        <v>2436</v>
      </c>
      <c r="D22" s="2847"/>
      <c r="E22" s="2848">
        <v>0.9</v>
      </c>
      <c r="F22" s="2845" t="s">
        <v>2437</v>
      </c>
      <c r="G22" s="2845"/>
    </row>
    <row r="23" spans="1:13" ht="19.5" customHeight="1">
      <c r="A23" s="3475"/>
      <c r="B23" s="3468"/>
      <c r="C23" s="2846" t="s">
        <v>2438</v>
      </c>
      <c r="D23" s="2847"/>
      <c r="E23" s="2848">
        <v>0.9</v>
      </c>
      <c r="F23" s="2845" t="s">
        <v>2439</v>
      </c>
      <c r="G23" s="2845"/>
    </row>
    <row r="24" spans="1:13" ht="19.5" customHeight="1">
      <c r="A24" s="3475"/>
      <c r="B24" s="3468"/>
      <c r="C24" s="2846" t="s">
        <v>2440</v>
      </c>
      <c r="D24" s="2847"/>
      <c r="E24" s="2848">
        <v>0.8</v>
      </c>
      <c r="F24" s="2845" t="s">
        <v>2441</v>
      </c>
      <c r="G24" s="2845"/>
    </row>
    <row r="25" spans="1:13" ht="19.5" customHeight="1" thickBot="1">
      <c r="A25" s="3476"/>
      <c r="B25" s="3470"/>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71" t="s">
        <v>2624</v>
      </c>
      <c r="B27" s="3469" t="s">
        <v>2605</v>
      </c>
      <c r="C27" s="2842" t="s">
        <v>2445</v>
      </c>
      <c r="D27" s="2843"/>
      <c r="E27" s="2844">
        <v>1</v>
      </c>
      <c r="F27" s="2845" t="s">
        <v>2446</v>
      </c>
      <c r="G27" s="2845"/>
    </row>
    <row r="28" spans="1:13" ht="19.5" customHeight="1">
      <c r="A28" s="3472"/>
      <c r="B28" s="3468"/>
      <c r="C28" s="2846" t="s">
        <v>2447</v>
      </c>
      <c r="D28" s="2847"/>
      <c r="E28" s="2848">
        <v>1</v>
      </c>
      <c r="F28" s="2845" t="s">
        <v>2448</v>
      </c>
      <c r="G28" s="2845"/>
    </row>
    <row r="29" spans="1:13" ht="19.5" customHeight="1">
      <c r="A29" s="3472"/>
      <c r="B29" s="3468"/>
      <c r="C29" s="2846" t="s">
        <v>2449</v>
      </c>
      <c r="D29" s="2847"/>
      <c r="E29" s="2848">
        <v>0.8</v>
      </c>
      <c r="F29" s="2845" t="s">
        <v>2450</v>
      </c>
      <c r="G29" s="2845"/>
    </row>
    <row r="30" spans="1:13" ht="19.5" customHeight="1">
      <c r="A30" s="3472"/>
      <c r="B30" s="3468"/>
      <c r="C30" s="2846" t="s">
        <v>2451</v>
      </c>
      <c r="D30" s="2847"/>
      <c r="E30" s="2848">
        <v>0.8</v>
      </c>
      <c r="F30" s="2845" t="s">
        <v>2452</v>
      </c>
      <c r="G30" s="2845"/>
    </row>
    <row r="31" spans="1:13" ht="19.5" customHeight="1">
      <c r="A31" s="3472"/>
      <c r="B31" s="3468"/>
      <c r="C31" s="2846" t="s">
        <v>2453</v>
      </c>
      <c r="D31" s="2847"/>
      <c r="E31" s="2848">
        <v>0.8</v>
      </c>
      <c r="F31" s="2845" t="s">
        <v>2454</v>
      </c>
      <c r="G31" s="2845"/>
    </row>
    <row r="32" spans="1:13" ht="19.5" customHeight="1">
      <c r="A32" s="3472"/>
      <c r="B32" s="3468"/>
      <c r="C32" s="2846" t="s">
        <v>2455</v>
      </c>
      <c r="D32" s="2847"/>
      <c r="E32" s="2848">
        <v>0.7</v>
      </c>
      <c r="F32" s="2845" t="s">
        <v>2456</v>
      </c>
      <c r="G32" s="2845"/>
    </row>
    <row r="33" spans="1:7" ht="19.5" customHeight="1">
      <c r="A33" s="3472"/>
      <c r="B33" s="3468"/>
      <c r="C33" s="2846" t="s">
        <v>2457</v>
      </c>
      <c r="D33" s="2847"/>
      <c r="E33" s="2848">
        <v>0.8</v>
      </c>
      <c r="F33" s="2845" t="s">
        <v>2458</v>
      </c>
      <c r="G33" s="2845"/>
    </row>
    <row r="34" spans="1:7" ht="19.5" customHeight="1">
      <c r="A34" s="3472"/>
      <c r="B34" s="3468"/>
      <c r="C34" s="2846" t="s">
        <v>2459</v>
      </c>
      <c r="D34" s="2847"/>
      <c r="E34" s="2848">
        <v>0.6</v>
      </c>
      <c r="F34" s="2845" t="s">
        <v>2460</v>
      </c>
      <c r="G34" s="2845"/>
    </row>
    <row r="35" spans="1:7" ht="19.5" customHeight="1">
      <c r="A35" s="3472"/>
      <c r="B35" s="3468"/>
      <c r="C35" s="2846" t="s">
        <v>2461</v>
      </c>
      <c r="D35" s="2847"/>
      <c r="E35" s="2848">
        <v>0.2</v>
      </c>
      <c r="F35" s="2845" t="s">
        <v>2462</v>
      </c>
      <c r="G35" s="2845"/>
    </row>
    <row r="36" spans="1:7" ht="19.5" customHeight="1">
      <c r="A36" s="3472"/>
      <c r="B36" s="3468"/>
      <c r="C36" s="2846" t="s">
        <v>2463</v>
      </c>
      <c r="D36" s="2847"/>
      <c r="E36" s="2848">
        <v>0.2</v>
      </c>
      <c r="F36" s="2845" t="s">
        <v>2464</v>
      </c>
      <c r="G36" s="2845"/>
    </row>
    <row r="37" spans="1:7" ht="19.5" customHeight="1">
      <c r="A37" s="3472"/>
      <c r="B37" s="3466" t="s">
        <v>2625</v>
      </c>
      <c r="C37" s="2846" t="s">
        <v>2465</v>
      </c>
      <c r="D37" s="2847"/>
      <c r="E37" s="2848">
        <v>0.6</v>
      </c>
      <c r="F37" s="2845" t="s">
        <v>2466</v>
      </c>
      <c r="G37" s="2845"/>
    </row>
    <row r="38" spans="1:7" ht="19.5" customHeight="1">
      <c r="A38" s="3472"/>
      <c r="B38" s="3468"/>
      <c r="C38" s="2846" t="s">
        <v>2467</v>
      </c>
      <c r="D38" s="2847"/>
      <c r="E38" s="2848">
        <v>0.6</v>
      </c>
      <c r="F38" s="2845" t="s">
        <v>2468</v>
      </c>
      <c r="G38" s="2845"/>
    </row>
    <row r="39" spans="1:7" ht="19.5" customHeight="1" thickBot="1">
      <c r="A39" s="3473"/>
      <c r="B39" s="3470"/>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4" t="s">
        <v>2603</v>
      </c>
      <c r="B41" s="3469" t="s">
        <v>2627</v>
      </c>
      <c r="C41" s="2842" t="s">
        <v>2472</v>
      </c>
      <c r="D41" s="2843"/>
      <c r="E41" s="2844">
        <v>1</v>
      </c>
      <c r="F41" s="2845" t="s">
        <v>2473</v>
      </c>
      <c r="G41" s="2845"/>
    </row>
    <row r="42" spans="1:7" ht="19.5" customHeight="1">
      <c r="A42" s="3475"/>
      <c r="B42" s="3468"/>
      <c r="C42" s="2846" t="s">
        <v>2474</v>
      </c>
      <c r="D42" s="2847"/>
      <c r="E42" s="2848">
        <v>1</v>
      </c>
      <c r="F42" s="2845" t="s">
        <v>2475</v>
      </c>
      <c r="G42" s="2845"/>
    </row>
    <row r="43" spans="1:7" ht="19.5" customHeight="1">
      <c r="A43" s="3475"/>
      <c r="B43" s="3467"/>
      <c r="C43" s="2846" t="s">
        <v>2476</v>
      </c>
      <c r="D43" s="2847"/>
      <c r="E43" s="2848">
        <v>1.5</v>
      </c>
      <c r="F43" s="2845" t="s">
        <v>2477</v>
      </c>
      <c r="G43" s="2845"/>
    </row>
    <row r="44" spans="1:7" ht="19.5" customHeight="1">
      <c r="A44" s="3475"/>
      <c r="B44" s="2857" t="s">
        <v>2628</v>
      </c>
      <c r="C44" s="2846" t="s">
        <v>2629</v>
      </c>
      <c r="D44" s="2847"/>
      <c r="E44" s="2848">
        <v>2</v>
      </c>
      <c r="F44" s="2845" t="s">
        <v>2478</v>
      </c>
      <c r="G44" s="2845"/>
    </row>
    <row r="45" spans="1:7" ht="19.5" customHeight="1">
      <c r="A45" s="3475"/>
      <c r="B45" s="3466" t="s">
        <v>2630</v>
      </c>
      <c r="C45" s="2846" t="s">
        <v>2479</v>
      </c>
      <c r="D45" s="2847"/>
      <c r="E45" s="2848">
        <v>1</v>
      </c>
      <c r="F45" s="2845" t="s">
        <v>2480</v>
      </c>
      <c r="G45" s="2845"/>
    </row>
    <row r="46" spans="1:7" ht="19.5" customHeight="1">
      <c r="A46" s="3475"/>
      <c r="B46" s="3468"/>
      <c r="C46" s="2846" t="s">
        <v>2481</v>
      </c>
      <c r="D46" s="2847"/>
      <c r="E46" s="2848">
        <v>1</v>
      </c>
      <c r="F46" s="2845" t="s">
        <v>2482</v>
      </c>
      <c r="G46" s="2845"/>
    </row>
    <row r="47" spans="1:7" ht="19.5" customHeight="1">
      <c r="A47" s="3475"/>
      <c r="B47" s="3468"/>
      <c r="C47" s="2846" t="s">
        <v>2483</v>
      </c>
      <c r="D47" s="2847"/>
      <c r="E47" s="2848">
        <v>1</v>
      </c>
      <c r="F47" s="2845" t="s">
        <v>2484</v>
      </c>
      <c r="G47" s="2845"/>
    </row>
    <row r="48" spans="1:7" ht="19.5" customHeight="1">
      <c r="A48" s="3475"/>
      <c r="B48" s="3468"/>
      <c r="C48" s="2846" t="s">
        <v>2485</v>
      </c>
      <c r="D48" s="2847"/>
      <c r="E48" s="2848">
        <v>1</v>
      </c>
      <c r="F48" s="2845" t="s">
        <v>2486</v>
      </c>
      <c r="G48" s="2845"/>
    </row>
    <row r="49" spans="1:7" ht="19.5" customHeight="1">
      <c r="A49" s="3475"/>
      <c r="B49" s="3468"/>
      <c r="C49" s="2846" t="s">
        <v>2487</v>
      </c>
      <c r="D49" s="2847"/>
      <c r="E49" s="2848">
        <v>1</v>
      </c>
      <c r="F49" s="2845" t="s">
        <v>2488</v>
      </c>
      <c r="G49" s="2845"/>
    </row>
    <row r="50" spans="1:7" ht="19.5" customHeight="1">
      <c r="A50" s="3475"/>
      <c r="B50" s="3468"/>
      <c r="C50" s="2846" t="s">
        <v>2489</v>
      </c>
      <c r="D50" s="2847"/>
      <c r="E50" s="2848">
        <v>1</v>
      </c>
      <c r="F50" s="2845" t="s">
        <v>2490</v>
      </c>
      <c r="G50" s="2845"/>
    </row>
    <row r="51" spans="1:7" ht="19.5" customHeight="1" thickBot="1">
      <c r="A51" s="3476"/>
      <c r="B51" s="3470"/>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6" t="s">
        <v>2644</v>
      </c>
      <c r="C73" s="2831" t="s">
        <v>2645</v>
      </c>
      <c r="D73" s="2831" t="s">
        <v>2646</v>
      </c>
      <c r="E73" s="2857">
        <v>0.2</v>
      </c>
      <c r="F73" s="2857">
        <v>25</v>
      </c>
    </row>
    <row r="74" spans="1:7" ht="24">
      <c r="A74" s="2857">
        <v>2</v>
      </c>
      <c r="B74" s="3468"/>
      <c r="C74" s="2831" t="s">
        <v>2647</v>
      </c>
      <c r="D74" s="2831" t="s">
        <v>2648</v>
      </c>
      <c r="E74" s="2857">
        <v>0.2</v>
      </c>
      <c r="F74" s="2857">
        <v>25</v>
      </c>
    </row>
    <row r="75" spans="1:7" ht="24">
      <c r="A75" s="2857">
        <v>3</v>
      </c>
      <c r="B75" s="3468"/>
      <c r="C75" s="2831" t="s">
        <v>2649</v>
      </c>
      <c r="D75" s="2831" t="s">
        <v>2650</v>
      </c>
      <c r="E75" s="2857">
        <v>0.2</v>
      </c>
      <c r="F75" s="2857">
        <v>25</v>
      </c>
    </row>
    <row r="76" spans="1:7" ht="13.5">
      <c r="A76" s="2857">
        <v>4</v>
      </c>
      <c r="B76" s="3468"/>
      <c r="C76" s="2831" t="s">
        <v>2651</v>
      </c>
      <c r="D76" s="2831" t="s">
        <v>2652</v>
      </c>
      <c r="E76" s="2857">
        <v>0.15</v>
      </c>
      <c r="F76" s="2857">
        <v>20</v>
      </c>
    </row>
    <row r="77" spans="1:7" ht="24">
      <c r="A77" s="2857">
        <v>5</v>
      </c>
      <c r="B77" s="3468"/>
      <c r="C77" s="2831" t="s">
        <v>2653</v>
      </c>
      <c r="D77" s="2831" t="s">
        <v>2654</v>
      </c>
      <c r="E77" s="2857">
        <v>0.15</v>
      </c>
      <c r="F77" s="2857">
        <v>20</v>
      </c>
    </row>
    <row r="78" spans="1:7" ht="24">
      <c r="A78" s="2857">
        <v>6</v>
      </c>
      <c r="B78" s="3468"/>
      <c r="C78" s="2831" t="s">
        <v>2655</v>
      </c>
      <c r="D78" s="2831" t="s">
        <v>2656</v>
      </c>
      <c r="E78" s="2857">
        <v>0.15</v>
      </c>
      <c r="F78" s="2857">
        <v>20</v>
      </c>
    </row>
    <row r="79" spans="1:7" ht="24">
      <c r="A79" s="2857">
        <v>7</v>
      </c>
      <c r="B79" s="3468"/>
      <c r="C79" s="2831" t="s">
        <v>2657</v>
      </c>
      <c r="D79" s="2831" t="s">
        <v>2658</v>
      </c>
      <c r="E79" s="2857">
        <v>0.15</v>
      </c>
      <c r="F79" s="2857">
        <v>20</v>
      </c>
    </row>
    <row r="80" spans="1:7" ht="24">
      <c r="A80" s="2857">
        <v>8</v>
      </c>
      <c r="B80" s="3468"/>
      <c r="C80" s="2831" t="s">
        <v>2659</v>
      </c>
      <c r="D80" s="2831" t="s">
        <v>2660</v>
      </c>
      <c r="E80" s="2857">
        <v>0.1</v>
      </c>
      <c r="F80" s="2857">
        <v>15</v>
      </c>
    </row>
    <row r="81" spans="1:6" ht="24">
      <c r="A81" s="2857">
        <v>9</v>
      </c>
      <c r="B81" s="3468"/>
      <c r="C81" s="2831" t="s">
        <v>2661</v>
      </c>
      <c r="D81" s="2831" t="s">
        <v>2662</v>
      </c>
      <c r="E81" s="2857">
        <v>0.1</v>
      </c>
      <c r="F81" s="2857">
        <v>15</v>
      </c>
    </row>
    <row r="82" spans="1:6" ht="24">
      <c r="A82" s="2857">
        <v>10</v>
      </c>
      <c r="B82" s="3468"/>
      <c r="C82" s="2831" t="s">
        <v>2663</v>
      </c>
      <c r="D82" s="2831" t="s">
        <v>2664</v>
      </c>
      <c r="E82" s="2857">
        <v>0.1</v>
      </c>
      <c r="F82" s="2857">
        <v>15</v>
      </c>
    </row>
    <row r="83" spans="1:6" ht="24">
      <c r="A83" s="2857">
        <v>11</v>
      </c>
      <c r="B83" s="3468"/>
      <c r="C83" s="2831" t="s">
        <v>2665</v>
      </c>
      <c r="D83" s="2831" t="s">
        <v>2666</v>
      </c>
      <c r="E83" s="2857">
        <v>0.1</v>
      </c>
      <c r="F83" s="2857">
        <v>15</v>
      </c>
    </row>
    <row r="84" spans="1:6" ht="24">
      <c r="A84" s="2857">
        <v>12</v>
      </c>
      <c r="B84" s="3468"/>
      <c r="C84" s="2831" t="s">
        <v>2667</v>
      </c>
      <c r="D84" s="2831" t="s">
        <v>2668</v>
      </c>
      <c r="E84" s="2857">
        <v>0.1</v>
      </c>
      <c r="F84" s="2857">
        <v>15</v>
      </c>
    </row>
    <row r="85" spans="1:6" ht="13.5">
      <c r="A85" s="2857">
        <v>13</v>
      </c>
      <c r="B85" s="3468"/>
      <c r="C85" s="2831" t="s">
        <v>2669</v>
      </c>
      <c r="D85" s="2831" t="s">
        <v>2670</v>
      </c>
      <c r="E85" s="2857">
        <v>0.1</v>
      </c>
      <c r="F85" s="2857">
        <v>15</v>
      </c>
    </row>
    <row r="86" spans="1:6" ht="13.5">
      <c r="A86" s="2857">
        <v>14</v>
      </c>
      <c r="B86" s="3468"/>
      <c r="C86" s="2831" t="s">
        <v>2671</v>
      </c>
      <c r="D86" s="2831" t="s">
        <v>2672</v>
      </c>
      <c r="E86" s="2857">
        <v>0.1</v>
      </c>
      <c r="F86" s="2857">
        <v>15</v>
      </c>
    </row>
    <row r="87" spans="1:6" ht="13.5">
      <c r="A87" s="2857">
        <v>15</v>
      </c>
      <c r="B87" s="3468"/>
      <c r="C87" s="2831" t="s">
        <v>2673</v>
      </c>
      <c r="D87" s="2831" t="s">
        <v>2674</v>
      </c>
      <c r="E87" s="2857">
        <v>0.1</v>
      </c>
      <c r="F87" s="2857">
        <v>15</v>
      </c>
    </row>
    <row r="88" spans="1:6" ht="24">
      <c r="A88" s="2857">
        <v>16</v>
      </c>
      <c r="B88" s="3468"/>
      <c r="C88" s="2831" t="s">
        <v>2675</v>
      </c>
      <c r="D88" s="2831" t="s">
        <v>2676</v>
      </c>
      <c r="E88" s="2857">
        <v>0.1</v>
      </c>
      <c r="F88" s="2857">
        <v>15</v>
      </c>
    </row>
    <row r="89" spans="1:6" ht="24">
      <c r="A89" s="2857">
        <v>17</v>
      </c>
      <c r="B89" s="3467"/>
      <c r="C89" s="2831" t="s">
        <v>2677</v>
      </c>
      <c r="D89" s="2831" t="s">
        <v>2678</v>
      </c>
      <c r="E89" s="2857">
        <v>0.1</v>
      </c>
      <c r="F89" s="2857">
        <v>15</v>
      </c>
    </row>
    <row r="90" spans="1:6" ht="13.5">
      <c r="A90" s="2857">
        <v>18</v>
      </c>
      <c r="B90" s="3466" t="s">
        <v>2679</v>
      </c>
      <c r="C90" s="2831" t="s">
        <v>2680</v>
      </c>
      <c r="D90" s="2831" t="s">
        <v>2681</v>
      </c>
      <c r="E90" s="2857">
        <v>0.2</v>
      </c>
      <c r="F90" s="2857">
        <v>25</v>
      </c>
    </row>
    <row r="91" spans="1:6" ht="24">
      <c r="A91" s="2857">
        <v>19</v>
      </c>
      <c r="B91" s="3468"/>
      <c r="C91" s="2831" t="s">
        <v>2682</v>
      </c>
      <c r="D91" s="2831" t="s">
        <v>2683</v>
      </c>
      <c r="E91" s="2857">
        <v>0.2</v>
      </c>
      <c r="F91" s="2857">
        <v>25</v>
      </c>
    </row>
    <row r="92" spans="1:6" ht="13.5">
      <c r="A92" s="2857">
        <v>20</v>
      </c>
      <c r="B92" s="3468"/>
      <c r="C92" s="2831" t="s">
        <v>2684</v>
      </c>
      <c r="D92" s="2831" t="s">
        <v>2685</v>
      </c>
      <c r="E92" s="2857">
        <v>0.15</v>
      </c>
      <c r="F92" s="2857">
        <v>20</v>
      </c>
    </row>
    <row r="93" spans="1:6" ht="13.5">
      <c r="A93" s="2857">
        <v>21</v>
      </c>
      <c r="B93" s="3468"/>
      <c r="C93" s="2831" t="s">
        <v>2686</v>
      </c>
      <c r="D93" s="2831" t="s">
        <v>2687</v>
      </c>
      <c r="E93" s="2857">
        <v>0.15</v>
      </c>
      <c r="F93" s="2857">
        <v>20</v>
      </c>
    </row>
    <row r="94" spans="1:6" ht="13.5">
      <c r="A94" s="2857">
        <v>22</v>
      </c>
      <c r="B94" s="3468"/>
      <c r="C94" s="2831" t="s">
        <v>2688</v>
      </c>
      <c r="D94" s="2831" t="s">
        <v>2689</v>
      </c>
      <c r="E94" s="2857">
        <v>0.15</v>
      </c>
      <c r="F94" s="2857">
        <v>20</v>
      </c>
    </row>
    <row r="95" spans="1:6" ht="36">
      <c r="A95" s="2857">
        <v>23</v>
      </c>
      <c r="B95" s="3468"/>
      <c r="C95" s="2831" t="s">
        <v>2690</v>
      </c>
      <c r="D95" s="2831" t="s">
        <v>2691</v>
      </c>
      <c r="E95" s="2857">
        <v>0.15</v>
      </c>
      <c r="F95" s="2857">
        <v>20</v>
      </c>
    </row>
    <row r="96" spans="1:6" ht="13.5">
      <c r="A96" s="2857">
        <v>24</v>
      </c>
      <c r="B96" s="3468"/>
      <c r="C96" s="2831" t="s">
        <v>2692</v>
      </c>
      <c r="D96" s="2831" t="s">
        <v>2693</v>
      </c>
      <c r="E96" s="2857">
        <v>0.1</v>
      </c>
      <c r="F96" s="2857">
        <v>15</v>
      </c>
    </row>
    <row r="97" spans="1:6" ht="13.5">
      <c r="A97" s="2857">
        <v>25</v>
      </c>
      <c r="B97" s="3468"/>
      <c r="C97" s="2831" t="s">
        <v>2694</v>
      </c>
      <c r="D97" s="2831" t="s">
        <v>2695</v>
      </c>
      <c r="E97" s="2857">
        <v>0.1</v>
      </c>
      <c r="F97" s="2857">
        <v>15</v>
      </c>
    </row>
    <row r="98" spans="1:6" ht="24">
      <c r="A98" s="2857">
        <v>26</v>
      </c>
      <c r="B98" s="3468"/>
      <c r="C98" s="2831" t="s">
        <v>2696</v>
      </c>
      <c r="D98" s="2831" t="s">
        <v>2697</v>
      </c>
      <c r="E98" s="2857">
        <v>0.1</v>
      </c>
      <c r="F98" s="2857">
        <v>15</v>
      </c>
    </row>
    <row r="99" spans="1:6" ht="24">
      <c r="A99" s="2857">
        <v>27</v>
      </c>
      <c r="B99" s="3468"/>
      <c r="C99" s="2831" t="s">
        <v>2698</v>
      </c>
      <c r="D99" s="2831" t="s">
        <v>2699</v>
      </c>
      <c r="E99" s="2857">
        <v>0.1</v>
      </c>
      <c r="F99" s="2857">
        <v>15</v>
      </c>
    </row>
    <row r="100" spans="1:6" ht="13.5">
      <c r="A100" s="2857">
        <v>28</v>
      </c>
      <c r="B100" s="3468"/>
      <c r="C100" s="2831" t="s">
        <v>2700</v>
      </c>
      <c r="D100" s="2831" t="s">
        <v>2701</v>
      </c>
      <c r="E100" s="2857">
        <v>0.1</v>
      </c>
      <c r="F100" s="2857">
        <v>15</v>
      </c>
    </row>
    <row r="101" spans="1:6" ht="13.5">
      <c r="A101" s="2857">
        <v>29</v>
      </c>
      <c r="B101" s="3468"/>
      <c r="C101" s="2831" t="s">
        <v>2702</v>
      </c>
      <c r="D101" s="2831" t="s">
        <v>2703</v>
      </c>
      <c r="E101" s="2857">
        <v>0.1</v>
      </c>
      <c r="F101" s="2857">
        <v>15</v>
      </c>
    </row>
    <row r="102" spans="1:6" ht="13.5">
      <c r="A102" s="2857">
        <v>30</v>
      </c>
      <c r="B102" s="3468"/>
      <c r="C102" s="2831" t="s">
        <v>2704</v>
      </c>
      <c r="D102" s="2831" t="s">
        <v>2705</v>
      </c>
      <c r="E102" s="2857">
        <v>0.1</v>
      </c>
      <c r="F102" s="2857">
        <v>15</v>
      </c>
    </row>
    <row r="103" spans="1:6" ht="24">
      <c r="A103" s="2857">
        <v>31</v>
      </c>
      <c r="B103" s="3468"/>
      <c r="C103" s="2831" t="s">
        <v>2706</v>
      </c>
      <c r="D103" s="2831" t="s">
        <v>2707</v>
      </c>
      <c r="E103" s="2857">
        <v>0.1</v>
      </c>
      <c r="F103" s="2857">
        <v>15</v>
      </c>
    </row>
    <row r="104" spans="1:6" ht="24">
      <c r="A104" s="2857">
        <v>32</v>
      </c>
      <c r="B104" s="3468"/>
      <c r="C104" s="2831" t="s">
        <v>2708</v>
      </c>
      <c r="D104" s="2831" t="s">
        <v>2709</v>
      </c>
      <c r="E104" s="2857">
        <v>0.1</v>
      </c>
      <c r="F104" s="2857">
        <v>15</v>
      </c>
    </row>
    <row r="105" spans="1:6" ht="24">
      <c r="A105" s="2857">
        <v>33</v>
      </c>
      <c r="B105" s="3468"/>
      <c r="C105" s="2831" t="s">
        <v>2710</v>
      </c>
      <c r="D105" s="2831" t="s">
        <v>2711</v>
      </c>
      <c r="E105" s="2857">
        <v>0.1</v>
      </c>
      <c r="F105" s="2857">
        <v>15</v>
      </c>
    </row>
    <row r="106" spans="1:6" ht="24">
      <c r="A106" s="2857">
        <v>34</v>
      </c>
      <c r="B106" s="3467"/>
      <c r="C106" s="2831" t="s">
        <v>2712</v>
      </c>
      <c r="D106" s="2831" t="s">
        <v>2713</v>
      </c>
      <c r="E106" s="2857">
        <v>0.1</v>
      </c>
      <c r="F106" s="2857">
        <v>15</v>
      </c>
    </row>
    <row r="107" spans="1:6" ht="24">
      <c r="A107" s="2857">
        <v>35</v>
      </c>
      <c r="B107" s="3466" t="s">
        <v>2714</v>
      </c>
      <c r="C107" s="2857" t="s">
        <v>2715</v>
      </c>
      <c r="D107" s="2831" t="s">
        <v>2716</v>
      </c>
      <c r="E107" s="2857">
        <v>0.15</v>
      </c>
      <c r="F107" s="2857">
        <v>20</v>
      </c>
    </row>
    <row r="108" spans="1:6" ht="13.5">
      <c r="A108" s="2857">
        <v>36</v>
      </c>
      <c r="B108" s="3468"/>
      <c r="C108" s="2857" t="s">
        <v>2717</v>
      </c>
      <c r="D108" s="2831" t="s">
        <v>2718</v>
      </c>
      <c r="E108" s="2857">
        <v>0.15</v>
      </c>
      <c r="F108" s="2857">
        <v>20</v>
      </c>
    </row>
    <row r="109" spans="1:6" ht="13.5">
      <c r="A109" s="2857">
        <v>37</v>
      </c>
      <c r="B109" s="3468"/>
      <c r="C109" s="2857" t="s">
        <v>2719</v>
      </c>
      <c r="D109" s="2831" t="s">
        <v>2720</v>
      </c>
      <c r="E109" s="2857">
        <v>0.15</v>
      </c>
      <c r="F109" s="2857">
        <v>20</v>
      </c>
    </row>
    <row r="110" spans="1:6" ht="13.5">
      <c r="A110" s="2857">
        <v>38</v>
      </c>
      <c r="B110" s="3468"/>
      <c r="C110" s="2857" t="s">
        <v>2721</v>
      </c>
      <c r="D110" s="2831" t="s">
        <v>2722</v>
      </c>
      <c r="E110" s="2857">
        <v>0.1</v>
      </c>
      <c r="F110" s="2857">
        <v>15</v>
      </c>
    </row>
    <row r="111" spans="1:6" ht="24">
      <c r="A111" s="2857">
        <v>39</v>
      </c>
      <c r="B111" s="3468"/>
      <c r="C111" s="2857" t="s">
        <v>2723</v>
      </c>
      <c r="D111" s="2831" t="s">
        <v>2724</v>
      </c>
      <c r="E111" s="2857">
        <v>0.1</v>
      </c>
      <c r="F111" s="2857">
        <v>15</v>
      </c>
    </row>
    <row r="112" spans="1:6" ht="24">
      <c r="A112" s="2857">
        <v>40</v>
      </c>
      <c r="B112" s="3467"/>
      <c r="C112" s="2857" t="s">
        <v>2725</v>
      </c>
      <c r="D112" s="2831" t="s">
        <v>2726</v>
      </c>
      <c r="E112" s="2857">
        <v>0.1</v>
      </c>
      <c r="F112" s="2857">
        <v>15</v>
      </c>
    </row>
    <row r="113" spans="1:6" ht="13.5">
      <c r="A113" s="2857">
        <v>41</v>
      </c>
      <c r="B113" s="3465" t="s">
        <v>2727</v>
      </c>
      <c r="C113" s="2857" t="s">
        <v>2728</v>
      </c>
      <c r="D113" s="2831" t="s">
        <v>2729</v>
      </c>
      <c r="E113" s="2857">
        <v>0.1</v>
      </c>
      <c r="F113" s="2857">
        <v>15</v>
      </c>
    </row>
    <row r="114" spans="1:6" ht="13.5">
      <c r="A114" s="2857">
        <v>42</v>
      </c>
      <c r="B114" s="3465"/>
      <c r="C114" s="2857" t="s">
        <v>2730</v>
      </c>
      <c r="D114" s="2831" t="s">
        <v>2731</v>
      </c>
      <c r="E114" s="2857">
        <v>0.1</v>
      </c>
      <c r="F114" s="2857">
        <v>15</v>
      </c>
    </row>
    <row r="115" spans="1:6" ht="24">
      <c r="A115" s="2857">
        <v>43</v>
      </c>
      <c r="B115" s="3465"/>
      <c r="C115" s="2857" t="s">
        <v>2732</v>
      </c>
      <c r="D115" s="2831" t="s">
        <v>2733</v>
      </c>
      <c r="E115" s="2857">
        <v>0.1</v>
      </c>
      <c r="F115" s="2857">
        <v>15</v>
      </c>
    </row>
    <row r="116" spans="1:6" ht="13.5">
      <c r="A116" s="2857">
        <v>44</v>
      </c>
      <c r="B116" s="3466" t="s">
        <v>2734</v>
      </c>
      <c r="C116" s="2857" t="s">
        <v>2735</v>
      </c>
      <c r="D116" s="2831" t="s">
        <v>2736</v>
      </c>
      <c r="E116" s="2857">
        <v>0.1</v>
      </c>
      <c r="F116" s="2857">
        <v>15</v>
      </c>
    </row>
    <row r="117" spans="1:6" ht="24">
      <c r="A117" s="2857">
        <v>45</v>
      </c>
      <c r="B117" s="3467"/>
      <c r="C117" s="2831" t="s">
        <v>2737</v>
      </c>
      <c r="D117" s="2831" t="s">
        <v>2738</v>
      </c>
      <c r="E117" s="2857">
        <v>0.1</v>
      </c>
      <c r="F117" s="2857">
        <v>15</v>
      </c>
    </row>
    <row r="118" spans="1:6" ht="24">
      <c r="A118" s="2857">
        <v>46</v>
      </c>
      <c r="B118" s="3466" t="s">
        <v>2739</v>
      </c>
      <c r="C118" s="2857" t="s">
        <v>2740</v>
      </c>
      <c r="D118" s="2831" t="s">
        <v>2741</v>
      </c>
      <c r="E118" s="2857">
        <v>0.1</v>
      </c>
      <c r="F118" s="2857">
        <v>15</v>
      </c>
    </row>
    <row r="119" spans="1:6" ht="24">
      <c r="A119" s="2857">
        <v>47</v>
      </c>
      <c r="B119" s="3467"/>
      <c r="C119" s="2857" t="s">
        <v>2742</v>
      </c>
      <c r="D119" s="2831" t="s">
        <v>2743</v>
      </c>
      <c r="E119" s="2857">
        <v>0.1</v>
      </c>
      <c r="F119" s="2857">
        <v>15</v>
      </c>
    </row>
    <row r="120" spans="1:6" ht="13.5">
      <c r="A120" s="2857">
        <v>48</v>
      </c>
      <c r="B120" s="3466" t="s">
        <v>2744</v>
      </c>
      <c r="C120" s="2857" t="s">
        <v>2745</v>
      </c>
      <c r="D120" s="2831" t="s">
        <v>2746</v>
      </c>
      <c r="E120" s="2857">
        <v>0.1</v>
      </c>
      <c r="F120" s="2857">
        <v>15</v>
      </c>
    </row>
    <row r="121" spans="1:6" ht="13.5">
      <c r="A121" s="2857">
        <v>49</v>
      </c>
      <c r="B121" s="3467"/>
      <c r="C121" s="2857" t="s">
        <v>2747</v>
      </c>
      <c r="D121" s="2831" t="s">
        <v>2748</v>
      </c>
      <c r="E121" s="2857">
        <v>0.1</v>
      </c>
      <c r="F121" s="2857">
        <v>15</v>
      </c>
    </row>
    <row r="122" spans="1:6" ht="24">
      <c r="A122" s="2857">
        <v>50</v>
      </c>
      <c r="B122" s="3465" t="s">
        <v>2749</v>
      </c>
      <c r="C122" s="2857" t="s">
        <v>2750</v>
      </c>
      <c r="D122" s="2831" t="s">
        <v>2751</v>
      </c>
      <c r="E122" s="2857">
        <v>0.1</v>
      </c>
      <c r="F122" s="2857">
        <v>15</v>
      </c>
    </row>
    <row r="123" spans="1:6" ht="24">
      <c r="A123" s="2857">
        <v>51</v>
      </c>
      <c r="B123" s="3465"/>
      <c r="C123" s="2857" t="s">
        <v>2752</v>
      </c>
      <c r="D123" s="2831" t="s">
        <v>2753</v>
      </c>
      <c r="E123" s="2857">
        <v>0.1</v>
      </c>
      <c r="F123" s="2857">
        <v>15</v>
      </c>
    </row>
    <row r="124" spans="1:6" ht="24">
      <c r="A124" s="2857">
        <v>52</v>
      </c>
      <c r="B124" s="3465" t="s">
        <v>2754</v>
      </c>
      <c r="C124" s="2857" t="s">
        <v>2755</v>
      </c>
      <c r="D124" s="2831" t="s">
        <v>2756</v>
      </c>
      <c r="E124" s="2857">
        <v>0.1</v>
      </c>
      <c r="F124" s="2857">
        <v>15</v>
      </c>
    </row>
    <row r="125" spans="1:6" ht="24">
      <c r="A125" s="2857">
        <v>53</v>
      </c>
      <c r="B125" s="3465"/>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5" t="s">
        <v>2762</v>
      </c>
      <c r="C127" s="2857" t="s">
        <v>2763</v>
      </c>
      <c r="D127" s="2831" t="s">
        <v>2764</v>
      </c>
      <c r="E127" s="2857">
        <v>0.1</v>
      </c>
      <c r="F127" s="2857">
        <v>15</v>
      </c>
    </row>
    <row r="128" spans="1:6" ht="13.5">
      <c r="A128" s="2857">
        <v>56</v>
      </c>
      <c r="B128" s="3465"/>
      <c r="C128" s="2857" t="s">
        <v>2765</v>
      </c>
      <c r="D128" s="2831" t="s">
        <v>2766</v>
      </c>
      <c r="E128" s="2857">
        <v>0.1</v>
      </c>
      <c r="F128" s="2857">
        <v>15</v>
      </c>
    </row>
    <row r="129" spans="1:6" ht="24">
      <c r="A129" s="2857">
        <v>57</v>
      </c>
      <c r="B129" s="3465"/>
      <c r="C129" s="2857" t="s">
        <v>2767</v>
      </c>
      <c r="D129" s="2831" t="s">
        <v>2768</v>
      </c>
      <c r="E129" s="2857">
        <v>0.1</v>
      </c>
      <c r="F129" s="2857">
        <v>15</v>
      </c>
    </row>
    <row r="130" spans="1:6" ht="24">
      <c r="A130" s="2857">
        <v>58</v>
      </c>
      <c r="B130" s="3465" t="s">
        <v>2769</v>
      </c>
      <c r="C130" s="2857" t="s">
        <v>2770</v>
      </c>
      <c r="D130" s="2831" t="s">
        <v>2771</v>
      </c>
      <c r="E130" s="2857">
        <v>0.1</v>
      </c>
      <c r="F130" s="2857">
        <v>15</v>
      </c>
    </row>
    <row r="131" spans="1:6" ht="13.5">
      <c r="A131" s="2857">
        <v>59</v>
      </c>
      <c r="B131" s="3465"/>
      <c r="C131" s="2857" t="s">
        <v>2772</v>
      </c>
      <c r="D131" s="2831" t="s">
        <v>2773</v>
      </c>
      <c r="E131" s="2857">
        <v>0.1</v>
      </c>
      <c r="F131" s="2857">
        <v>15</v>
      </c>
    </row>
    <row r="132" spans="1:6" ht="13.5">
      <c r="A132" s="2857">
        <v>60</v>
      </c>
      <c r="B132" s="3466" t="s">
        <v>2774</v>
      </c>
      <c r="C132" s="2857" t="s">
        <v>2775</v>
      </c>
      <c r="D132" s="2831" t="s">
        <v>2776</v>
      </c>
      <c r="E132" s="2857">
        <v>0.1</v>
      </c>
      <c r="F132" s="2857">
        <v>15</v>
      </c>
    </row>
    <row r="133" spans="1:6" ht="13.5">
      <c r="A133" s="2857">
        <v>61</v>
      </c>
      <c r="B133" s="3467"/>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5" t="s">
        <v>2782</v>
      </c>
      <c r="C135" s="2857" t="s">
        <v>2783</v>
      </c>
      <c r="D135" s="2831" t="s">
        <v>2784</v>
      </c>
      <c r="E135" s="2857">
        <v>0.1</v>
      </c>
      <c r="F135" s="2857">
        <v>15</v>
      </c>
    </row>
    <row r="136" spans="1:6" ht="13.5">
      <c r="A136" s="2857">
        <v>64</v>
      </c>
      <c r="B136" s="3465"/>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27385</v>
      </c>
      <c r="C2" s="2" t="s">
        <v>106</v>
      </c>
      <c r="D2" s="191"/>
      <c r="E2" s="191"/>
      <c r="F2" s="191"/>
      <c r="G2" s="191"/>
    </row>
    <row r="3" spans="1:7" s="192" customFormat="1" ht="18" customHeight="1" thickBot="1">
      <c r="A3" s="195" t="s">
        <v>58</v>
      </c>
      <c r="B3" s="196">
        <f ca="1">ROUND(B2*10000/'数据-汇总表'!E3,0)</f>
        <v>36585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1630</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2" t="s">
        <v>94</v>
      </c>
    </row>
    <row r="43" spans="1:7" ht="13.5" customHeight="1">
      <c r="A43" s="734" t="s">
        <v>347</v>
      </c>
      <c r="B43" s="207" t="s">
        <v>426</v>
      </c>
      <c r="C43" s="230">
        <f ca="1">ROUND(IF('数据-取费表'!B22&lt;=1,C39*F22*'数据-取费表'!B21/2,C39*(POWER((1+F22),'数据-取费表'!B21/2)-1)),0)</f>
        <v>1</v>
      </c>
      <c r="D43" s="230"/>
      <c r="E43" s="230"/>
      <c r="F43" s="231"/>
      <c r="G43" s="3343"/>
    </row>
    <row r="44" spans="1:7" ht="13.5" customHeight="1">
      <c r="A44" s="734" t="s">
        <v>348</v>
      </c>
      <c r="B44" s="207" t="s">
        <v>428</v>
      </c>
      <c r="C44" s="230">
        <f ca="1">ROUND(IF('数据-取费表'!B22&lt;=1,C40*F22*'数据-取费表'!B21/2,C40*(POWER((1+F22),'数据-取费表'!B21/2)-1)),4)</f>
        <v>5.0000000000000001E-4</v>
      </c>
      <c r="D44" s="230"/>
      <c r="E44" s="230"/>
      <c r="F44" s="231"/>
      <c r="G44" s="3344"/>
    </row>
    <row r="45" spans="1:7" s="206" customFormat="1" ht="13.5" customHeight="1">
      <c r="A45" s="731" t="s">
        <v>341</v>
      </c>
      <c r="B45" s="236" t="s">
        <v>85</v>
      </c>
      <c r="C45" s="237">
        <f>C46</f>
        <v>155</v>
      </c>
      <c r="D45" s="227">
        <f>C47</f>
        <v>1.6000000000000001E-3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2305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1614</v>
      </c>
      <c r="D51" s="224"/>
      <c r="E51" s="224"/>
      <c r="F51" s="256"/>
      <c r="G51" s="226" t="s">
        <v>37</v>
      </c>
    </row>
    <row r="52" spans="1:7" s="200" customFormat="1" ht="16.5" thickBot="1">
      <c r="A52" s="257" t="s">
        <v>38</v>
      </c>
      <c r="B52" s="258"/>
      <c r="C52" s="259">
        <f ca="1">C31+C51</f>
        <v>27385</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9" t="s">
        <v>2832</v>
      </c>
      <c r="B1" s="3479"/>
      <c r="C1" s="3479"/>
      <c r="D1" s="3479"/>
      <c r="E1" s="3479"/>
      <c r="F1" s="3479"/>
      <c r="G1" s="3480"/>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7"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8"/>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1" t="s">
        <v>3174</v>
      </c>
      <c r="B1" s="3481"/>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2" t="s">
        <v>3225</v>
      </c>
      <c r="B1" s="3482"/>
      <c r="C1" s="3482"/>
      <c r="D1" s="3482"/>
      <c r="E1" s="3482"/>
      <c r="F1" s="3483"/>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4" t="s">
        <v>456</v>
      </c>
      <c r="S1" s="3485"/>
      <c r="T1" s="3485"/>
      <c r="U1" s="3485"/>
      <c r="V1" s="3485"/>
      <c r="W1" s="3485"/>
      <c r="X1" s="2896"/>
      <c r="Y1" s="3484" t="s">
        <v>457</v>
      </c>
      <c r="Z1" s="3485"/>
      <c r="AA1" s="3485"/>
      <c r="AB1" s="3485"/>
      <c r="AC1" s="3485"/>
      <c r="AD1" s="3485"/>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4" t="s">
        <v>2820</v>
      </c>
      <c r="S26" s="3485"/>
      <c r="T26" s="3485"/>
      <c r="U26" s="3485"/>
      <c r="V26" s="3485"/>
      <c r="W26" s="3485"/>
      <c r="X26" s="2896"/>
      <c r="Y26" s="3484" t="s">
        <v>2821</v>
      </c>
      <c r="Z26" s="3485"/>
      <c r="AA26" s="3485"/>
      <c r="AB26" s="3485"/>
      <c r="AC26" s="3485"/>
      <c r="AD26" s="3485"/>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7485.3499999999985</v>
      </c>
      <c r="C4" s="801">
        <f>项目基本情况!C18</f>
        <v>14159.619999999999</v>
      </c>
      <c r="D4" s="801">
        <f ca="1">结果表!D118</f>
        <v>1645</v>
      </c>
      <c r="E4" s="801">
        <f ca="1">结果表!E118</f>
        <v>2198</v>
      </c>
      <c r="F4" s="801">
        <f ca="1">结果表!F118</f>
        <v>1870</v>
      </c>
      <c r="G4" s="801">
        <f ca="1">结果表!G118</f>
        <v>2498</v>
      </c>
      <c r="H4" s="801">
        <f ca="1">结果表!H118</f>
        <v>3515</v>
      </c>
      <c r="I4" s="801">
        <f ca="1">结果表!I118</f>
        <v>4696</v>
      </c>
    </row>
    <row r="5" spans="1:9" ht="30" customHeight="1">
      <c r="A5" s="3174" t="s">
        <v>927</v>
      </c>
      <c r="B5" s="3174"/>
      <c r="C5" s="3174"/>
      <c r="D5" s="3174" t="str">
        <f ca="1">结果表!D119</f>
        <v>壹仟陆佰肆拾伍万元整</v>
      </c>
      <c r="E5" s="3174"/>
      <c r="F5" s="3174" t="str">
        <f ca="1">结果表!F119</f>
        <v>壹仟捌佰柒拾万元整</v>
      </c>
      <c r="G5" s="3174"/>
      <c r="H5" s="3174" t="str">
        <f ca="1">结果表!H119</f>
        <v>叁仟伍佰壹拾伍万元整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3515</v>
      </c>
      <c r="E8" s="3173"/>
      <c r="F8" s="3173"/>
      <c r="G8" s="3173"/>
      <c r="H8" s="3173"/>
      <c r="I8" s="3173"/>
    </row>
    <row r="9" spans="1:9" ht="15">
      <c r="A9" s="3174" t="s">
        <v>927</v>
      </c>
      <c r="B9" s="3174"/>
      <c r="C9" s="3174"/>
      <c r="D9" s="3174" t="str">
        <f ca="1">结果表!D123</f>
        <v>叁仟伍佰壹拾伍万元整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抵押净值</v>
      </c>
      <c r="B12" s="3173"/>
      <c r="C12" s="3173"/>
      <c r="D12" s="3173">
        <f ca="1">结果表!D126</f>
        <v>3329</v>
      </c>
      <c r="E12" s="3173"/>
      <c r="F12" s="3173"/>
      <c r="G12" s="3173"/>
      <c r="H12" s="3173"/>
      <c r="I12" s="3173"/>
    </row>
    <row r="13" spans="1:9" ht="15.75" thickBot="1">
      <c r="A13" s="3171" t="s">
        <v>927</v>
      </c>
      <c r="B13" s="3171"/>
      <c r="C13" s="3171"/>
      <c r="D13" s="3171" t="str">
        <f ca="1">结果表!D127</f>
        <v>叁仟叁佰贰拾玖万元整</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45643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2024-12-17T03:25:26Z</dcterms:modified>
</cp:coreProperties>
</file>