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收益法" sheetId="15" r:id="rId35"/>
    <sheet name="地价" sheetId="59" state="hidden" r:id="rId36"/>
    <sheet name="存贷款利率" sheetId="61" state="hidden" r:id="rId37"/>
    <sheet name="出售案例" sheetId="63" r:id="rId38"/>
    <sheet name="出租案例"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N22" s="1"/>
  <c r="E20" s="1"/>
  <c r="I17"/>
  <c r="AH5" i="59" l="1"/>
  <c r="AG5"/>
  <c r="AE5"/>
  <c r="AF5" s="1"/>
  <c r="AD5"/>
  <c r="Q5"/>
  <c r="P5"/>
  <c r="O5"/>
  <c r="N5"/>
  <c r="L3" l="1"/>
  <c r="AH3" s="1"/>
  <c r="K3"/>
  <c r="J3"/>
  <c r="I3"/>
  <c r="AD3" s="1"/>
  <c r="AH6"/>
  <c r="AG6"/>
  <c r="AE6"/>
  <c r="AF6" s="1"/>
  <c r="AD6"/>
  <c r="Q6"/>
  <c r="Q7"/>
  <c r="P6"/>
  <c r="P7"/>
  <c r="O6"/>
  <c r="O7"/>
  <c r="N6"/>
  <c r="N7"/>
  <c r="N8"/>
  <c r="O8"/>
  <c r="P8"/>
  <c r="Q8"/>
  <c r="AD7"/>
  <c r="AE7"/>
  <c r="AF7" s="1"/>
  <c r="AG7"/>
  <c r="AH7"/>
  <c r="M48" i="15"/>
  <c r="B2" i="1"/>
  <c r="F30" s="1"/>
  <c r="B23"/>
  <c r="B13"/>
  <c r="L49" i="15" s="1"/>
  <c r="J50"/>
  <c r="J51"/>
  <c r="J52" s="1"/>
  <c r="B25" i="1"/>
  <c r="AH8" i="59"/>
  <c r="AG8"/>
  <c r="AE8"/>
  <c r="AF8" s="1"/>
  <c r="AD8"/>
  <c r="AH9"/>
  <c r="AG9"/>
  <c r="AE9"/>
  <c r="AF9"/>
  <c r="AD9"/>
  <c r="Q9"/>
  <c r="P9"/>
  <c r="O9"/>
  <c r="N9"/>
  <c r="Q10"/>
  <c r="P10"/>
  <c r="O10"/>
  <c r="N10"/>
  <c r="D10"/>
  <c r="E9"/>
  <c r="U9" s="1"/>
  <c r="F9"/>
  <c r="V9" s="1"/>
  <c r="C9"/>
  <c r="C8" s="1"/>
  <c r="T9"/>
  <c r="A2" i="50"/>
  <c r="B16" i="60" s="1"/>
  <c r="D9" i="59"/>
  <c r="K60" i="15"/>
  <c r="P59" s="1"/>
  <c r="P72"/>
  <c r="A132" i="57"/>
  <c r="A130"/>
  <c r="A128"/>
  <c r="A126"/>
  <c r="A129" i="9"/>
  <c r="A127"/>
  <c r="A125"/>
  <c r="A8" i="52" s="1"/>
  <c r="B65" i="60" s="1"/>
  <c r="A123" i="9"/>
  <c r="A6" i="52" s="1"/>
  <c r="B64" i="60" s="1"/>
  <c r="A16" i="54"/>
  <c r="A14"/>
  <c r="A19" i="55"/>
  <c r="B49" i="60" s="1"/>
  <c r="A13" i="55"/>
  <c r="A1" i="52"/>
  <c r="A4" i="50"/>
  <c r="P11" i="59"/>
  <c r="O11"/>
  <c r="N11"/>
  <c r="Q11"/>
  <c r="C76" i="9"/>
  <c r="C77" i="57"/>
  <c r="J56"/>
  <c r="K55" i="9"/>
  <c r="J55"/>
  <c r="I6" i="4"/>
  <c r="K56" i="9" s="1"/>
  <c r="J57" i="57"/>
  <c r="J58" s="1"/>
  <c r="J60" s="1"/>
  <c r="J62" s="1"/>
  <c r="K57"/>
  <c r="J56" i="9"/>
  <c r="J57" s="1"/>
  <c r="J59" s="1"/>
  <c r="J61" s="1"/>
  <c r="E15" i="62"/>
  <c r="F15"/>
  <c r="E16"/>
  <c r="F16"/>
  <c r="E17"/>
  <c r="F17"/>
  <c r="E18"/>
  <c r="F18"/>
  <c r="E19"/>
  <c r="F19"/>
  <c r="E20"/>
  <c r="F20"/>
  <c r="E21"/>
  <c r="F21"/>
  <c r="E22"/>
  <c r="F22"/>
  <c r="E23"/>
  <c r="F23"/>
  <c r="C14"/>
  <c r="B2" s="1"/>
  <c r="B14"/>
  <c r="B1" s="1"/>
  <c r="B3"/>
  <c r="O12" i="59"/>
  <c r="P12"/>
  <c r="Q12"/>
  <c r="N12"/>
  <c r="AE3"/>
  <c r="AF3" s="1"/>
  <c r="AG3"/>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H24"/>
  <c r="AG24"/>
  <c r="AE24"/>
  <c r="AD24"/>
  <c r="AF24"/>
  <c r="AD25"/>
  <c r="AE25"/>
  <c r="AF25"/>
  <c r="AG25"/>
  <c r="AH25"/>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B21" i="50" s="1"/>
  <c r="F112" i="9"/>
  <c r="B45" i="50"/>
  <c r="B59" i="60" s="1"/>
  <c r="D2" i="52"/>
  <c r="B60" i="60" s="1"/>
  <c r="B18" i="50"/>
  <c r="B39" s="1"/>
  <c r="B15"/>
  <c r="B36" s="1"/>
  <c r="B10"/>
  <c r="B31" s="1"/>
  <c r="C6"/>
  <c r="B18" i="60" s="1"/>
  <c r="A13" i="54"/>
  <c r="B10" i="60" s="1"/>
  <c r="B51"/>
  <c r="B50"/>
  <c r="B47"/>
  <c r="B51" i="10"/>
  <c r="A18" i="55"/>
  <c r="B48" i="60" s="1"/>
  <c r="A15" i="55"/>
  <c r="B45" i="60" s="1"/>
  <c r="A14" i="55"/>
  <c r="B44" i="60" s="1"/>
  <c r="B43"/>
  <c r="C10" i="50"/>
  <c r="B24" i="60" s="1"/>
  <c r="C7" i="50"/>
  <c r="C35"/>
  <c r="C34"/>
  <c r="C33"/>
  <c r="B13" i="60"/>
  <c r="C42" i="50"/>
  <c r="C36"/>
  <c r="C39"/>
  <c r="I19" i="43"/>
  <c r="A135" i="57"/>
  <c r="F118"/>
  <c r="D74" i="59"/>
  <c r="F73"/>
  <c r="E73"/>
  <c r="E72" s="1"/>
  <c r="E71"/>
  <c r="C73"/>
  <c r="D73"/>
  <c r="B73"/>
  <c r="F72"/>
  <c r="F71" s="1"/>
  <c r="B72"/>
  <c r="B71" s="1"/>
  <c r="D70"/>
  <c r="F69"/>
  <c r="E69"/>
  <c r="E68" s="1"/>
  <c r="E67" s="1"/>
  <c r="C69"/>
  <c r="D69"/>
  <c r="B69"/>
  <c r="F68"/>
  <c r="F67" s="1"/>
  <c r="B68"/>
  <c r="B67" s="1"/>
  <c r="D66"/>
  <c r="Q65"/>
  <c r="P65"/>
  <c r="O65"/>
  <c r="N65"/>
  <c r="F65"/>
  <c r="E65"/>
  <c r="U65" s="1"/>
  <c r="C65"/>
  <c r="T65" s="1"/>
  <c r="B65"/>
  <c r="Q64"/>
  <c r="P64"/>
  <c r="O64"/>
  <c r="N64"/>
  <c r="Q63"/>
  <c r="P63"/>
  <c r="O63"/>
  <c r="N63"/>
  <c r="Q62"/>
  <c r="P62"/>
  <c r="O62"/>
  <c r="N62"/>
  <c r="D62"/>
  <c r="S61"/>
  <c r="Q61"/>
  <c r="P61"/>
  <c r="O61"/>
  <c r="N61"/>
  <c r="F61"/>
  <c r="V61"/>
  <c r="E61"/>
  <c r="U61"/>
  <c r="C61"/>
  <c r="T61"/>
  <c r="B61"/>
  <c r="Q60"/>
  <c r="P60"/>
  <c r="O60"/>
  <c r="N60"/>
  <c r="F60"/>
  <c r="F59" s="1"/>
  <c r="B60"/>
  <c r="B59" s="1"/>
  <c r="Q59"/>
  <c r="P59"/>
  <c r="O59"/>
  <c r="N59"/>
  <c r="Q58"/>
  <c r="P58"/>
  <c r="O58"/>
  <c r="N58"/>
  <c r="D58"/>
  <c r="Q57"/>
  <c r="P57"/>
  <c r="O57"/>
  <c r="N57"/>
  <c r="F57"/>
  <c r="E57"/>
  <c r="C57"/>
  <c r="B57"/>
  <c r="Q56"/>
  <c r="P56"/>
  <c r="O56"/>
  <c r="N56"/>
  <c r="Q55"/>
  <c r="P55"/>
  <c r="O55"/>
  <c r="N55"/>
  <c r="Q54"/>
  <c r="P54"/>
  <c r="O54"/>
  <c r="N54"/>
  <c r="D54"/>
  <c r="F53"/>
  <c r="E53"/>
  <c r="E52" s="1"/>
  <c r="E51" s="1"/>
  <c r="C53"/>
  <c r="B53"/>
  <c r="B52"/>
  <c r="P50"/>
  <c r="D50"/>
  <c r="Q49"/>
  <c r="P49"/>
  <c r="O49"/>
  <c r="N49"/>
  <c r="Q48"/>
  <c r="P48"/>
  <c r="O48"/>
  <c r="N48"/>
  <c r="Q47"/>
  <c r="P47"/>
  <c r="O47"/>
  <c r="N47"/>
  <c r="Q46"/>
  <c r="F47" s="1"/>
  <c r="F48" s="1"/>
  <c r="F49" s="1"/>
  <c r="V49" s="1"/>
  <c r="P46"/>
  <c r="E47" s="1"/>
  <c r="E48" s="1"/>
  <c r="E49" s="1"/>
  <c r="U49" s="1"/>
  <c r="O46"/>
  <c r="C47" s="1"/>
  <c r="N46"/>
  <c r="B47" s="1"/>
  <c r="B48" s="1"/>
  <c r="B49" s="1"/>
  <c r="S49" s="1"/>
  <c r="D46"/>
  <c r="Q45"/>
  <c r="P45"/>
  <c r="O45"/>
  <c r="N45"/>
  <c r="Q44"/>
  <c r="P44"/>
  <c r="O44"/>
  <c r="N44"/>
  <c r="Q43"/>
  <c r="P43"/>
  <c r="O43"/>
  <c r="N43"/>
  <c r="Q42"/>
  <c r="F43"/>
  <c r="F44" s="1"/>
  <c r="F45" s="1"/>
  <c r="V45" s="1"/>
  <c r="P42"/>
  <c r="E43" s="1"/>
  <c r="E44" s="1"/>
  <c r="E45" s="1"/>
  <c r="U45" s="1"/>
  <c r="O42"/>
  <c r="C43" s="1"/>
  <c r="N42"/>
  <c r="B43"/>
  <c r="B44" s="1"/>
  <c r="B45" s="1"/>
  <c r="S45" s="1"/>
  <c r="D42"/>
  <c r="Q41"/>
  <c r="P41"/>
  <c r="O41"/>
  <c r="N41"/>
  <c r="Q40"/>
  <c r="P40"/>
  <c r="O40"/>
  <c r="N40"/>
  <c r="Q39"/>
  <c r="P39"/>
  <c r="O39"/>
  <c r="N39"/>
  <c r="Q38"/>
  <c r="F39" s="1"/>
  <c r="F40" s="1"/>
  <c r="F41" s="1"/>
  <c r="V41" s="1"/>
  <c r="P38"/>
  <c r="E39" s="1"/>
  <c r="E40" s="1"/>
  <c r="E41" s="1"/>
  <c r="U41" s="1"/>
  <c r="O38"/>
  <c r="C39" s="1"/>
  <c r="N38"/>
  <c r="B39" s="1"/>
  <c r="B40" s="1"/>
  <c r="B41" s="1"/>
  <c r="S41" s="1"/>
  <c r="D38"/>
  <c r="Q37"/>
  <c r="P37"/>
  <c r="O37"/>
  <c r="N37"/>
  <c r="Q36"/>
  <c r="P36"/>
  <c r="O36"/>
  <c r="N36"/>
  <c r="Q35"/>
  <c r="P35"/>
  <c r="O35"/>
  <c r="N35"/>
  <c r="E35"/>
  <c r="E36" s="1"/>
  <c r="E37" s="1"/>
  <c r="U37" s="1"/>
  <c r="Q34"/>
  <c r="F35" s="1"/>
  <c r="F36" s="1"/>
  <c r="F37" s="1"/>
  <c r="V37" s="1"/>
  <c r="P34"/>
  <c r="O34"/>
  <c r="C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s="1"/>
  <c r="B33" s="1"/>
  <c r="S33" s="1"/>
  <c r="D30"/>
  <c r="Q29"/>
  <c r="P29"/>
  <c r="O29"/>
  <c r="N29"/>
  <c r="Q28"/>
  <c r="P28"/>
  <c r="O28"/>
  <c r="N28"/>
  <c r="Q27"/>
  <c r="P27"/>
  <c r="O27"/>
  <c r="N27"/>
  <c r="Q26"/>
  <c r="F27" s="1"/>
  <c r="F28" s="1"/>
  <c r="F29" s="1"/>
  <c r="V29" s="1"/>
  <c r="P26"/>
  <c r="E27"/>
  <c r="E28" s="1"/>
  <c r="E29" s="1"/>
  <c r="U29" s="1"/>
  <c r="O26"/>
  <c r="C27" s="1"/>
  <c r="N26"/>
  <c r="B27" s="1"/>
  <c r="B28" s="1"/>
  <c r="B29" s="1"/>
  <c r="S29" s="1"/>
  <c r="D26"/>
  <c r="Q25"/>
  <c r="P25"/>
  <c r="O25"/>
  <c r="N25"/>
  <c r="AB24"/>
  <c r="Q24"/>
  <c r="P24"/>
  <c r="AA24" s="1"/>
  <c r="O24"/>
  <c r="Y24" s="1"/>
  <c r="Z24" s="1"/>
  <c r="N24"/>
  <c r="X24"/>
  <c r="Q23"/>
  <c r="AB23" s="1"/>
  <c r="P23"/>
  <c r="O23"/>
  <c r="Y23" s="1"/>
  <c r="Z23" s="1"/>
  <c r="N23"/>
  <c r="X23" s="1"/>
  <c r="Q22"/>
  <c r="AB22" s="1"/>
  <c r="P22"/>
  <c r="E23"/>
  <c r="E24" s="1"/>
  <c r="E25" s="1"/>
  <c r="O22"/>
  <c r="Y22" s="1"/>
  <c r="Z22" s="1"/>
  <c r="N22"/>
  <c r="X22" s="1"/>
  <c r="D22"/>
  <c r="Q21"/>
  <c r="AB21" s="1"/>
  <c r="P21"/>
  <c r="O21"/>
  <c r="Y21" s="1"/>
  <c r="Z21" s="1"/>
  <c r="N21"/>
  <c r="Q20"/>
  <c r="AB20" s="1"/>
  <c r="P20"/>
  <c r="O20"/>
  <c r="Y20" s="1"/>
  <c r="Z20" s="1"/>
  <c r="N20"/>
  <c r="Q19"/>
  <c r="AB19" s="1"/>
  <c r="P19"/>
  <c r="O19"/>
  <c r="Y19" s="1"/>
  <c r="Z19" s="1"/>
  <c r="N19"/>
  <c r="Q18"/>
  <c r="AB18" s="1"/>
  <c r="P18"/>
  <c r="E19"/>
  <c r="E20" s="1"/>
  <c r="E21" s="1"/>
  <c r="U21" s="1"/>
  <c r="O18"/>
  <c r="Y18" s="1"/>
  <c r="Z18" s="1"/>
  <c r="N18"/>
  <c r="X18" s="1"/>
  <c r="D18"/>
  <c r="Q17"/>
  <c r="AB17" s="1"/>
  <c r="P17"/>
  <c r="O17"/>
  <c r="Y17" s="1"/>
  <c r="Z17" s="1"/>
  <c r="N17"/>
  <c r="Q16"/>
  <c r="AB16" s="1"/>
  <c r="P16"/>
  <c r="O16"/>
  <c r="Y16" s="1"/>
  <c r="Z16" s="1"/>
  <c r="N16"/>
  <c r="Q15"/>
  <c r="AB15" s="1"/>
  <c r="P15"/>
  <c r="AA15" s="1"/>
  <c r="O15"/>
  <c r="Y15" s="1"/>
  <c r="Z15" s="1"/>
  <c r="N15"/>
  <c r="Q14"/>
  <c r="AB14" s="1"/>
  <c r="P14"/>
  <c r="AA14" s="1"/>
  <c r="E15"/>
  <c r="E16" s="1"/>
  <c r="E17" s="1"/>
  <c r="U17" s="1"/>
  <c r="O14"/>
  <c r="Y14" s="1"/>
  <c r="Z14" s="1"/>
  <c r="N14"/>
  <c r="X14" s="1"/>
  <c r="D14"/>
  <c r="O13"/>
  <c r="N13"/>
  <c r="C13"/>
  <c r="T13" s="1"/>
  <c r="Y10"/>
  <c r="Z10" s="1"/>
  <c r="Y11"/>
  <c r="Z11" s="1"/>
  <c r="Y13"/>
  <c r="Z13" s="1"/>
  <c r="Y12"/>
  <c r="Z12" s="1"/>
  <c r="B13"/>
  <c r="B12" s="1"/>
  <c r="B11" s="1"/>
  <c r="X12"/>
  <c r="X11"/>
  <c r="P13"/>
  <c r="AA9" s="1"/>
  <c r="P51"/>
  <c r="U57"/>
  <c r="E56"/>
  <c r="E55"/>
  <c r="Q13"/>
  <c r="N52"/>
  <c r="B51"/>
  <c r="T53"/>
  <c r="O53"/>
  <c r="D53"/>
  <c r="C52"/>
  <c r="C51" s="1"/>
  <c r="T57"/>
  <c r="D57"/>
  <c r="C56"/>
  <c r="Q53"/>
  <c r="C60"/>
  <c r="E60"/>
  <c r="E59" s="1"/>
  <c r="D61"/>
  <c r="C64"/>
  <c r="E64"/>
  <c r="E63" s="1"/>
  <c r="D65"/>
  <c r="C68"/>
  <c r="C72"/>
  <c r="D72" s="1"/>
  <c r="F13"/>
  <c r="AB10"/>
  <c r="AB12"/>
  <c r="E13"/>
  <c r="E12" s="1"/>
  <c r="E11" s="1"/>
  <c r="AA12"/>
  <c r="AA3"/>
  <c r="C12"/>
  <c r="C11" s="1"/>
  <c r="D11" s="1"/>
  <c r="D68"/>
  <c r="C67"/>
  <c r="D67"/>
  <c r="D60"/>
  <c r="C59"/>
  <c r="D59" s="1"/>
  <c r="C55"/>
  <c r="D55" s="1"/>
  <c r="D56"/>
  <c r="C71"/>
  <c r="D71" s="1"/>
  <c r="D64"/>
  <c r="C63"/>
  <c r="D63"/>
  <c r="O52"/>
  <c r="N50"/>
  <c r="N51"/>
  <c r="D12"/>
  <c r="F12"/>
  <c r="F11" s="1"/>
  <c r="V13"/>
  <c r="Z25" i="40"/>
  <c r="Q25"/>
  <c r="D94"/>
  <c r="E94" s="1"/>
  <c r="F94" s="1"/>
  <c r="G94" s="1"/>
  <c r="H25"/>
  <c r="U25"/>
  <c r="F25"/>
  <c r="AA25" s="1"/>
  <c r="Q27" i="39"/>
  <c r="Z27" s="1"/>
  <c r="D101"/>
  <c r="E101"/>
  <c r="F101" s="1"/>
  <c r="G101" s="1"/>
  <c r="Z18" i="36"/>
  <c r="Q18"/>
  <c r="F18"/>
  <c r="AA18" s="1"/>
  <c r="C18"/>
  <c r="D66"/>
  <c r="E66" s="1"/>
  <c r="F66" s="1"/>
  <c r="G66" s="1"/>
  <c r="Q18" i="35"/>
  <c r="Z18" s="1"/>
  <c r="D68"/>
  <c r="E68"/>
  <c r="F68" s="1"/>
  <c r="G68" s="1"/>
  <c r="J18"/>
  <c r="AC18"/>
  <c r="H18"/>
  <c r="AB18"/>
  <c r="F18"/>
  <c r="AA18" s="1"/>
  <c r="C18"/>
  <c r="Q21" i="37"/>
  <c r="Z21" s="1"/>
  <c r="D77"/>
  <c r="E77"/>
  <c r="F77" s="1"/>
  <c r="G77" s="1"/>
  <c r="H21"/>
  <c r="AB21" s="1"/>
  <c r="F21"/>
  <c r="AA21" s="1"/>
  <c r="C21"/>
  <c r="Q21" i="34"/>
  <c r="Z21" s="1"/>
  <c r="D84"/>
  <c r="E84"/>
  <c r="F21"/>
  <c r="AA21"/>
  <c r="C21"/>
  <c r="Z21" i="33"/>
  <c r="Q21"/>
  <c r="D83"/>
  <c r="E83" s="1"/>
  <c r="F83" s="1"/>
  <c r="G83" s="1"/>
  <c r="H21"/>
  <c r="AB21"/>
  <c r="F21"/>
  <c r="AA21" s="1"/>
  <c r="C21"/>
  <c r="Q21" i="21"/>
  <c r="Z21" s="1"/>
  <c r="D83"/>
  <c r="E83" s="1"/>
  <c r="F83" s="1"/>
  <c r="F21"/>
  <c r="AA21" s="1"/>
  <c r="C21"/>
  <c r="G20" i="20"/>
  <c r="B86" i="43" s="1"/>
  <c r="C22" i="20"/>
  <c r="C29" i="39" s="1"/>
  <c r="AB25" i="40"/>
  <c r="S25"/>
  <c r="S18" i="36"/>
  <c r="W18" i="35"/>
  <c r="U18"/>
  <c r="S18"/>
  <c r="U21" i="37"/>
  <c r="S21"/>
  <c r="S21" i="34"/>
  <c r="U21" i="33"/>
  <c r="S21"/>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D1" s="1"/>
  <c r="E10" s="1"/>
  <c r="E15"/>
  <c r="I14"/>
  <c r="I13"/>
  <c r="I12"/>
  <c r="I15"/>
  <c r="I9"/>
  <c r="I8"/>
  <c r="I7"/>
  <c r="I6"/>
  <c r="I5"/>
  <c r="I4"/>
  <c r="I3"/>
  <c r="I10"/>
  <c r="I21" s="1"/>
  <c r="G57" i="40"/>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s="1"/>
  <c r="K87" s="1"/>
  <c r="L87" s="1"/>
  <c r="M87" s="1"/>
  <c r="H29"/>
  <c r="H34" i="37"/>
  <c r="AB34"/>
  <c r="D101"/>
  <c r="F34"/>
  <c r="AA34" s="1"/>
  <c r="D99"/>
  <c r="E99" s="1"/>
  <c r="F99"/>
  <c r="G99" s="1"/>
  <c r="H42" i="34"/>
  <c r="J42"/>
  <c r="F42"/>
  <c r="J38"/>
  <c r="AC38"/>
  <c r="D114"/>
  <c r="D112"/>
  <c r="E112" s="1"/>
  <c r="F112"/>
  <c r="G112" s="1"/>
  <c r="H112" s="1"/>
  <c r="I112" s="1"/>
  <c r="J112" s="1"/>
  <c r="K112" s="1"/>
  <c r="L112" s="1"/>
  <c r="M112" s="1"/>
  <c r="F40" i="33"/>
  <c r="J41"/>
  <c r="W41"/>
  <c r="D113"/>
  <c r="F37"/>
  <c r="S37" s="1"/>
  <c r="D111"/>
  <c r="E111" s="1"/>
  <c r="F111"/>
  <c r="G111" s="1"/>
  <c r="H111" s="1"/>
  <c r="I111" s="1"/>
  <c r="J111" s="1"/>
  <c r="K111" s="1"/>
  <c r="L111" s="1"/>
  <c r="M111" s="1"/>
  <c r="S518" i="31"/>
  <c r="S519"/>
  <c r="S520"/>
  <c r="S521"/>
  <c r="S522"/>
  <c r="S523"/>
  <c r="S524"/>
  <c r="S525"/>
  <c r="S526"/>
  <c r="S527"/>
  <c r="F41" i="21"/>
  <c r="J41"/>
  <c r="AC41" s="1"/>
  <c r="H41"/>
  <c r="D81" i="39"/>
  <c r="E81"/>
  <c r="F81" s="1"/>
  <c r="G81" s="1"/>
  <c r="H81" s="1"/>
  <c r="I81" s="1"/>
  <c r="J81" s="1"/>
  <c r="K81" s="1"/>
  <c r="L81" s="1"/>
  <c r="M81" s="1"/>
  <c r="D76" i="40"/>
  <c r="E76"/>
  <c r="F76" s="1"/>
  <c r="G76" s="1"/>
  <c r="H76" s="1"/>
  <c r="I76" s="1"/>
  <c r="J76" s="1"/>
  <c r="K76" s="1"/>
  <c r="L76" s="1"/>
  <c r="M76" s="1"/>
  <c r="B120"/>
  <c r="B118"/>
  <c r="J39" s="1"/>
  <c r="AC39" s="1"/>
  <c r="B116"/>
  <c r="D115"/>
  <c r="E115" s="1"/>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s="1"/>
  <c r="H100" s="1"/>
  <c r="I100" s="1"/>
  <c r="J100" s="1"/>
  <c r="K100" s="1"/>
  <c r="L100" s="1"/>
  <c r="M100" s="1"/>
  <c r="D98"/>
  <c r="E98"/>
  <c r="D96"/>
  <c r="E96"/>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s="1"/>
  <c r="C7"/>
  <c r="C63" s="1"/>
  <c r="J38" i="39"/>
  <c r="W38"/>
  <c r="H38"/>
  <c r="AB38"/>
  <c r="F38"/>
  <c r="AA38"/>
  <c r="D124"/>
  <c r="E124"/>
  <c r="F124" s="1"/>
  <c r="G124" s="1"/>
  <c r="H124" s="1"/>
  <c r="I124" s="1"/>
  <c r="J124" s="1"/>
  <c r="K124" s="1"/>
  <c r="L124" s="1"/>
  <c r="M124" s="1"/>
  <c r="D120"/>
  <c r="E120"/>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s="1"/>
  <c r="G105" s="1"/>
  <c r="D103"/>
  <c r="J35"/>
  <c r="G97"/>
  <c r="F97"/>
  <c r="E97"/>
  <c r="D97"/>
  <c r="C97"/>
  <c r="D96"/>
  <c r="E96"/>
  <c r="F96" s="1"/>
  <c r="G96" s="1"/>
  <c r="H96" s="1"/>
  <c r="I96" s="1"/>
  <c r="J96" s="1"/>
  <c r="K96" s="1"/>
  <c r="L96" s="1"/>
  <c r="M96" s="1"/>
  <c r="D94"/>
  <c r="E94"/>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c r="F75" s="1"/>
  <c r="D73"/>
  <c r="E73" s="1"/>
  <c r="J17"/>
  <c r="D71"/>
  <c r="E7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B95"/>
  <c r="H34" s="1"/>
  <c r="U34" s="1"/>
  <c r="D83"/>
  <c r="E83"/>
  <c r="D78"/>
  <c r="E78"/>
  <c r="F78" s="1"/>
  <c r="G78" s="1"/>
  <c r="H78" s="1"/>
  <c r="I78" s="1"/>
  <c r="J78" s="1"/>
  <c r="K78" s="1"/>
  <c r="L78" s="1"/>
  <c r="M78" s="1"/>
  <c r="B75"/>
  <c r="B73"/>
  <c r="B71"/>
  <c r="D70"/>
  <c r="H22"/>
  <c r="AB22"/>
  <c r="D68"/>
  <c r="E68"/>
  <c r="F68" s="1"/>
  <c r="G68" s="1"/>
  <c r="D64"/>
  <c r="E64"/>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J23"/>
  <c r="AC23"/>
  <c r="H23"/>
  <c r="F23"/>
  <c r="AA23" s="1"/>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H36" s="1"/>
  <c r="AB36" s="1"/>
  <c r="B99"/>
  <c r="B97"/>
  <c r="J34" s="1"/>
  <c r="B77"/>
  <c r="B75"/>
  <c r="B73"/>
  <c r="H23"/>
  <c r="U23" s="1"/>
  <c r="B57"/>
  <c r="B61"/>
  <c r="B59"/>
  <c r="J12" s="1"/>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c r="G80" s="1"/>
  <c r="H80" s="1"/>
  <c r="I80" s="1"/>
  <c r="J80" s="1"/>
  <c r="K80" s="1"/>
  <c r="L80" s="1"/>
  <c r="M80" s="1"/>
  <c r="D72"/>
  <c r="E72" s="1"/>
  <c r="F72" s="1"/>
  <c r="G72" s="1"/>
  <c r="D70"/>
  <c r="E70" s="1"/>
  <c r="F70" s="1"/>
  <c r="G70" s="1"/>
  <c r="D66"/>
  <c r="E66" s="1"/>
  <c r="F66" s="1"/>
  <c r="G66" s="1"/>
  <c r="F16"/>
  <c r="S16" s="1"/>
  <c r="D64"/>
  <c r="E64" s="1"/>
  <c r="F64"/>
  <c r="G64" s="1"/>
  <c r="J14"/>
  <c r="AC14" s="1"/>
  <c r="F56"/>
  <c r="G56" s="1"/>
  <c r="H56"/>
  <c r="I56" s="1"/>
  <c r="C53"/>
  <c r="P39"/>
  <c r="P38"/>
  <c r="V37"/>
  <c r="T37"/>
  <c r="R37"/>
  <c r="P37"/>
  <c r="Q36"/>
  <c r="Z36"/>
  <c r="Q35"/>
  <c r="Z35"/>
  <c r="Q34"/>
  <c r="Z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W12"/>
  <c r="Q11"/>
  <c r="Z11"/>
  <c r="Q10"/>
  <c r="Z10"/>
  <c r="Q9"/>
  <c r="Z9"/>
  <c r="J8"/>
  <c r="AC8"/>
  <c r="H8"/>
  <c r="AB8"/>
  <c r="F8"/>
  <c r="AA8"/>
  <c r="C7"/>
  <c r="C48" s="1"/>
  <c r="D48" s="1"/>
  <c r="E48" s="1"/>
  <c r="D120" i="34"/>
  <c r="E120" s="1"/>
  <c r="F120"/>
  <c r="G120" s="1"/>
  <c r="H120" s="1"/>
  <c r="I120" s="1"/>
  <c r="J120" s="1"/>
  <c r="K120" s="1"/>
  <c r="L120" s="1"/>
  <c r="M120" s="1"/>
  <c r="D90"/>
  <c r="E90" s="1"/>
  <c r="F90" s="1"/>
  <c r="G90" s="1"/>
  <c r="H90" s="1"/>
  <c r="I90" s="1"/>
  <c r="J90" s="1"/>
  <c r="K90" s="1"/>
  <c r="L90" s="1"/>
  <c r="M90" s="1"/>
  <c r="C15"/>
  <c r="F67"/>
  <c r="G67"/>
  <c r="H67" s="1"/>
  <c r="I67"/>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c r="G88" s="1"/>
  <c r="H88" s="1"/>
  <c r="I88" s="1"/>
  <c r="J88" s="1"/>
  <c r="K88" s="1"/>
  <c r="L88" s="1"/>
  <c r="M88" s="1"/>
  <c r="D86"/>
  <c r="E86" s="1"/>
  <c r="F86" s="1"/>
  <c r="G86" s="1"/>
  <c r="F23"/>
  <c r="AA23" s="1"/>
  <c r="D82"/>
  <c r="E82" s="1"/>
  <c r="F82"/>
  <c r="G82" s="1"/>
  <c r="F19"/>
  <c r="D80"/>
  <c r="E80"/>
  <c r="D78"/>
  <c r="E78"/>
  <c r="F78" s="1"/>
  <c r="G78"/>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s="1"/>
  <c r="I54"/>
  <c r="J54" s="1"/>
  <c r="G54"/>
  <c r="H54" s="1"/>
  <c r="D125"/>
  <c r="E125" s="1"/>
  <c r="F125" s="1"/>
  <c r="G125" s="1"/>
  <c r="D123"/>
  <c r="E123" s="1"/>
  <c r="D119"/>
  <c r="D117"/>
  <c r="E117"/>
  <c r="D115"/>
  <c r="E115"/>
  <c r="F115" s="1"/>
  <c r="G115" s="1"/>
  <c r="H115" s="1"/>
  <c r="I115" s="1"/>
  <c r="J115" s="1"/>
  <c r="K115" s="1"/>
  <c r="L115" s="1"/>
  <c r="M115" s="1"/>
  <c r="D113"/>
  <c r="E113" s="1"/>
  <c r="F113" s="1"/>
  <c r="D110"/>
  <c r="E110" s="1"/>
  <c r="F110" s="1"/>
  <c r="G110" s="1"/>
  <c r="H110" s="1"/>
  <c r="I110" s="1"/>
  <c r="J110" s="1"/>
  <c r="K110" s="1"/>
  <c r="L110" s="1"/>
  <c r="M110" s="1"/>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J29" s="1"/>
  <c r="AC29" s="1"/>
  <c r="B92"/>
  <c r="B90"/>
  <c r="J27" s="1"/>
  <c r="W27" s="1"/>
  <c r="B74"/>
  <c r="B72"/>
  <c r="B70"/>
  <c r="F12" s="1"/>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c r="J44"/>
  <c r="F36"/>
  <c r="S36" s="1"/>
  <c r="H36"/>
  <c r="AB36" s="1"/>
  <c r="J36"/>
  <c r="AC36" s="1"/>
  <c r="S8"/>
  <c r="U38"/>
  <c r="H32" i="37"/>
  <c r="AB32" s="1"/>
  <c r="U8"/>
  <c r="W31"/>
  <c r="F39"/>
  <c r="S39" s="1"/>
  <c r="U14"/>
  <c r="S30"/>
  <c r="W30"/>
  <c r="F29" i="36"/>
  <c r="AA29"/>
  <c r="F16"/>
  <c r="S16" s="1"/>
  <c r="U22"/>
  <c r="S23"/>
  <c r="W23"/>
  <c r="W22"/>
  <c r="AA31"/>
  <c r="AC31"/>
  <c r="W31"/>
  <c r="U31"/>
  <c r="J33"/>
  <c r="W33" s="1"/>
  <c r="AB34"/>
  <c r="H22" i="35"/>
  <c r="AB22"/>
  <c r="U31"/>
  <c r="S32"/>
  <c r="S31"/>
  <c r="W31"/>
  <c r="U32"/>
  <c r="F36" i="34"/>
  <c r="AA36"/>
  <c r="U39"/>
  <c r="H39" i="33"/>
  <c r="AB39" s="1"/>
  <c r="F26"/>
  <c r="AA26" s="1"/>
  <c r="S40"/>
  <c r="H39" i="37"/>
  <c r="AB39"/>
  <c r="S27" i="35"/>
  <c r="F11" i="40"/>
  <c r="AA11" s="1"/>
  <c r="S8"/>
  <c r="H11"/>
  <c r="AB11"/>
  <c r="W8"/>
  <c r="U9"/>
  <c r="S34"/>
  <c r="U34"/>
  <c r="W39"/>
  <c r="F42" i="39"/>
  <c r="AA42"/>
  <c r="F41"/>
  <c r="AA41" s="1"/>
  <c r="H40"/>
  <c r="AB40" s="1"/>
  <c r="H39"/>
  <c r="U39" s="1"/>
  <c r="S38"/>
  <c r="H34"/>
  <c r="AB34"/>
  <c r="E109"/>
  <c r="F109"/>
  <c r="H31"/>
  <c r="AB31" s="1"/>
  <c r="F31"/>
  <c r="AA31" s="1"/>
  <c r="E103"/>
  <c r="H19"/>
  <c r="AB19"/>
  <c r="F19"/>
  <c r="S19" s="1"/>
  <c r="H17"/>
  <c r="U17" s="1"/>
  <c r="F17"/>
  <c r="AA17" s="1"/>
  <c r="J23" i="40"/>
  <c r="AC23" s="1"/>
  <c r="H42" i="39"/>
  <c r="AB42" s="1"/>
  <c r="J34"/>
  <c r="AC34" s="1"/>
  <c r="G109"/>
  <c r="H109" s="1"/>
  <c r="I109" s="1"/>
  <c r="J109" s="1"/>
  <c r="K109" s="1"/>
  <c r="L109" s="1"/>
  <c r="M109" s="1"/>
  <c r="J31"/>
  <c r="W31"/>
  <c r="F103"/>
  <c r="H29"/>
  <c r="U29" s="1"/>
  <c r="J19"/>
  <c r="AC19" s="1"/>
  <c r="J17"/>
  <c r="W17" s="1"/>
  <c r="J29"/>
  <c r="AC29" s="1"/>
  <c r="F29"/>
  <c r="AA29" s="1"/>
  <c r="F11" i="21"/>
  <c r="S11" s="1"/>
  <c r="C25" i="39"/>
  <c r="C21"/>
  <c r="H11"/>
  <c r="AB1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F14" i="35"/>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c r="H10"/>
  <c r="AB10"/>
  <c r="F41" i="33"/>
  <c r="S41"/>
  <c r="E113"/>
  <c r="J34"/>
  <c r="F36"/>
  <c r="S36"/>
  <c r="F25"/>
  <c r="AA25"/>
  <c r="J25"/>
  <c r="AC25"/>
  <c r="H25"/>
  <c r="AB25"/>
  <c r="J23"/>
  <c r="AC23"/>
  <c r="F23"/>
  <c r="AA23"/>
  <c r="H23"/>
  <c r="F19"/>
  <c r="S19" s="1"/>
  <c r="J19"/>
  <c r="W19" s="1"/>
  <c r="J17"/>
  <c r="AC17" s="1"/>
  <c r="H17"/>
  <c r="AB17" s="1"/>
  <c r="J15"/>
  <c r="AC15" s="1"/>
  <c r="F11"/>
  <c r="AA11" s="1"/>
  <c r="W10"/>
  <c r="H10"/>
  <c r="U10"/>
  <c r="S10" i="21"/>
  <c r="S26" i="33"/>
  <c r="U40"/>
  <c r="U8"/>
  <c r="S8"/>
  <c r="F37" i="40"/>
  <c r="AA37" s="1"/>
  <c r="F36"/>
  <c r="AA36" s="1"/>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U14" i="21"/>
  <c r="S46" i="33"/>
  <c r="AC11" i="36"/>
  <c r="AB45" i="33"/>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U39"/>
  <c r="AC8"/>
  <c r="S25"/>
  <c r="W47" i="34"/>
  <c r="AB8"/>
  <c r="W14" i="33"/>
  <c r="AA13"/>
  <c r="AC31"/>
  <c r="AB10"/>
  <c r="S11"/>
  <c r="AB38" i="21"/>
  <c r="W10" i="36"/>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c r="H41"/>
  <c r="AB41"/>
  <c r="F11"/>
  <c r="AA11"/>
  <c r="H21"/>
  <c r="U21"/>
  <c r="F32"/>
  <c r="S32"/>
  <c r="W29"/>
  <c r="W19"/>
  <c r="U34"/>
  <c r="S42"/>
  <c r="S41"/>
  <c r="W39"/>
  <c r="W8"/>
  <c r="AB25"/>
  <c r="W21"/>
  <c r="J11"/>
  <c r="W11" s="1"/>
  <c r="J32"/>
  <c r="AC32" s="1"/>
  <c r="AA15"/>
  <c r="E66"/>
  <c r="E61" i="40"/>
  <c r="F34" i="43"/>
  <c r="C21" i="11"/>
  <c r="H55" i="39"/>
  <c r="G60" i="40"/>
  <c r="C60" s="1"/>
  <c r="H16" i="44"/>
  <c r="E17" i="43"/>
  <c r="I17"/>
  <c r="D108" i="9"/>
  <c r="B56" i="60"/>
  <c r="E22" i="43"/>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c r="B101" i="9"/>
  <c r="C112" s="1"/>
  <c r="H110" s="1"/>
  <c r="F23" i="21"/>
  <c r="AA23" s="1"/>
  <c r="J23"/>
  <c r="AC23" s="1"/>
  <c r="H23"/>
  <c r="U23" s="1"/>
  <c r="F17"/>
  <c r="AA17" s="1"/>
  <c r="J17"/>
  <c r="AC17" s="1"/>
  <c r="H17"/>
  <c r="AB17" s="1"/>
  <c r="J15"/>
  <c r="U35"/>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AB38"/>
  <c r="U38"/>
  <c r="F40"/>
  <c r="AA40"/>
  <c r="G118"/>
  <c r="U20" i="36"/>
  <c r="AB20"/>
  <c r="AA16"/>
  <c r="AC44" i="39"/>
  <c r="W44"/>
  <c r="H13" i="21"/>
  <c r="U13" s="1"/>
  <c r="J13"/>
  <c r="F13"/>
  <c r="AA13"/>
  <c r="J45"/>
  <c r="F45"/>
  <c r="AA45" s="1"/>
  <c r="B41" i="47"/>
  <c r="C23" i="40"/>
  <c r="AC8" i="34"/>
  <c r="W8"/>
  <c r="W12"/>
  <c r="AC12"/>
  <c r="J9"/>
  <c r="AC9"/>
  <c r="F9"/>
  <c r="S9"/>
  <c r="AA19"/>
  <c r="S19"/>
  <c r="AA9" i="36"/>
  <c r="S9"/>
  <c r="AB23"/>
  <c r="U23"/>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E101" i="33"/>
  <c r="F32"/>
  <c r="AA32" s="1"/>
  <c r="H9" i="34"/>
  <c r="AB9" s="1"/>
  <c r="W27"/>
  <c r="AC27"/>
  <c r="H28"/>
  <c r="U28" s="1"/>
  <c r="E116"/>
  <c r="F116" s="1"/>
  <c r="G116"/>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H25" i="34"/>
  <c r="U25" s="1"/>
  <c r="AB35" i="39"/>
  <c r="AC40" i="37"/>
  <c r="AC36"/>
  <c r="S27"/>
  <c r="AA12"/>
  <c r="AA34" i="35"/>
  <c r="S34"/>
  <c r="AB24"/>
  <c r="J17" i="34"/>
  <c r="AC17" s="1"/>
  <c r="G80"/>
  <c r="F17"/>
  <c r="AA17"/>
  <c r="H27" i="33"/>
  <c r="AB27"/>
  <c r="F43"/>
  <c r="S43"/>
  <c r="F125"/>
  <c r="G125"/>
  <c r="J43"/>
  <c r="AC43"/>
  <c r="AB31" i="21"/>
  <c r="S37" i="34"/>
  <c r="H27" i="36"/>
  <c r="AB27"/>
  <c r="F27"/>
  <c r="AA27"/>
  <c r="J28" i="34"/>
  <c r="W28"/>
  <c r="AB34" i="21"/>
  <c r="H11" i="34"/>
  <c r="U11" s="1"/>
  <c r="S17" i="37"/>
  <c r="J11"/>
  <c r="AC11"/>
  <c r="AC36" i="34"/>
  <c r="W12" i="39"/>
  <c r="AC12"/>
  <c r="W9" i="34"/>
  <c r="S45" i="21"/>
  <c r="AB13"/>
  <c r="AC37" i="37"/>
  <c r="U38" i="40"/>
  <c r="F23" i="39"/>
  <c r="AA23" s="1"/>
  <c r="F97"/>
  <c r="G97" s="1"/>
  <c r="S26" i="37"/>
  <c r="S24" i="36"/>
  <c r="F44" i="34"/>
  <c r="F126"/>
  <c r="G126"/>
  <c r="J44"/>
  <c r="AC44"/>
  <c r="U31" i="37"/>
  <c r="W27"/>
  <c r="AB27"/>
  <c r="H60"/>
  <c r="H10"/>
  <c r="U10" s="1"/>
  <c r="S24" i="35"/>
  <c r="AA27" i="33"/>
  <c r="AB43"/>
  <c r="S31" i="21"/>
  <c r="AC27" i="36"/>
  <c r="W27"/>
  <c r="U9" i="34"/>
  <c r="F101" i="33"/>
  <c r="G101"/>
  <c r="H101" s="1"/>
  <c r="I101" s="1"/>
  <c r="J101" s="1"/>
  <c r="K101" s="1"/>
  <c r="L101" s="1"/>
  <c r="M101" s="1"/>
  <c r="J32"/>
  <c r="W32"/>
  <c r="H32"/>
  <c r="AB32" s="1"/>
  <c r="W40" i="34"/>
  <c r="U45" i="21"/>
  <c r="U12" i="36"/>
  <c r="AC45" i="21"/>
  <c r="W45"/>
  <c r="W13"/>
  <c r="AC13"/>
  <c r="AA44" i="34"/>
  <c r="S44"/>
  <c r="S27" i="36"/>
  <c r="AB25" i="34"/>
  <c r="I60" i="37"/>
  <c r="J10"/>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AA39" i="21"/>
  <c r="W39"/>
  <c r="U19"/>
  <c r="U43"/>
  <c r="AB44"/>
  <c r="U30"/>
  <c r="AB36"/>
  <c r="AA36"/>
  <c r="AA43"/>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D58" s="1"/>
  <c r="E58" s="1"/>
  <c r="F58" s="1"/>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B14" i="1"/>
  <c r="H10" i="39" s="1"/>
  <c r="J22" i="43"/>
  <c r="M84"/>
  <c r="N84" s="1"/>
  <c r="K84"/>
  <c r="J84" s="1"/>
  <c r="D84"/>
  <c r="M81"/>
  <c r="N81"/>
  <c r="K81"/>
  <c r="J81"/>
  <c r="D81"/>
  <c r="M88"/>
  <c r="N88" s="1"/>
  <c r="K88"/>
  <c r="J88" s="1"/>
  <c r="D88"/>
  <c r="E81" s="1"/>
  <c r="B79" s="1"/>
  <c r="I113" i="57"/>
  <c r="M50" s="1"/>
  <c r="B40" i="1"/>
  <c r="M27" i="15" s="1"/>
  <c r="C34" i="11"/>
  <c r="C38" s="1"/>
  <c r="D117" i="57"/>
  <c r="D118"/>
  <c r="I114" s="1"/>
  <c r="D131" s="1"/>
  <c r="D133"/>
  <c r="M57"/>
  <c r="D119"/>
  <c r="I115"/>
  <c r="D132" s="1"/>
  <c r="M56" i="9"/>
  <c r="D130"/>
  <c r="D13" i="52"/>
  <c r="I112" i="9"/>
  <c r="D39" i="50" s="1"/>
  <c r="D40" s="1"/>
  <c r="D114" i="9"/>
  <c r="D115"/>
  <c r="I113" s="1"/>
  <c r="I114"/>
  <c r="D42" i="50" s="1"/>
  <c r="D43" s="1"/>
  <c r="D116" i="9"/>
  <c r="D129"/>
  <c r="D12" i="52" s="1"/>
  <c r="D23" i="48"/>
  <c r="F7" i="61"/>
  <c r="H23" i="31"/>
  <c r="F6" i="61"/>
  <c r="E2" i="37"/>
  <c r="F5" i="61"/>
  <c r="E2" i="36"/>
  <c r="E2" i="34"/>
  <c r="D20" i="57"/>
  <c r="E2" i="35"/>
  <c r="F4" i="61"/>
  <c r="E2" i="11"/>
  <c r="E2" i="33"/>
  <c r="E2" i="21"/>
  <c r="D19" i="57"/>
  <c r="F3" i="61"/>
  <c r="C19" i="57"/>
  <c r="C20"/>
  <c r="U23" i="39" l="1"/>
  <c r="AB24" i="36"/>
  <c r="W15" i="21"/>
  <c r="AC15"/>
  <c r="AA12"/>
  <c r="S12"/>
  <c r="W38" i="37"/>
  <c r="AA23"/>
  <c r="AA30" i="33"/>
  <c r="W36"/>
  <c r="U31"/>
  <c r="U32" i="36"/>
  <c r="AC13"/>
  <c r="AC14" i="21"/>
  <c r="AB46"/>
  <c r="AC32" i="34"/>
  <c r="W30" i="33"/>
  <c r="W28" i="37"/>
  <c r="AB14" i="33"/>
  <c r="W13" i="35"/>
  <c r="H15" i="21"/>
  <c r="J36"/>
  <c r="J9" i="35"/>
  <c r="H9"/>
  <c r="F9"/>
  <c r="F39" i="40"/>
  <c r="H39"/>
  <c r="F12" i="35"/>
  <c r="H12"/>
  <c r="J36"/>
  <c r="C25" i="40"/>
  <c r="M19" i="43"/>
  <c r="U25" i="59"/>
  <c r="F22" i="43"/>
  <c r="A18" i="54"/>
  <c r="B15" i="60" s="1"/>
  <c r="U25" i="31"/>
  <c r="C35" i="57" s="1"/>
  <c r="D124" s="1"/>
  <c r="D71" i="43"/>
  <c r="D73"/>
  <c r="E70" s="1"/>
  <c r="B68" s="1"/>
  <c r="C24" s="1"/>
  <c r="D76"/>
  <c r="D78"/>
  <c r="N100"/>
  <c r="J100"/>
  <c r="F100"/>
  <c r="C23" s="1"/>
  <c r="M100"/>
  <c r="I100"/>
  <c r="E100"/>
  <c r="C30" i="58"/>
  <c r="E26" s="1"/>
  <c r="B75" i="43"/>
  <c r="B55"/>
  <c r="B66"/>
  <c r="O51" i="59"/>
  <c r="O50"/>
  <c r="D51"/>
  <c r="C28"/>
  <c r="D27"/>
  <c r="C32"/>
  <c r="D32" s="1"/>
  <c r="D31"/>
  <c r="D35"/>
  <c r="C36"/>
  <c r="D39"/>
  <c r="C40"/>
  <c r="D43"/>
  <c r="C44"/>
  <c r="D47"/>
  <c r="C48"/>
  <c r="F15"/>
  <c r="F16" s="1"/>
  <c r="F17" s="1"/>
  <c r="V17" s="1"/>
  <c r="F19"/>
  <c r="F20" s="1"/>
  <c r="F21" s="1"/>
  <c r="V21" s="1"/>
  <c r="F23"/>
  <c r="F24" s="1"/>
  <c r="F25" s="1"/>
  <c r="V25" s="1"/>
  <c r="P53"/>
  <c r="V57"/>
  <c r="F56"/>
  <c r="F55" s="1"/>
  <c r="V65"/>
  <c r="F64"/>
  <c r="F63" s="1"/>
  <c r="C15" i="50"/>
  <c r="B20" i="60"/>
  <c r="D8" i="59"/>
  <c r="C7"/>
  <c r="D7" s="1"/>
  <c r="X8"/>
  <c r="AA7"/>
  <c r="AB6"/>
  <c r="Y6"/>
  <c r="Z6" s="1"/>
  <c r="X6"/>
  <c r="AA6"/>
  <c r="U13"/>
  <c r="D52"/>
  <c r="D13"/>
  <c r="AA10"/>
  <c r="AA13"/>
  <c r="AA11"/>
  <c r="AB13"/>
  <c r="AB11"/>
  <c r="AB3"/>
  <c r="S13"/>
  <c r="X10"/>
  <c r="X13"/>
  <c r="B15"/>
  <c r="B16" s="1"/>
  <c r="B17" s="1"/>
  <c r="S17" s="1"/>
  <c r="C15"/>
  <c r="X15"/>
  <c r="X16"/>
  <c r="AA16"/>
  <c r="X17"/>
  <c r="AA17"/>
  <c r="B19"/>
  <c r="B20" s="1"/>
  <c r="B21" s="1"/>
  <c r="S21" s="1"/>
  <c r="C19"/>
  <c r="AA18"/>
  <c r="X19"/>
  <c r="AA19"/>
  <c r="X20"/>
  <c r="AA20"/>
  <c r="X21"/>
  <c r="AA21"/>
  <c r="B23"/>
  <c r="B24" s="1"/>
  <c r="B25" s="1"/>
  <c r="S25" s="1"/>
  <c r="C23"/>
  <c r="AA22"/>
  <c r="AA23"/>
  <c r="S53"/>
  <c r="N53"/>
  <c r="P52"/>
  <c r="V53"/>
  <c r="F52"/>
  <c r="U53"/>
  <c r="S57"/>
  <c r="B56"/>
  <c r="B55" s="1"/>
  <c r="S65"/>
  <c r="B64"/>
  <c r="B63" s="1"/>
  <c r="Y9"/>
  <c r="Z9" s="1"/>
  <c r="Y7"/>
  <c r="Z7" s="1"/>
  <c r="AB8"/>
  <c r="Y8"/>
  <c r="Z8" s="1"/>
  <c r="AB7"/>
  <c r="X7"/>
  <c r="F8"/>
  <c r="F7" s="1"/>
  <c r="E8"/>
  <c r="E7" s="1"/>
  <c r="E6" s="1"/>
  <c r="E5" s="1"/>
  <c r="X5"/>
  <c r="AA5"/>
  <c r="N56" i="9"/>
  <c r="N57" i="57"/>
  <c r="X9" i="59"/>
  <c r="B9"/>
  <c r="AB9"/>
  <c r="AA8"/>
  <c r="Y5"/>
  <c r="Z5" s="1"/>
  <c r="AB5"/>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S30" i="40"/>
  <c r="S504" i="31"/>
  <c r="S58"/>
  <c r="S62"/>
  <c r="S66"/>
  <c r="S70"/>
  <c r="S74"/>
  <c r="S456"/>
  <c r="S464"/>
  <c r="S503"/>
  <c r="S436"/>
  <c r="S444"/>
  <c r="S266"/>
  <c r="S282"/>
  <c r="S298"/>
  <c r="S314"/>
  <c r="S426"/>
  <c r="S328"/>
  <c r="S344"/>
  <c r="S360"/>
  <c r="S376"/>
  <c r="S392"/>
  <c r="S408"/>
  <c r="S424"/>
  <c r="C13" i="50"/>
  <c r="C12"/>
  <c r="M49" i="9"/>
  <c r="C16" i="43"/>
  <c r="D127" i="9"/>
  <c r="D10" i="52" s="1"/>
  <c r="W44" i="21"/>
  <c r="S44"/>
  <c r="H37"/>
  <c r="G113"/>
  <c r="H113" s="1"/>
  <c r="F37"/>
  <c r="J37"/>
  <c r="S8"/>
  <c r="M60" i="15"/>
  <c r="L60"/>
  <c r="N60"/>
  <c r="C16"/>
  <c r="C35" i="1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D5" i="43"/>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D8" i="62"/>
  <c r="F48" i="35"/>
  <c r="G48" s="1"/>
  <c r="H48" s="1"/>
  <c r="I48" s="1"/>
  <c r="J48" s="1"/>
  <c r="K48" s="1"/>
  <c r="L48" s="1"/>
  <c r="M48" s="1"/>
  <c r="N48" s="1"/>
  <c r="O48" s="1"/>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i="36"/>
  <c r="D68" i="39"/>
  <c r="F6" i="59"/>
  <c r="F5" s="1"/>
  <c r="C6"/>
  <c r="C5" s="1"/>
  <c r="D5" s="1"/>
  <c r="X3"/>
  <c r="Y3"/>
  <c r="Z3"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4" i="61"/>
  <c r="D6"/>
  <c r="D7"/>
  <c r="D3"/>
  <c r="D5"/>
  <c r="J7" i="33" l="1"/>
  <c r="J7" i="35"/>
  <c r="D22" i="43"/>
  <c r="C21" s="1"/>
  <c r="F51" i="59"/>
  <c r="Q52"/>
  <c r="C20"/>
  <c r="D19"/>
  <c r="D28"/>
  <c r="C29"/>
  <c r="AC36" i="35"/>
  <c r="W36"/>
  <c r="S12"/>
  <c r="AA12"/>
  <c r="AA39" i="40"/>
  <c r="S39"/>
  <c r="U9" i="35"/>
  <c r="AB9"/>
  <c r="AC36" i="21"/>
  <c r="W36"/>
  <c r="B8" i="59"/>
  <c r="B7" s="1"/>
  <c r="B6" s="1"/>
  <c r="B5" s="1"/>
  <c r="S9"/>
  <c r="C24"/>
  <c r="D23"/>
  <c r="C16"/>
  <c r="D15"/>
  <c r="D48"/>
  <c r="C49"/>
  <c r="D44"/>
  <c r="C45"/>
  <c r="D40"/>
  <c r="C41"/>
  <c r="C37"/>
  <c r="D36"/>
  <c r="U12" i="35"/>
  <c r="AB12"/>
  <c r="U39" i="40"/>
  <c r="AB39"/>
  <c r="AA9" i="35"/>
  <c r="S9"/>
  <c r="AC9"/>
  <c r="W9"/>
  <c r="U15" i="21"/>
  <c r="AB15"/>
  <c r="C19" i="15"/>
  <c r="C20" s="1"/>
  <c r="C26" s="1"/>
  <c r="E20" i="43"/>
  <c r="N17" s="1"/>
  <c r="C33" i="11"/>
  <c r="C39" s="1"/>
  <c r="C46" s="1"/>
  <c r="C45" s="1"/>
  <c r="S25" i="31"/>
  <c r="B23" s="1"/>
  <c r="B2" s="1"/>
  <c r="C33" i="57" s="1"/>
  <c r="H124" s="1"/>
  <c r="U32" i="21"/>
  <c r="AB32"/>
  <c r="S32"/>
  <c r="AA32"/>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F11" i="15"/>
  <c r="M11"/>
  <c r="J10" s="1"/>
  <c r="J5" s="1"/>
  <c r="G1" i="61"/>
  <c r="R25" i="31" l="1"/>
  <c r="B24" s="1"/>
  <c r="B3" s="1"/>
  <c r="C34" i="57" s="1"/>
  <c r="I124" s="1"/>
  <c r="D37" i="59"/>
  <c r="T37"/>
  <c r="D16"/>
  <c r="C17"/>
  <c r="D24"/>
  <c r="C25"/>
  <c r="D20"/>
  <c r="C21"/>
  <c r="Q51"/>
  <c r="Q50"/>
  <c r="D41"/>
  <c r="T41"/>
  <c r="D45"/>
  <c r="T45"/>
  <c r="D49"/>
  <c r="T49"/>
  <c r="D29"/>
  <c r="T29"/>
  <c r="E27" i="1"/>
  <c r="F25" i="12" s="1"/>
  <c r="P17" i="43"/>
  <c r="M17"/>
  <c r="O17"/>
  <c r="G20" s="1"/>
  <c r="E41" s="1"/>
  <c r="C41" s="1"/>
  <c r="C106" i="57"/>
  <c r="D109"/>
  <c r="I103"/>
  <c r="H125"/>
  <c r="E65" i="40"/>
  <c r="F63"/>
  <c r="D7" i="62"/>
  <c r="C7"/>
  <c r="C107" i="57"/>
  <c r="I104"/>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T48" s="1"/>
  <c r="G48" s="1"/>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D21" i="59" l="1"/>
  <c r="T21"/>
  <c r="D25"/>
  <c r="T25"/>
  <c r="D17"/>
  <c r="M20" i="43" s="1"/>
  <c r="C19" s="1"/>
  <c r="T17" i="59"/>
  <c r="F22" i="11"/>
  <c r="C44" s="1"/>
  <c r="D41" s="1"/>
  <c r="V48" i="21"/>
  <c r="I48" s="1"/>
  <c r="I52" s="1"/>
  <c r="J52" s="1"/>
  <c r="D46" i="57"/>
  <c r="I111"/>
  <c r="D128" s="1"/>
  <c r="M49"/>
  <c r="G63" i="40"/>
  <c r="F65"/>
  <c r="D115" i="57"/>
  <c r="D116" s="1"/>
  <c r="I112" s="1"/>
  <c r="D129" s="1"/>
  <c r="D120"/>
  <c r="I116" s="1"/>
  <c r="S26" i="21"/>
  <c r="AA26"/>
  <c r="R48" s="1"/>
  <c r="C20" i="43"/>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23"/>
  <c r="C24"/>
  <c r="C67"/>
  <c r="C61"/>
  <c r="C38" i="43" l="1"/>
  <c r="E38" s="1"/>
  <c r="C39"/>
  <c r="E39" s="1"/>
  <c r="C37"/>
  <c r="E37" s="1"/>
  <c r="C24" i="11"/>
  <c r="C26"/>
  <c r="D22" s="1"/>
  <c r="C42"/>
  <c r="C43"/>
  <c r="G53" i="2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G38" i="43"/>
  <c r="I38" s="1"/>
  <c r="G39"/>
  <c r="I39" s="1"/>
  <c r="C32" i="12"/>
  <c r="C29" i="15"/>
  <c r="G37" i="43" l="1"/>
  <c r="I37" s="1"/>
  <c r="C41" i="11"/>
  <c r="C49" s="1"/>
  <c r="C51" s="1"/>
  <c r="E53" i="2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C56" i="11"/>
  <c r="C57" s="1"/>
  <c r="B2"/>
  <c r="N68" i="39"/>
  <c r="M70"/>
  <c r="D34" i="9"/>
  <c r="Q64" i="15"/>
  <c r="Q73" s="1"/>
  <c r="Q55"/>
  <c r="Q60" s="1"/>
  <c r="C19" i="9"/>
  <c r="D19"/>
  <c r="C32" l="1"/>
  <c r="C35" s="1"/>
  <c r="C34" s="1"/>
  <c r="C101"/>
  <c r="N65" i="40"/>
  <c r="J7" s="1"/>
  <c r="O63"/>
  <c r="O65" s="1"/>
  <c r="D101" i="9"/>
  <c r="D22"/>
  <c r="G19"/>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<sst xmlns="http://schemas.openxmlformats.org/spreadsheetml/2006/main" count="6906" uniqueCount="2927">
  <si>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</si>
  <si>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</si>
  <si>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</si>
  <si>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</si>
  <si>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</si>
  <si>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</si>
  <si>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</si>
  <si>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</si>
  <si>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</si>
  <si>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</si>
  <si>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</si>
  <si>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</si>
  <si>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</si>
  <si>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</si>
  <si>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</si>
  <si>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</si>
  <si>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</si>
  <si>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</si>
  <si>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</si>
  <si>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</si>
  <si>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</si>
  <si>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</si>
  <si>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</si>
  <si>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</si>
  <si>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</si>
  <si>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</si>
  <si>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</si>
  <si>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</si>
  <si>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</si>
  <si>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</si>
  <si>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</si>
  <si>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</si>
  <si>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</si>
  <si>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</si>
  <si>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</si>
  <si>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</si>
  <si>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</si>
  <si>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</si>
  <si>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</si>
  <si>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</si>
  <si>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</si>
  <si>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</si>
  <si>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</si>
  <si>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</si>
  <si>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</si>
  <si>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</si>
  <si>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</si>
  <si>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</si>
  <si>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</si>
  <si>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</si>
  <si>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</si>
  <si>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</si>
  <si>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</si>
  <si>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</si>
  <si>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</si>
  <si>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</si>
  <si>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</si>
  <si>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</si>
  <si>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</si>
  <si>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</si>
  <si>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</si>
  <si>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</si>
  <si>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</si>
  <si>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</si>
  <si>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</si>
  <si>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</si>
  <si>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</si>
  <si>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</si>
  <si>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</si>
  <si>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</si>
  <si>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</si>
  <si>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</si>
  <si>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</si>
  <si>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</si>
  <si>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</si>
  <si>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</si>
  <si>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</si>
  <si>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</si>
  <si>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</si>
  <si>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</si>
  <si>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</si>
  <si>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</si>
  <si>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</si>
  <si>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</si>
  <si>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</si>
  <si>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</si>
  <si>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</si>
  <si>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</si>
  <si>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</si>
  <si>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</si>
  <si>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</si>
  <si>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</si>
  <si>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</si>
  <si>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</si>
  <si>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</si>
  <si>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</si>
  <si>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</si>
  <si>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</si>
  <si>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</si>
  <si>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</si>
  <si>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</si>
  <si>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</si>
  <si>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</si>
  <si>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</si>
  <si>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</si>
  <si>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</si>
  <si>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</si>
  <si>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</si>
  <si>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</si>
  <si>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</si>
  <si>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</si>
  <si>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</si>
  <si>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</si>
  <si>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</si>
  <si>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</si>
  <si>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</si>
  <si>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</si>
  <si>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</si>
  <si>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</si>
  <si>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</si>
  <si>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</si>
  <si>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</si>
  <si>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</si>
  <si>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</si>
  <si>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</si>
  <si>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</si>
  <si>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</si>
  <si>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</si>
  <si>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</si>
  <si>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</si>
  <si>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</si>
  <si>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</si>
  <si>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</si>
  <si>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</si>
  <si>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</si>
  <si>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</si>
  <si>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</si>
  <si>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</si>
  <si>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</si>
  <si>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</si>
  <si>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</si>
  <si>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</si>
  <si>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</si>
  <si>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</si>
  <si>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</si>
  <si>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</si>
  <si>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</si>
  <si>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</si>
  <si>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</si>
  <si>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</si>
  <si>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</si>
  <si>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</si>
  <si>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</si>
  <si>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</si>
  <si>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</si>
  <si>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</si>
  <si>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</si>
  <si>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</si>
  <si>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</si>
  <si>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</si>
  <si>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</si>
  <si>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</si>
  <si>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</si>
  <si>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</si>
  <si>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</si>
  <si>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</si>
  <si>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</si>
  <si>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</si>
  <si>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</si>
  <si>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</si>
  <si>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</si>
  <si>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</si>
  <si>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</si>
  <si>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</si>
  <si>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</si>
  <si>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</si>
  <si>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</si>
  <si>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</si>
  <si>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</si>
  <si>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</si>
  <si>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</si>
  <si>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</si>
  <si>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</si>
  <si>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</si>
  <si>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</si>
  <si>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</si>
  <si>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</si>
  <si>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</si>
  <si>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</si>
  <si>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</si>
  <si>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</si>
  <si>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</si>
  <si>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</si>
  <si>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</si>
  <si>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</si>
  <si>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</si>
  <si>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</si>
  <si>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</si>
  <si>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</si>
  <si>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</si>
  <si>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</si>
  <si>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</si>
  <si>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</si>
  <si>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</si>
  <si>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</si>
  <si>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</si>
  <si>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</si>
  <si>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</si>
  <si>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</si>
  <si>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</si>
  <si>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</si>
  <si>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</si>
  <si>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</si>
  <si>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</si>
  <si>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</si>
  <si>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</si>
  <si>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</si>
  <si>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</si>
  <si>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</si>
  <si>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</si>
  <si>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</si>
  <si>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</si>
  <si>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</si>
  <si>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</si>
  <si>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</si>
  <si>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</si>
  <si>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</si>
  <si>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</si>
  <si>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</si>
  <si>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</si>
  <si>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</si>
  <si>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</si>
  <si>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</si>
  <si>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</si>
  <si>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</si>
  <si>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</si>
  <si>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</si>
  <si>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</si>
  <si>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</si>
  <si>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</si>
  <si>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</si>
  <si>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</si>
  <si>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</si>
  <si>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</si>
  <si>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</si>
  <si>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</si>
  <si>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</si>
  <si>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</si>
  <si>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</si>
  <si>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</si>
  <si>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</si>
  <si>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</si>
  <si>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</si>
  <si>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</si>
  <si>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</si>
  <si>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</si>
  <si>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</si>
  <si>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</si>
  <si>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</si>
  <si>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</si>
  <si>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</si>
  <si>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</si>
  <si>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</si>
  <si>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</si>
  <si>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</si>
  <si>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</si>
  <si>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</si>
  <si>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</si>
  <si>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</si>
  <si>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</si>
  <si>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</si>
  <si>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</si>
  <si>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</si>
  <si>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</si>
  <si>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</si>
  <si>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</si>
  <si>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</si>
  <si>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</si>
  <si>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</si>
  <si>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</si>
  <si>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</si>
  <si>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</si>
  <si>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</si>
  <si>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</si>
  <si>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</si>
  <si>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</si>
  <si>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</si>
  <si>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</si>
  <si>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</si>
  <si>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</si>
  <si>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</si>
  <si>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</si>
  <si>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</si>
  <si>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</si>
  <si>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</si>
  <si>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</si>
  <si>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</si>
  <si>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</si>
  <si>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</si>
  <si>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</si>
  <si>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</si>
  <si>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</si>
  <si>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</si>
  <si>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</si>
  <si>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</si>
  <si>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</si>
  <si>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</si>
  <si>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</si>
  <si>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</si>
  <si>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</si>
  <si>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</si>
  <si>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</si>
  <si>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</si>
  <si>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</si>
  <si>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</si>
  <si>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</si>
  <si>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</si>
  <si>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</si>
  <si>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</si>
  <si>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</si>
  <si>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</si>
  <si>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</si>
  <si>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</si>
  <si>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</si>
  <si>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</si>
  <si>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</si>
  <si>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</si>
  <si>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</si>
  <si>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</si>
  <si>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</si>
  <si>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</si>
  <si>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</si>
  <si>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</si>
  <si>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</si>
  <si>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</si>
  <si>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</si>
  <si>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</si>
  <si>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</si>
  <si>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</si>
  <si>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</si>
  <si>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</si>
  <si>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</si>
  <si>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</si>
  <si>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</si>
  <si>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</si>
  <si>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</si>
  <si>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</si>
  <si>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</si>
  <si>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</si>
  <si>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</si>
  <si>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</si>
  <si>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</si>
  <si>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</si>
  <si>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</si>
  <si>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</si>
  <si>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</si>
  <si>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</si>
  <si>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</si>
  <si>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</si>
  <si>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</si>
  <si>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</si>
  <si>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</si>
  <si>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</si>
  <si>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</si>
  <si>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</si>
  <si>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</si>
  <si>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</si>
  <si>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</si>
  <si>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</si>
  <si>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</si>
  <si>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</si>
  <si>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</si>
  <si>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</si>
  <si>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</si>
  <si>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</si>
  <si>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</si>
  <si>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</si>
  <si>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</si>
  <si>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</si>
  <si>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</si>
  <si>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</si>
  <si>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</si>
  <si>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</si>
  <si>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</si>
  <si>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</si>
  <si>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</si>
  <si>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</si>
  <si>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</si>
  <si>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</si>
  <si>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</si>
  <si>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</si>
  <si>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</si>
  <si>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</si>
  <si>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</si>
  <si>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</si>
  <si>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</si>
  <si>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</si>
  <si>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</si>
  <si>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</si>
  <si>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</si>
  <si>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</si>
  <si>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</si>
  <si>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</si>
  <si>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</si>
  <si>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</si>
  <si>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</si>
  <si>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</si>
  <si>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</si>
  <si>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</si>
  <si>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</si>
  <si>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</si>
  <si>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</si>
  <si>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</si>
  <si>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</si>
  <si>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</si>
  <si>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</si>
  <si>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</si>
  <si>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</si>
  <si>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</si>
  <si>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</si>
  <si>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</si>
  <si>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</si>
  <si>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</si>
  <si>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</si>
  <si>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</si>
  <si>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</si>
  <si>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</si>
  <si>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</si>
  <si>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</si>
  <si>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</si>
  <si>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</si>
  <si>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</si>
  <si>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</si>
  <si>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</si>
  <si>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</si>
  <si>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</si>
  <si>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</si>
  <si>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</si>
  <si>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</si>
  <si>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</si>
  <si>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</si>
  <si>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</si>
  <si>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</si>
  <si>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</si>
  <si>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</si>
  <si>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</si>
  <si>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</si>
  <si>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</si>
  <si>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</si>
  <si>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</si>
  <si>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</si>
  <si>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</si>
  <si>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</si>
  <si>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</si>
  <si>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</si>
  <si>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</si>
  <si>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</si>
  <si>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</si>
  <si>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</si>
  <si>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</si>
  <si>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</si>
  <si>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</si>
  <si>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</si>
  <si>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</si>
  <si>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</si>
  <si>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</si>
  <si>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</si>
  <si>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</si>
  <si>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</si>
  <si>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</si>
  <si>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</si>
  <si>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</si>
  <si>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</si>
  <si>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</si>
  <si>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</si>
  <si>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</si>
  <si>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</si>
  <si>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</si>
  <si>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</si>
  <si>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</si>
  <si>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</si>
  <si>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</si>
  <si>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</si>
  <si>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</si>
  <si>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</si>
  <si>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</si>
  <si>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</si>
  <si>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</si>
  <si>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</si>
  <si>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</si>
  <si>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</si>
  <si>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</si>
  <si>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</si>
  <si>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</si>
  <si>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</si>
  <si>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</si>
  <si>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</si>
  <si>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</si>
  <si>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</si>
  <si>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</si>
  <si>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</si>
  <si>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</si>
  <si>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</si>
  <si>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</si>
  <si>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</si>
  <si>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</si>
  <si>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</si>
  <si>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</si>
  <si>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</si>
  <si>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</si>
  <si>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</si>
  <si>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</si>
  <si>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</si>
  <si>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</si>
  <si>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</si>
  <si>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</si>
  <si>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</si>
  <si>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</si>
  <si>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</si>
  <si>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</si>
  <si>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</si>
  <si>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</si>
  <si>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</si>
  <si>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</si>
  <si>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</si>
  <si>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</si>
  <si>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</si>
  <si>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</si>
  <si>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</si>
  <si>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</si>
  <si>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</si>
  <si>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</si>
  <si>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</si>
  <si>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</si>
  <si>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</si>
  <si>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</si>
  <si>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</si>
  <si>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</si>
  <si>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</si>
  <si>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</si>
  <si>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</si>
  <si>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</si>
  <si>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</si>
  <si>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</si>
  <si>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</si>
  <si>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</si>
  <si>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</si>
  <si>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</si>
  <si>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</si>
  <si>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</si>
  <si>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</si>
  <si>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</si>
  <si>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</si>
  <si>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</si>
  <si>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</si>
  <si>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</si>
  <si>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</si>
  <si>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</si>
  <si>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</si>
  <si>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</si>
  <si>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</si>
  <si>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</si>
  <si>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</si>
  <si>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</si>
  <si>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</si>
  <si>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</si>
  <si>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</si>
  <si>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</si>
  <si>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</si>
  <si>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</si>
  <si>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</si>
  <si>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</si>
  <si>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</si>
  <si>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</si>
  <si>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</si>
  <si>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</si>
  <si>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</si>
  <si>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</si>
  <si>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</si>
  <si>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</si>
  <si>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</si>
  <si>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</si>
  <si>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</si>
  <si>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</si>
  <si>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</si>
  <si>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</si>
  <si>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</si>
  <si>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</si>
  <si>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</si>
  <si>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</si>
  <si>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</si>
  <si>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</si>
  <si>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</si>
  <si>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</si>
  <si>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</si>
  <si>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</si>
  <si>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</si>
  <si>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</si>
  <si>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</si>
  <si>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</si>
  <si>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</si>
  <si>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</si>
  <si>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</si>
  <si>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</si>
  <si>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</si>
  <si>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</si>
  <si>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</si>
  <si>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</si>
  <si>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</si>
  <si>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</si>
  <si>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</si>
  <si>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</si>
  <si>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</si>
  <si>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</si>
  <si>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</si>
  <si>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</si>
  <si>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</si>
  <si>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</si>
  <si>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</si>
  <si>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</si>
  <si>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</si>
  <si>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</si>
  <si>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</si>
  <si>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</si>
  <si>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</si>
  <si>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</si>
  <si>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</si>
  <si>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</si>
  <si>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</si>
  <si>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</si>
  <si>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</si>
  <si>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</si>
  <si>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</si>
  <si>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</si>
  <si>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</si>
  <si>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</si>
  <si>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</si>
  <si>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</si>
  <si>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</si>
  <si>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</si>
  <si>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</si>
  <si>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</si>
  <si>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</si>
  <si>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</si>
  <si>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</si>
  <si>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</si>
  <si>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</si>
  <si>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</si>
  <si>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</si>
  <si>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</si>
  <si>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</si>
  <si>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</si>
  <si>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</si>
  <si>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</si>
  <si>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</si>
  <si>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</si>
  <si>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</si>
  <si>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</si>
  <si>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</si>
  <si>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</si>
  <si>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</si>
  <si>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</si>
  <si>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</si>
  <si>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</si>
  <si>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</si>
  <si>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</si>
  <si>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</si>
  <si>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</si>
  <si>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</si>
  <si>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</si>
  <si>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</si>
  <si>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</si>
  <si>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</si>
  <si>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</si>
  <si>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</si>
  <si>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</si>
  <si>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</si>
  <si>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</si>
  <si>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</si>
  <si>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</si>
  <si>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</si>
  <si>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</si>
  <si>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</si>
  <si>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</si>
  <si>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</si>
  <si>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</si>
  <si>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</si>
  <si>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</si>
  <si>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</si>
  <si>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</si>
  <si>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</si>
  <si>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</si>
  <si>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</si>
  <si>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</si>
  <si>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</si>
  <si>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</si>
  <si>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</si>
  <si>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</si>
  <si>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</si>
  <si>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</si>
  <si>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</si>
  <si>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</si>
  <si>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</si>
  <si>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</si>
  <si>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</si>
  <si>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</si>
  <si>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</si>
  <si>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</si>
  <si>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</si>
  <si>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</si>
  <si>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</si>
  <si>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</si>
  <si>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</si>
  <si>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</si>
  <si>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</si>
  <si>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</si>
  <si>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</si>
  <si>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</si>
  <si>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</si>
  <si>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</si>
  <si>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</si>
  <si>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</si>
  <si>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</si>
  <si>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</si>
  <si>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</si>
  <si>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</si>
  <si>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</si>
  <si>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</si>
  <si>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</si>
  <si>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</si>
  <si>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</si>
  <si>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</si>
  <si>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</si>
  <si>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</si>
  <si>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</si>
  <si>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</si>
  <si>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</si>
  <si>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</si>
  <si>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</si>
  <si>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</si>
  <si>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</si>
  <si>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</si>
  <si>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</si>
  <si>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</si>
  <si>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</si>
  <si>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</si>
  <si>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</si>
  <si>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</si>
  <si>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</si>
  <si>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</si>
  <si>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</si>
  <si>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</si>
  <si>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</si>
  <si>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</si>
  <si>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</si>
  <si>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</si>
  <si>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</si>
  <si>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</si>
  <si>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</si>
  <si>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</si>
  <si>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</si>
  <si>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</si>
  <si>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</si>
  <si>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</si>
  <si>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</si>
  <si>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</si>
  <si>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</si>
  <si>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</si>
  <si>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</si>
  <si>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</si>
  <si>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</si>
  <si>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</si>
  <si>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</si>
  <si>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</si>
  <si>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</si>
  <si>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</si>
  <si>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</si>
  <si>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</si>
  <si>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</si>
  <si>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</si>
  <si>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</si>
  <si>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</si>
  <si>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</si>
  <si>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</si>
  <si>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</si>
  <si>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</si>
  <si>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</si>
  <si>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</si>
  <si>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</si>
  <si>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</si>
  <si>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</si>
  <si>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</si>
  <si>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</si>
  <si>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</si>
  <si>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</si>
  <si>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</si>
  <si>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</si>
  <si>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</si>
  <si>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</si>
  <si>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</si>
  <si>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</si>
  <si>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</si>
  <si>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</si>
  <si>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</si>
  <si>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</si>
  <si>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</si>
  <si>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</si>
  <si>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</si>
  <si>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</si>
  <si>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</si>
  <si>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</si>
  <si>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</si>
  <si>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</si>
  <si>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</si>
  <si>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</si>
  <si>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</si>
  <si>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</si>
  <si>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</si>
  <si>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</si>
  <si>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</si>
  <si>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</si>
  <si>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</si>
  <si>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</si>
  <si>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</si>
  <si>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</si>
  <si>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</si>
  <si>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</si>
  <si>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</si>
  <si>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</si>
  <si>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</si>
  <si>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</si>
  <si>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</si>
  <si>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</si>
  <si>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</si>
  <si>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</si>
  <si>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</si>
  <si>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</si>
  <si>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</si>
  <si>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</si>
  <si>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</si>
  <si>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</si>
  <si>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</si>
  <si>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</si>
  <si>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</si>
  <si>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</si>
  <si>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</si>
  <si>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</si>
  <si>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</si>
  <si>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</si>
  <si>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</si>
  <si>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</si>
  <si>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</si>
  <si>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</si>
  <si>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</si>
  <si>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</si>
  <si>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</si>
  <si>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</si>
  <si>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</si>
  <si>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</si>
  <si>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</si>
  <si>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</si>
  <si>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</si>
  <si>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</si>
  <si>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</si>
  <si>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</si>
  <si>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</si>
  <si>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</si>
  <si>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</si>
  <si>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</si>
  <si>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</si>
  <si>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</si>
  <si>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</si>
  <si>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</si>
  <si>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</si>
  <si>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</si>
  <si>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</si>
  <si>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</si>
  <si>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</si>
  <si>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</si>
  <si>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</si>
  <si>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</si>
  <si>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</si>
  <si>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</si>
  <si>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</si>
  <si>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</si>
  <si>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</si>
  <si>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</si>
  <si>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</si>
  <si>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</si>
  <si>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</si>
  <si>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</si>
  <si>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</si>
  <si>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</si>
  <si>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</si>
  <si>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</si>
  <si>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</si>
  <si>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</si>
  <si>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</si>
  <si>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</si>
  <si>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</si>
  <si>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</si>
  <si>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</si>
  <si>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</si>
  <si>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</si>
  <si>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</si>
  <si>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</si>
  <si>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</si>
  <si>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</si>
  <si>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</si>
  <si>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</si>
  <si>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</si>
  <si>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</si>
  <si>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</si>
  <si>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</si>
  <si>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</si>
  <si>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</si>
  <si>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</si>
  <si>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</si>
  <si>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</si>
  <si>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</si>
  <si>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</si>
  <si>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</si>
  <si>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</si>
  <si>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</si>
  <si>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</si>
  <si>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</si>
  <si>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</si>
  <si>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</si>
  <si>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</si>
  <si>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</si>
  <si>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</si>
  <si>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</si>
  <si>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</si>
  <si>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</si>
  <si>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</si>
  <si>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</si>
  <si>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</si>
  <si>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</si>
  <si>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</si>
  <si>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</si>
  <si>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</si>
  <si>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</si>
  <si>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</si>
  <si>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</si>
  <si>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</si>
  <si>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</si>
  <si>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</si>
  <si>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</si>
  <si>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</si>
  <si>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</si>
  <si>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</si>
  <si>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</si>
  <si>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</si>
  <si>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</si>
  <si>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</si>
  <si>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</si>
  <si>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</si>
  <si>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</si>
  <si>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</si>
  <si>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</si>
  <si>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</si>
  <si>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</si>
  <si>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</si>
  <si>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</si>
  <si>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</si>
  <si>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</si>
  <si>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</si>
  <si>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</si>
  <si>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</si>
  <si>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</si>
  <si>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</si>
  <si>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</si>
  <si>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</si>
  <si>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</si>
  <si>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</si>
  <si>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</si>
  <si>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</si>
  <si>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</si>
  <si>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</si>
  <si>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</si>
  <si>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</si>
  <si>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</si>
  <si>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</si>
  <si>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</si>
  <si>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</si>
  <si>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</si>
  <si>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</si>
  <si>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</si>
  <si>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</si>
  <si>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</si>
  <si>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</si>
  <si>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</si>
  <si>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</si>
  <si>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</si>
  <si>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</si>
  <si>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</si>
  <si>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</si>
  <si>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</si>
  <si>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</si>
  <si>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</si>
  <si>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</si>
  <si>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</si>
  <si>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</si>
  <si>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</si>
  <si>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</si>
  <si>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</si>
  <si>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</si>
  <si>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</si>
  <si>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</si>
  <si>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</si>
  <si>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</si>
  <si>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</si>
  <si>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</si>
  <si>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</si>
  <si>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</si>
  <si>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</si>
  <si>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</si>
  <si>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</si>
  <si>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</si>
  <si>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</si>
  <si>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</si>
  <si>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</si>
  <si>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</si>
  <si>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</si>
  <si>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</si>
  <si>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</si>
  <si>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</si>
  <si>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</si>
  <si>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</si>
  <si>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</si>
  <si>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</si>
  <si>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</si>
  <si>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</si>
  <si>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</si>
  <si>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</si>
  <si>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</si>
  <si>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</si>
  <si>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</si>
  <si>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</si>
  <si>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</si>
  <si>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</si>
  <si>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</si>
  <si>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</si>
  <si>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</si>
  <si>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</si>
  <si>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</si>
  <si>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</si>
  <si>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</si>
  <si>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</si>
  <si>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</si>
  <si>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</si>
  <si>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</si>
  <si>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</si>
  <si>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</si>
  <si>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</si>
  <si>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</si>
  <si>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</si>
  <si>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</si>
  <si>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</si>
  <si>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</si>
  <si>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</si>
  <si>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</si>
  <si>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</si>
  <si>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</si>
  <si>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</si>
  <si>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</si>
  <si>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</si>
  <si>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</si>
  <si>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</si>
  <si>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</si>
  <si>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</si>
  <si>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</si>
  <si>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</si>
  <si>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</si>
  <si>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</si>
  <si>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</si>
  <si>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</si>
  <si>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</si>
  <si>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</si>
  <si>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</si>
  <si>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</si>
  <si>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</si>
  <si>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</si>
  <si>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</si>
  <si>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</si>
  <si>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</si>
  <si>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</si>
  <si>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</si>
  <si>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</si>
  <si>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</si>
  <si>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</si>
  <si>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</si>
  <si>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</si>
  <si>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</si>
  <si>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</si>
  <si>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</si>
  <si>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</si>
  <si>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</si>
  <si>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</si>
  <si>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</si>
  <si>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</si>
  <si>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</si>
  <si>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</si>
  <si>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</si>
  <si>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</si>
  <si>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</si>
  <si>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</si>
  <si>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</si>
  <si>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</si>
  <si>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</si>
  <si>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</si>
  <si>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</si>
  <si>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</si>
  <si>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</si>
  <si>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</si>
  <si>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</si>
  <si>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</si>
  <si>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</si>
  <si>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</si>
  <si>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</si>
  <si>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</si>
  <si>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</si>
  <si>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</si>
  <si>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</si>
  <si>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</si>
  <si>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</si>
  <si>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</si>
  <si>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</si>
  <si>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</si>
  <si>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</si>
  <si>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</si>
  <si>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</si>
  <si>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</si>
  <si>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</si>
  <si>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</si>
  <si>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</si>
  <si>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</si>
  <si>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</si>
  <si>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</si>
  <si>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</si>
  <si>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</si>
  <si>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</si>
  <si>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</si>
  <si>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</si>
  <si>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</si>
  <si>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</si>
  <si>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</si>
  <si>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</si>
  <si>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</si>
  <si>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</si>
  <si>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</si>
  <si>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</si>
  <si>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</si>
  <si>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</si>
  <si>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</si>
  <si>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</si>
  <si>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</si>
  <si>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</si>
  <si>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</si>
  <si>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</si>
  <si>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</si>
  <si>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</si>
  <si>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</si>
  <si>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</si>
  <si>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</si>
  <si>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</si>
  <si>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</si>
  <si>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</si>
  <si>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</si>
  <si>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</si>
  <si>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</si>
  <si>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</si>
  <si>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</si>
  <si>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</si>
  <si>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</si>
  <si>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</si>
  <si>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</si>
  <si>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</si>
  <si>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</si>
  <si>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</si>
  <si>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</si>
  <si>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</si>
  <si>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</si>
  <si>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</si>
  <si>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</si>
  <si>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</si>
  <si>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</si>
  <si>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</si>
  <si>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</si>
  <si>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</si>
  <si>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</si>
  <si>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</si>
  <si>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</si>
  <si>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</si>
  <si>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</si>
  <si>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</si>
  <si>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</si>
  <si>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</si>
  <si>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</si>
  <si>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</si>
  <si>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</si>
  <si>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</si>
  <si>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</si>
  <si>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</si>
  <si>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</si>
  <si>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</si>
  <si>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</si>
  <si>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</si>
  <si>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</si>
  <si>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</si>
  <si>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</si>
  <si>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</si>
  <si>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</si>
  <si>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</si>
  <si>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</si>
  <si>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</si>
  <si>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</si>
  <si>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</si>
  <si>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</si>
  <si>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</si>
  <si>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</si>
  <si>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</si>
  <si>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</si>
  <si>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</si>
  <si>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</si>
  <si>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</si>
  <si>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</si>
  <si>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</si>
  <si>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</si>
  <si>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</si>
  <si>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</si>
  <si>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</si>
  <si>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</si>
  <si>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</si>
  <si>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</si>
  <si>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</si>
  <si>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</si>
  <si>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</si>
  <si>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</si>
  <si>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</si>
  <si>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</si>
  <si>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</si>
  <si>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</si>
  <si>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</si>
  <si>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</si>
  <si>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</si>
  <si>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</si>
  <si>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</si>
  <si>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</si>
  <si>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</si>
  <si>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</si>
  <si>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</si>
  <si>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</si>
  <si>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</si>
  <si>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</si>
  <si>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</si>
  <si>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</si>
  <si>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</si>
  <si>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</si>
  <si>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</si>
  <si>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</si>
  <si>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</si>
  <si>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</si>
  <si>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</si>
  <si>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</si>
  <si>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</si>
  <si>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</si>
  <si>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</si>
  <si>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</si>
  <si>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</si>
  <si>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</si>
  <si>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</si>
  <si>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</si>
  <si>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</si>
  <si>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</si>
  <si>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</si>
  <si>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</si>
  <si>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</si>
  <si>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</si>
  <si>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</si>
  <si>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</si>
  <si>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</si>
  <si>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</si>
  <si>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</si>
  <si>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</si>
  <si>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</si>
  <si>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</si>
  <si>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</si>
  <si>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</si>
  <si>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</si>
  <si>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</si>
  <si>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</si>
  <si>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</si>
  <si>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</si>
  <si>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</si>
  <si>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</si>
  <si>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</si>
  <si>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</si>
  <si>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</si>
  <si>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</si>
  <si>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</si>
  <si>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</si>
  <si>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</si>
  <si>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</si>
  <si>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</si>
  <si>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</si>
  <si>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</si>
  <si>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</si>
  <si>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</si>
  <si>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</si>
  <si>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</si>
  <si>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</si>
  <si>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</si>
  <si>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</si>
  <si>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</si>
  <si>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</si>
  <si>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</si>
  <si>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</si>
  <si>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</si>
  <si>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</si>
  <si>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</si>
  <si>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</si>
  <si>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</si>
  <si>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</si>
  <si>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</si>
  <si>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</si>
  <si>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</si>
  <si>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</si>
  <si>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</si>
  <si>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</si>
  <si>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</si>
  <si>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</si>
  <si>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</si>
  <si>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</si>
  <si>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</si>
  <si>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</si>
  <si>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</si>
  <si>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</si>
  <si>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</si>
  <si>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</si>
  <si>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</si>
  <si>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</si>
  <si>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</si>
  <si>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</si>
  <si>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</si>
  <si>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</si>
  <si>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</si>
  <si>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</si>
  <si>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</si>
  <si>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</si>
  <si>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</si>
  <si>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</si>
  <si>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</si>
  <si>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</si>
  <si>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</si>
  <si>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</si>
  <si>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</si>
  <si>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</si>
  <si>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</si>
  <si>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</si>
  <si>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</si>
  <si>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</si>
  <si>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</si>
  <si>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</si>
  <si>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</si>
  <si>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</si>
  <si>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</si>
  <si>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</si>
  <si>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</si>
  <si>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</si>
  <si>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</si>
  <si>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</si>
  <si>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</si>
  <si>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</si>
  <si>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</si>
  <si>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</si>
  <si>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</si>
  <si>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</si>
  <si>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</si>
  <si>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</si>
  <si>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</si>
  <si>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</si>
  <si>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</si>
  <si>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</si>
  <si>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</si>
  <si>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</si>
  <si>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</si>
  <si>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</si>
  <si>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</si>
  <si>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</si>
  <si>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</si>
  <si>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</si>
  <si>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</si>
  <si>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</si>
  <si>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</si>
  <si>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</si>
  <si>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</si>
  <si>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</si>
  <si>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</si>
  <si>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</si>
  <si>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</si>
  <si>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</si>
  <si>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</si>
  <si>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</si>
  <si>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</si>
  <si>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</si>
  <si>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</si>
  <si>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</si>
  <si>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</si>
  <si>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</si>
  <si>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</si>
  <si>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</si>
  <si>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</si>
  <si>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</si>
  <si>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</si>
  <si>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</si>
  <si>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</si>
  <si>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</si>
  <si>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</si>
  <si>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</si>
  <si>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</si>
  <si>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</si>
  <si>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</si>
  <si>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</si>
  <si>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</si>
  <si>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</si>
  <si>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</si>
  <si>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</si>
  <si>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</si>
  <si>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</si>
  <si>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</si>
  <si>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</si>
  <si>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</si>
  <si>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</si>
  <si>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</si>
  <si>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</si>
  <si>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</si>
  <si>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</si>
  <si>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</si>
  <si>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</si>
  <si>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</si>
  <si>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</si>
  <si>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</si>
  <si>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</si>
  <si>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</si>
  <si>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</si>
  <si>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</si>
  <si>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</si>
  <si>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</si>
  <si>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</si>
  <si>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</si>
  <si>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</si>
  <si>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</si>
  <si>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</si>
  <si>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</si>
  <si>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</si>
  <si>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</si>
  <si>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</si>
  <si>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</si>
  <si>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</si>
  <si>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</si>
  <si>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</si>
  <si>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</si>
  <si>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</si>
  <si>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</si>
  <si>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</si>
  <si>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</si>
  <si>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</si>
  <si>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</si>
  <si>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</si>
  <si>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</si>
  <si>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</si>
  <si>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</si>
  <si>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</si>
  <si>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</si>
  <si>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</si>
  <si>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</si>
  <si>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</si>
  <si>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</si>
  <si>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</si>
  <si>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</si>
  <si>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</si>
  <si>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</si>
  <si>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</si>
  <si>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</si>
  <si>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</si>
  <si>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</si>
  <si>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</si>
  <si>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</si>
  <si>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</si>
  <si>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</si>
  <si>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</si>
  <si>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</si>
  <si>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</si>
  <si>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</si>
  <si>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</si>
  <si>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</si>
  <si>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</si>
  <si>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</si>
  <si>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</si>
  <si>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</si>
  <si>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</si>
  <si>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</si>
  <si>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</si>
  <si>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</si>
  <si>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</si>
  <si>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</si>
  <si>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</si>
  <si>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</si>
  <si>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</si>
  <si>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</si>
  <si>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</si>
  <si>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</si>
  <si>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</si>
  <si>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</si>
  <si>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</si>
  <si>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</si>
  <si>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</si>
  <si>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</si>
  <si>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</si>
  <si>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</si>
  <si>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</si>
  <si>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</si>
  <si>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</si>
  <si>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</si>
  <si>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</si>
  <si>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</si>
  <si>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</si>
  <si>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</si>
  <si>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</si>
  <si>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</si>
  <si>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</si>
  <si>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</si>
  <si>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</si>
  <si>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</si>
  <si>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</si>
  <si>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</si>
  <si>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</si>
  <si>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</si>
  <si>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</si>
  <si>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</si>
  <si>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</si>
  <si>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</si>
  <si>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</si>
  <si>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</si>
  <si>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</si>
  <si>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</si>
  <si>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</si>
  <si>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</si>
  <si>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</si>
  <si>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</si>
  <si>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</si>
  <si>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</si>
  <si>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</si>
  <si>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</si>
  <si>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</si>
  <si>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</si>
  <si>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</si>
  <si>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</si>
  <si>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</si>
  <si>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</si>
  <si>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</si>
  <si>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</si>
  <si>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</si>
  <si>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</si>
  <si>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</si>
  <si>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</si>
  <si>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</si>
  <si>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</si>
  <si>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</si>
  <si>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</si>
  <si>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</si>
  <si>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</si>
  <si>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</si>
  <si>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</si>
  <si>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</si>
  <si>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</si>
  <si>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</si>
  <si>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</si>
  <si>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</si>
  <si>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</si>
  <si>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</si>
  <si>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</si>
  <si>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</si>
  <si>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</si>
  <si>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</si>
  <si>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</si>
  <si>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</si>
  <si>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</si>
  <si>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</si>
  <si>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</si>
  <si>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</si>
  <si>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</si>
  <si>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</si>
  <si>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</si>
  <si>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</si>
  <si>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</si>
  <si>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</si>
  <si>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</si>
  <si>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</si>
  <si>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</si>
  <si>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</si>
  <si>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</si>
  <si>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</si>
  <si>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</si>
  <si>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</si>
  <si>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</si>
  <si>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</si>
  <si>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</si>
  <si>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</si>
  <si>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</si>
  <si>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</si>
  <si>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</si>
  <si>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</si>
  <si>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</si>
  <si>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</si>
  <si>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</si>
  <si>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</si>
  <si>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</si>
  <si>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</si>
  <si>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</si>
  <si>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</si>
  <si>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</si>
  <si>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</si>
  <si>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</si>
  <si>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</si>
  <si>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</si>
  <si>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</si>
  <si>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</si>
  <si>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</si>
  <si>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</si>
  <si>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</si>
  <si>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</si>
  <si>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</si>
  <si>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</si>
  <si>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</si>
  <si>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</si>
  <si>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</si>
  <si>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</si>
  <si>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</si>
  <si>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</si>
  <si>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</si>
  <si>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</si>
  <si>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</si>
  <si>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</si>
  <si>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</si>
  <si>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</si>
  <si>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</si>
  <si>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</si>
  <si>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</si>
  <si>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</si>
  <si>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</si>
  <si>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</si>
  <si>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</si>
  <si>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</si>
  <si>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</si>
  <si>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</si>
  <si>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</si>
  <si>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</si>
  <si>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</si>
  <si>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</si>
  <si>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</si>
  <si>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</si>
  <si>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</si>
  <si>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</si>
  <si>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</si>
  <si>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</si>
  <si>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</si>
  <si>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</si>
  <si>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</si>
  <si>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</si>
  <si>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</si>
  <si>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</si>
  <si>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</si>
  <si>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</si>
  <si>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</si>
  <si>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</si>
  <si>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</si>
  <si>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</si>
  <si>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</si>
  <si>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</si>
  <si>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</si>
  <si>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</si>
  <si>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</si>
  <si>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</si>
  <si>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</si>
  <si>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</si>
  <si>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</si>
  <si>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</si>
  <si>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</si>
  <si>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</si>
  <si>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</si>
  <si>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</si>
  <si>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</si>
  <si>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</si>
  <si>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</si>
  <si>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</si>
  <si>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</si>
  <si>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</si>
  <si>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</si>
  <si>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</si>
  <si>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</si>
  <si>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</si>
  <si>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</si>
  <si>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</si>
  <si>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</si>
  <si>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</si>
  <si>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</si>
  <si>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</si>
  <si>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</si>
  <si>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</si>
  <si>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</si>
  <si>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</si>
  <si>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</si>
  <si>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</si>
  <si>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</si>
  <si>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</si>
  <si>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</si>
  <si>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</si>
  <si>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</si>
  <si>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</si>
  <si>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</si>
  <si>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</si>
  <si>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</si>
  <si>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</si>
  <si>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</si>
  <si>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</si>
  <si>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</si>
  <si>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</si>
  <si>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</si>
  <si>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</si>
  <si>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</si>
  <si>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</si>
  <si>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</si>
  <si>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</si>
  <si>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</si>
  <si>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</si>
  <si>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</si>
  <si>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</si>
  <si>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</si>
  <si>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</si>
  <si>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</si>
  <si>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</si>
  <si>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</si>
  <si>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</si>
  <si>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</si>
  <si>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</si>
  <si>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</si>
  <si>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</si>
  <si>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</si>
  <si>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</si>
  <si>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</si>
  <si>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</si>
  <si>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</si>
  <si>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</si>
  <si>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</si>
  <si>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</si>
  <si>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</si>
  <si>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</si>
  <si>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</si>
  <si>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</si>
  <si>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</si>
  <si>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</si>
  <si>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</si>
  <si>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</si>
  <si>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</si>
  <si>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</si>
  <si>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</si>
  <si>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</si>
  <si>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</si>
  <si>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</si>
  <si>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</si>
  <si>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</si>
  <si>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</si>
  <si>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</si>
  <si>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</si>
  <si>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</si>
  <si>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</si>
  <si>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</si>
  <si>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</si>
  <si>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</si>
  <si>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</si>
  <si>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</si>
  <si>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</si>
  <si>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</si>
  <si>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</si>
  <si>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</si>
  <si>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</si>
  <si>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</si>
  <si>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</si>
  <si>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</si>
  <si>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</si>
  <si>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</si>
  <si>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</si>
  <si>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</si>
  <si>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</si>
  <si>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</si>
  <si>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</si>
  <si>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</si>
  <si>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</si>
  <si>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</si>
  <si>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</si>
  <si>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</si>
  <si>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</si>
  <si>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</si>
  <si>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</si>
  <si>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</si>
  <si>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</si>
  <si>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</si>
  <si>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</si>
  <si>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</si>
  <si>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</si>
  <si>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</si>
  <si>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</si>
  <si>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</si>
  <si>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</si>
  <si>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</si>
  <si>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</si>
  <si>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</si>
  <si>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</si>
  <si>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</si>
  <si>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</si>
  <si>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</si>
  <si>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</si>
  <si>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</si>
  <si>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</si>
  <si>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</si>
  <si>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</si>
  <si>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</si>
  <si>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</si>
  <si>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</si>
  <si>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</si>
  <si>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</si>
  <si>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</si>
  <si>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</si>
  <si>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</si>
  <si>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</si>
  <si>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</si>
  <si>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</si>
  <si>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</si>
  <si>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</si>
  <si>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</si>
  <si>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</si>
  <si>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</si>
  <si>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</si>
  <si>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</si>
  <si>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</si>
  <si>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</si>
  <si>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</si>
  <si>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</si>
  <si>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</si>
  <si>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</si>
  <si>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</si>
  <si>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</si>
  <si>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</si>
  <si>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</si>
  <si>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</si>
  <si>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</si>
  <si>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</si>
  <si>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</si>
  <si>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</si>
  <si>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</si>
  <si>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</si>
  <si>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</si>
  <si>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</si>
  <si>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</si>
  <si>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</si>
  <si>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</si>
  <si>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</si>
  <si>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</si>
  <si>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</si>
  <si>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</si>
  <si>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</si>
  <si>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</si>
  <si>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</si>
  <si>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</si>
  <si>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</si>
  <si>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</si>
  <si>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</si>
  <si>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</si>
  <si>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</si>
  <si>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</si>
  <si>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</si>
  <si>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</si>
  <si>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</si>
  <si>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</si>
  <si>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</si>
  <si>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</si>
  <si>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</si>
  <si>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</si>
  <si>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</si>
  <si>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</si>
  <si>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</si>
  <si>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</si>
  <si>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</si>
  <si>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</si>
  <si>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</si>
  <si>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</si>
  <si>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</si>
  <si>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</si>
  <si>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</si>
  <si>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</si>
  <si>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</si>
  <si>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</si>
  <si>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</si>
  <si>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</si>
  <si>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</si>
  <si>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</si>
  <si>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</si>
  <si>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</si>
  <si>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</si>
  <si>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</si>
  <si>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</si>
  <si>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</si>
  <si>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</si>
  <si>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</si>
  <si>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</si>
  <si>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</si>
  <si>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</si>
  <si>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</si>
  <si>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</si>
  <si>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</si>
  <si>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</si>
  <si>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</si>
  <si>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</si>
  <si>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</si>
  <si>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</si>
  <si>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</si>
  <si>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</si>
  <si>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</si>
  <si>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</si>
  <si>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</si>
  <si>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</si>
  <si>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</si>
  <si>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</si>
  <si>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</si>
  <si>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</si>
  <si>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</si>
  <si>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</si>
  <si>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</si>
  <si>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</si>
  <si>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</si>
  <si>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</si>
  <si>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</si>
  <si>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</si>
  <si>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</si>
  <si>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</si>
  <si>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</si>
  <si>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</si>
  <si>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</si>
  <si>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</si>
  <si>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</si>
  <si>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</si>
  <si>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</si>
  <si>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</si>
  <si>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</si>
  <si>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</si>
  <si>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</si>
  <si>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</si>
  <si>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</si>
  <si>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</si>
  <si>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</si>
  <si>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</si>
  <si>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</si>
  <si>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</si>
  <si>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</si>
  <si>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</si>
  <si>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</si>
  <si>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</si>
  <si>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</si>
  <si>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</si>
  <si>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</si>
  <si>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</si>
  <si>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</si>
  <si>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</si>
  <si>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</si>
  <si>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</si>
  <si>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</si>
  <si>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</si>
  <si>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</si>
  <si>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</si>
  <si>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</si>
  <si>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</si>
  <si>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</si>
  <si>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</si>
  <si>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</si>
  <si>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</si>
  <si>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</si>
  <si>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</si>
  <si>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</si>
  <si>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</si>
  <si>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</si>
  <si>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</si>
  <si>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</si>
  <si>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</si>
  <si>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</si>
  <si>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</si>
  <si>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</si>
  <si>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</si>
  <si>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</si>
  <si>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</si>
  <si>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</si>
  <si>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</si>
  <si>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</si>
  <si>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</si>
  <si>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</si>
  <si>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</si>
  <si>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</si>
  <si>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</si>
  <si>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</si>
  <si>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</si>
  <si>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</si>
  <si>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</si>
  <si>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</si>
  <si>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</si>
  <si>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</si>
  <si>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</si>
  <si>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</si>
  <si>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</si>
  <si>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</si>
  <si>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</si>
  <si>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</si>
  <si>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</si>
  <si>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</si>
  <si>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</si>
  <si>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</si>
  <si>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</si>
  <si>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</si>
  <si>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</si>
  <si>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</si>
  <si>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</si>
  <si>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</si>
  <si>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</si>
  <si>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</si>
  <si>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</si>
  <si>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</si>
  <si>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</si>
  <si>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</si>
  <si>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</si>
  <si>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</si>
  <si>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</si>
  <si>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</si>
  <si>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</si>
  <si>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</si>
  <si>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</si>
  <si>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</si>
  <si>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</si>
  <si>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</si>
  <si>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</si>
  <si>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</si>
  <si>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</si>
  <si>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</si>
  <si>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</si>
  <si>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</si>
  <si>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</si>
  <si>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</si>
  <si>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</si>
  <si>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</si>
  <si>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</si>
  <si>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</si>
  <si>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</si>
  <si>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</si>
  <si>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</si>
  <si>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</si>
  <si>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</si>
  <si>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</si>
  <si>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</si>
  <si>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</si>
  <si>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</si>
  <si>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</si>
  <si>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</si>
  <si>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</si>
  <si>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</si>
  <si>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</si>
  <si>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</si>
  <si>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</si>
  <si>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</si>
  <si>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</si>
  <si>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</si>
  <si>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</si>
  <si>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</si>
  <si>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</si>
  <si>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</si>
  <si>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</si>
  <si>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</si>
  <si>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</si>
  <si>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</si>
  <si>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</si>
  <si>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</si>
  <si>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</si>
  <si>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</si>
  <si>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</si>
  <si>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</si>
  <si>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</si>
  <si>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</si>
  <si>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</si>
  <si>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</si>
  <si>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</si>
  <si>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</si>
  <si>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</si>
  <si>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</si>
  <si>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</si>
  <si>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</si>
  <si>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</si>
  <si>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</si>
  <si>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</si>
  <si>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</si>
  <si>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</si>
  <si>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</si>
  <si>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</si>
  <si>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</si>
  <si>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</si>
  <si>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</si>
  <si>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</si>
  <si>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</si>
  <si>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</si>
  <si>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</si>
  <si>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</si>
  <si>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</si>
  <si>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</si>
  <si>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</si>
  <si>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</si>
  <si>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</si>
  <si>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</si>
  <si>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</si>
  <si>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</si>
  <si>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</si>
  <si>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</si>
  <si>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</si>
  <si>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</si>
  <si>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</si>
  <si>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</si>
  <si>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</si>
  <si>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</si>
  <si>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</si>
  <si>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</si>
  <si>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</si>
  <si>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</si>
  <si>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</si>
  <si>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</si>
  <si>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</si>
  <si>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</si>
  <si>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</si>
  <si>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</si>
  <si>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</si>
  <si>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</si>
  <si>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</si>
  <si>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</si>
  <si>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</si>
  <si>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</si>
  <si>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</si>
  <si>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</si>
  <si>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</si>
  <si>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</si>
  <si>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</si>
  <si>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</si>
  <si>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</si>
  <si>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</si>
  <si>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</si>
  <si>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</si>
  <si>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</si>
  <si>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</si>
  <si>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</si>
  <si>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</si>
  <si>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</si>
  <si>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</si>
  <si>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</si>
  <si>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</si>
  <si>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</si>
  <si>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</si>
  <si>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</si>
  <si>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</si>
  <si>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</si>
  <si>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</si>
  <si>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</si>
  <si>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</si>
  <si>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</si>
  <si>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</si>
  <si>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</si>
  <si>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</si>
  <si>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</si>
  <si>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</si>
  <si>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</si>
  <si>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</si>
  <si>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</si>
  <si>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</si>
  <si>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</si>
  <si>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</si>
  <si>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</si>
  <si>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</si>
  <si>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</si>
  <si>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</si>
  <si>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</si>
  <si>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</si>
  <si>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</si>
  <si>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</si>
  <si>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</si>
  <si>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</si>
  <si>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</si>
  <si>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</si>
  <si>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</si>
  <si>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</si>
  <si>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</si>
  <si>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</si>
  <si>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</si>
  <si>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</si>
  <si>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</si>
  <si>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</si>
  <si>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</si>
  <si>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</si>
  <si>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</si>
  <si>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</si>
  <si>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</si>
  <si>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</si>
  <si>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</si>
  <si>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</si>
  <si>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</si>
  <si>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</si>
  <si>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</si>
  <si>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</si>
  <si>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</si>
  <si>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</si>
  <si>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</si>
  <si>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</si>
  <si>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</si>
  <si>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</si>
  <si>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</si>
  <si>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</si>
  <si>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</si>
  <si>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</si>
  <si>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</si>
  <si>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</si>
  <si>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</si>
  <si>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</si>
  <si>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</si>
  <si>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</si>
  <si>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</si>
  <si>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</si>
  <si>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</si>
  <si>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</si>
  <si>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</si>
  <si>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</si>
  <si>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</si>
  <si>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</si>
  <si>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</si>
  <si>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</si>
  <si>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</si>
  <si>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</si>
  <si>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</si>
  <si>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</si>
  <si>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</si>
  <si>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</si>
  <si>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</si>
  <si>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</si>
  <si>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</si>
  <si>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</si>
  <si>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</si>
  <si>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</si>
  <si>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</si>
  <si>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</si>
  <si>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</si>
  <si>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</si>
  <si>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</si>
  <si>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</si>
  <si>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</si>
  <si>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</si>
  <si>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</si>
  <si>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</si>
  <si>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</si>
  <si>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</si>
  <si>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</si>
  <si>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</si>
  <si>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</si>
  <si>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</si>
  <si>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</si>
  <si>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</si>
  <si>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</si>
  <si>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</si>
  <si>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</si>
  <si>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</si>
  <si>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</si>
  <si>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</si>
  <si>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</si>
  <si>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</si>
  <si>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</si>
  <si>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</si>
  <si>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</si>
  <si>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</si>
  <si>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</si>
  <si>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</si>
  <si>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</si>
  <si>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</si>
  <si>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</si>
  <si>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</si>
  <si>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</si>
  <si>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</si>
  <si>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</si>
  <si>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</si>
  <si>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</si>
  <si>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</si>
  <si>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</si>
  <si>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</si>
  <si>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</si>
  <si>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</si>
  <si>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</si>
  <si>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</si>
  <si>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</si>
  <si>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</si>
  <si>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</si>
  <si>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</si>
  <si>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</si>
  <si>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</si>
  <si>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</si>
  <si>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</si>
  <si>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</si>
  <si>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</si>
  <si>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</si>
  <si>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</si>
  <si>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</si>
  <si>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</si>
  <si>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</si>
  <si>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</si>
  <si>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</si>
  <si>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</si>
  <si>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</si>
  <si>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</si>
  <si>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</si>
  <si>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</si>
  <si>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</si>
  <si>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</si>
  <si>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</si>
  <si>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</si>
  <si>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</si>
  <si>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</si>
  <si>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</si>
  <si>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</si>
  <si>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</si>
  <si>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</si>
  <si>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</si>
  <si>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</si>
  <si>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</si>
  <si>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</si>
  <si>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</si>
  <si>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</si>
  <si>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</si>
  <si>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</si>
  <si>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</si>
  <si>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</si>
  <si>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</si>
  <si>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</si>
  <si>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</si>
  <si>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</si>
  <si>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</si>
  <si>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</si>
  <si>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</si>
  <si>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</si>
  <si>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</si>
  <si>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</si>
  <si>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</si>
  <si>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</si>
  <si>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</si>
  <si>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</si>
  <si>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</si>
  <si>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</si>
  <si>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</si>
  <si>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</si>
  <si>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</si>
  <si>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</si>
  <si>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</si>
  <si>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</si>
  <si>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</si>
  <si>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</si>
  <si>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</si>
  <si>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</si>
  <si>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</si>
  <si>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</si>
  <si>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</si>
  <si>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</si>
  <si>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</si>
  <si>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</si>
  <si>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</si>
  <si>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</si>
  <si>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</si>
  <si>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</si>
  <si>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</si>
  <si>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</si>
  <si>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</si>
  <si>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</si>
  <si>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</si>
  <si>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</si>
  <si>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</si>
  <si>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</si>
  <si>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</si>
  <si>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</si>
  <si>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</si>
  <si>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</si>
  <si>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</si>
  <si>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</si>
  <si>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</si>
  <si>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</si>
  <si>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</si>
  <si>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</si>
  <si>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</si>
  <si>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</si>
  <si>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</si>
  <si>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</si>
  <si>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</si>
  <si>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</si>
  <si>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</si>
  <si>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</si>
  <si>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</si>
  <si>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</si>
  <si>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</si>
  <si>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</si>
  <si>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</si>
  <si>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</si>
  <si>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</si>
  <si>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</si>
  <si>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</si>
  <si>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</si>
  <si>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</si>
  <si>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</si>
  <si>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</si>
  <si>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</si>
  <si>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</si>
  <si>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</si>
  <si>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</si>
  <si>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</si>
  <si>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</si>
  <si>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</si>
  <si>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</si>
  <si>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</si>
  <si>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</si>
  <si>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</si>
  <si>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</si>
  <si>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</si>
  <si>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</si>
  <si>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</si>
  <si>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</si>
  <si>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</si>
  <si>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</si>
  <si>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</si>
  <si>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</si>
  <si>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</si>
  <si>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</si>
  <si>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</si>
  <si>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</si>
  <si>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</si>
  <si>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</si>
  <si>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</si>
  <si>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</si>
  <si>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</si>
  <si>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</si>
  <si>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</si>
  <si>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</si>
  <si>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</si>
  <si>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</si>
  <si>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</si>
  <si>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</si>
  <si>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</si>
  <si>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</si>
  <si>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</si>
  <si>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</si>
  <si>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</si>
  <si>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</si>
  <si>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</si>
  <si>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</si>
  <si>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</si>
  <si>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</si>
  <si>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</si>
  <si>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</si>
  <si>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</si>
  <si>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</si>
  <si>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</si>
  <si>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</si>
  <si>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</si>
  <si>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</si>
  <si>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</si>
  <si>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</si>
  <si>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</si>
  <si>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</si>
  <si>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</si>
  <si>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</si>
  <si>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</si>
  <si>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</si>
  <si>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</si>
  <si>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</si>
  <si>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</si>
  <si>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</si>
  <si>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</si>
  <si>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</si>
  <si>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</si>
  <si>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</si>
  <si>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</si>
  <si>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</si>
  <si>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</si>
  <si>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</si>
  <si>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</si>
  <si>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</si>
  <si>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</si>
  <si>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</si>
  <si>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</si>
  <si>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</si>
  <si>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</si>
  <si>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</si>
  <si>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</si>
  <si>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</si>
  <si>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</si>
  <si>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</si>
  <si>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</si>
  <si>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</si>
  <si>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</si>
  <si>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</si>
  <si>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</si>
  <si>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</si>
  <si>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</si>
  <si>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</si>
  <si>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</si>
  <si>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</si>
  <si>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</si>
  <si>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</si>
  <si>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</si>
  <si>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</si>
  <si>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</si>
  <si>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</si>
  <si>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</si>
  <si>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</si>
  <si>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</si>
  <si>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</si>
  <si>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</si>
  <si>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</si>
  <si>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</si>
  <si>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</si>
  <si>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</si>
  <si>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</si>
  <si>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</si>
  <si>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</si>
  <si>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</si>
  <si>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</si>
  <si>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</si>
  <si>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</si>
  <si>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</si>
  <si>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</si>
  <si>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</si>
  <si>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</si>
  <si>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</si>
  <si>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</si>
  <si>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</si>
  <si>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</si>
  <si>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</si>
  <si>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</si>
  <si>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</si>
  <si>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</si>
  <si>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</si>
  <si>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</si>
  <si>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</si>
  <si>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</si>
  <si>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</si>
  <si>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</si>
  <si>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</si>
  <si>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</si>
  <si>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</si>
  <si>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</si>
  <si>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</si>
  <si>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</si>
  <si>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</si>
  <si>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</si>
  <si>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</si>
  <si>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</si>
  <si>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</si>
  <si>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</si>
  <si>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</si>
  <si>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</si>
  <si>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</si>
  <si>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</si>
  <si>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</si>
  <si>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</si>
  <si>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</si>
  <si>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</si>
  <si>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</si>
  <si>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</si>
  <si>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</si>
  <si>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</si>
  <si>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</si>
  <si>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</si>
  <si>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</si>
  <si>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</si>
  <si>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</si>
  <si>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</si>
  <si>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</si>
  <si>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</si>
  <si>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</si>
  <si>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</si>
  <si>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</si>
  <si>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</si>
  <si>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</si>
  <si>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</si>
  <si>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</si>
  <si>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</si>
  <si>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</si>
  <si>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</si>
  <si>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</si>
  <si>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</si>
  <si>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</si>
  <si>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</si>
  <si>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</si>
  <si>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</si>
  <si>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</si>
  <si>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</si>
  <si>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</si>
  <si>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</si>
  <si>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</si>
  <si>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</si>
  <si>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</si>
  <si>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</si>
  <si>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</si>
  <si>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</si>
  <si>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</si>
  <si>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</si>
  <si>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</si>
  <si>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</si>
  <si>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</si>
  <si>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</si>
  <si>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</si>
  <si>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</si>
  <si>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</si>
  <si>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</si>
  <si>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</si>
  <si>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</si>
  <si>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</si>
  <si>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</si>
  <si>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</si>
  <si>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</si>
  <si>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</si>
  <si>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</si>
  <si>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</si>
  <si>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</si>
  <si>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</si>
  <si>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</si>
  <si>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</si>
  <si>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</si>
  <si>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</si>
  <si>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</si>
  <si>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</si>
  <si>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</si>
  <si>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</si>
  <si>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</si>
  <si>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</si>
  <si>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</si>
  <si>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</si>
  <si>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</si>
  <si>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</si>
  <si>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</si>
  <si>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</si>
  <si>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</si>
  <si>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</si>
  <si>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</si>
  <si>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</si>
  <si>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</si>
  <si>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</si>
  <si>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</si>
  <si>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</si>
  <si>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</si>
  <si>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</si>
  <si>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</si>
  <si>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</si>
  <si>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</si>
  <si>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</si>
  <si>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</si>
  <si>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</si>
  <si>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</si>
  <si>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</si>
  <si>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</si>
  <si>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</si>
  <si>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</si>
  <si>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</si>
  <si>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</si>
  <si>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</si>
  <si>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</si>
  <si>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</si>
  <si>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</si>
  <si>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</si>
  <si>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</si>
  <si>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</si>
  <si>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</si>
  <si>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</si>
  <si>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</si>
  <si>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</si>
  <si>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</si>
  <si>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</si>
  <si>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</si>
  <si>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</si>
  <si>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</si>
  <si>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</si>
  <si>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</si>
  <si>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</si>
  <si>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</si>
  <si>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</si>
  <si>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</si>
  <si>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</si>
  <si>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</si>
  <si>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</si>
  <si>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</si>
  <si>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</si>
  <si>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</si>
  <si>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</si>
  <si>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</si>
  <si>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</si>
  <si>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</si>
  <si>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</si>
  <si>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</si>
  <si>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</si>
  <si>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</si>
  <si>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</si>
  <si>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</si>
  <si>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</si>
  <si>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</si>
  <si>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</si>
  <si>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</si>
  <si>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</si>
  <si>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</si>
  <si>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</si>
  <si>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</si>
  <si>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</si>
  <si>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</si>
  <si>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</si>
  <si>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</si>
  <si>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</si>
  <si>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</si>
  <si>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</si>
  <si>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</si>
  <si>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</si>
  <si>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</si>
  <si>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</si>
  <si>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</si>
  <si>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</si>
  <si>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</si>
  <si>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</si>
  <si>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</si>
  <si>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</si>
  <si>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</si>
  <si>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</si>
  <si>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</si>
  <si>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</si>
  <si>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</si>
  <si>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</si>
  <si>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</si>
  <si>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</si>
  <si>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</si>
  <si>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</si>
  <si>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</si>
  <si>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</si>
  <si>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</si>
  <si>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</si>
  <si>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</si>
  <si>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</si>
  <si>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</si>
  <si>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</si>
  <si>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</si>
  <si>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</si>
  <si>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</si>
  <si>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</si>
  <si>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</si>
  <si>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</si>
  <si>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</si>
  <si>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</si>
  <si>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</si>
  <si>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</si>
  <si>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</si>
  <si>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</si>
  <si>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</si>
  <si>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</si>
  <si>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</si>
  <si>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</si>
  <si>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</si>
  <si>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</si>
  <si>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</si>
  <si>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</si>
  <si>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</si>
  <si>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</si>
  <si>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</si>
  <si>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</si>
  <si>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</si>
  <si>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</si>
  <si>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</si>
  <si>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</si>
  <si>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</si>
  <si>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</si>
  <si>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</si>
  <si>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</si>
  <si>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</si>
  <si>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</si>
  <si>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</si>
  <si>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</si>
  <si>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</si>
  <si>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</si>
  <si>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</si>
  <si>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</si>
  <si>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</si>
  <si>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</si>
  <si>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</si>
  <si>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</si>
  <si>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</si>
  <si>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</si>
  <si>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</si>
  <si>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</si>
  <si>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</si>
  <si>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</si>
  <si>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</si>
  <si>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</si>
  <si>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</si>
  <si>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</si>
  <si>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</si>
  <si>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</si>
  <si>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</si>
  <si>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</si>
  <si>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</si>
  <si>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</si>
  <si>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</si>
  <si>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</si>
  <si>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</si>
  <si>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</si>
  <si>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</si>
  <si>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</si>
  <si>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</si>
  <si>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</si>
  <si>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</si>
  <si>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</si>
  <si>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</si>
  <si>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</si>
  <si>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</si>
  <si>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</si>
  <si>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</si>
  <si>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</si>
  <si>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</si>
  <si>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</si>
  <si>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</si>
  <si>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</si>
  <si>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</si>
  <si>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</si>
  <si>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</si>
  <si>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</si>
  <si>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</si>
  <si>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</si>
  <si>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</si>
  <si>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</si>
  <si>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</si>
  <si>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</si>
  <si>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</si>
  <si>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</si>
  <si>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</si>
  <si>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</si>
  <si>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</si>
  <si>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</si>
  <si>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</si>
  <si>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</si>
  <si>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</si>
  <si>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</si>
  <si>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</si>
  <si>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</si>
  <si>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</si>
  <si>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</si>
  <si>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</si>
  <si>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</si>
  <si>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</si>
  <si>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</si>
  <si>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</si>
  <si>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</si>
  <si>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</si>
  <si>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</si>
  <si>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</si>
  <si>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</si>
  <si>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</si>
  <si>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</si>
  <si>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</si>
  <si>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</si>
  <si>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</si>
  <si>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</si>
  <si>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</si>
  <si>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</si>
  <si>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</si>
  <si>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</si>
  <si>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</si>
  <si>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</si>
  <si>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</si>
  <si>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</si>
  <si>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</si>
  <si>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</si>
  <si>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</si>
  <si>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</si>
  <si>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</si>
  <si>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</si>
  <si>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</si>
  <si>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</si>
  <si>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</si>
  <si>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</si>
  <si>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</si>
  <si>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</si>
  <si>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</si>
  <si>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</si>
  <si>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</si>
  <si>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</si>
  <si>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</si>
  <si>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</si>
  <si>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</si>
  <si>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</si>
  <si>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</si>
  <si>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</si>
  <si>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</si>
  <si>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</si>
  <si>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</si>
  <si>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</si>
  <si>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</si>
  <si>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</si>
  <si>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</si>
  <si>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</si>
  <si>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</si>
  <si>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</si>
  <si>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</si>
  <si>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东</t>
  </si>
  <si>
    <t>花家地街</t>
    <phoneticPr fontId="4" type="noConversion"/>
  </si>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</sst>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36203</v>
      </c>
    </row>
    <row r="20" spans="1:2">
      <c r="A20" s="1701" t="s">
        <v>1160</v>
      </c>
      <c r="B20" s="1688" t="str">
        <f>'预评函-2（1）'!C7</f>
        <v>总价（元）</v>
      </c>
    </row>
    <row r="21" spans="1:2">
      <c r="A21" s="1701" t="s">
        <v>1123</v>
      </c>
      <c r="B21" s="1688">
        <f ca="1">'预评函-2（1）'!D9</f>
        <v>36203</v>
      </c>
    </row>
    <row r="22" spans="1:2">
      <c r="A22" s="1701" t="s">
        <v>1124</v>
      </c>
      <c r="B22" s="1688" t="str">
        <f ca="1">'预评函-2（1）'!D8</f>
        <v>叁万陆仟贰佰零叁元整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36203</v>
      </c>
    </row>
    <row r="30" spans="1:2">
      <c r="A30" s="1701" t="s">
        <v>1130</v>
      </c>
      <c r="B30" s="1688" t="str">
        <f ca="1">'预评函-2（1）'!D16</f>
        <v>叁万陆仟贰佰零叁元整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32438</v>
      </c>
    </row>
    <row r="38" spans="1:2">
      <c r="A38" s="1701" t="s">
        <v>1138</v>
      </c>
      <c r="B38" s="1688">
        <f ca="1">'预评函-2（2）'!E4</f>
        <v>32438</v>
      </c>
    </row>
    <row r="39" spans="1:2">
      <c r="A39" s="1701" t="s">
        <v>1139</v>
      </c>
      <c r="B39" s="1688" t="str">
        <f ca="1">'预评函-2（2）'!D5</f>
        <v>叁万贰仟肆佰叁拾捌元整</v>
      </c>
    </row>
    <row r="40" spans="1:2">
      <c r="A40" s="1701" t="s">
        <v>1140</v>
      </c>
      <c r="B40" s="1688">
        <f ca="1">'预评函-2（2）'!F4</f>
        <v>3765</v>
      </c>
    </row>
    <row r="41" spans="1:2">
      <c r="A41" s="1701" t="s">
        <v>1141</v>
      </c>
      <c r="B41" s="1688">
        <f ca="1">'预评函-2（2）'!G4</f>
        <v>3765</v>
      </c>
    </row>
    <row r="42" spans="1:2" s="1698" customFormat="1" ht="15.75" thickBot="1">
      <c r="A42" s="1702" t="s">
        <v>1142</v>
      </c>
      <c r="B42" s="1690" t="str">
        <f ca="1">'预评函-2（2）'!F5</f>
        <v>叁仟柒佰陆拾伍元整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36203</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H20" sqref="H20"/>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31" t="s">
        <v>1553</v>
      </c>
      <c r="B8" s="2018" t="s">
        <v>1554</v>
      </c>
      <c r="C8" s="2844"/>
      <c r="D8" s="2845"/>
      <c r="E8" s="2019" t="s">
        <v>1555</v>
      </c>
      <c r="F8" s="2020" t="s">
        <v>1556</v>
      </c>
      <c r="G8" s="690">
        <f>C6</f>
        <v>0</v>
      </c>
    </row>
    <row r="9" spans="1:10">
      <c r="A9" s="2831"/>
      <c r="B9" s="344" t="s">
        <v>1557</v>
      </c>
      <c r="C9" s="2005"/>
      <c r="D9" s="2021"/>
      <c r="E9" s="1009" t="s">
        <v>1558</v>
      </c>
      <c r="F9" s="995" t="s">
        <v>87</v>
      </c>
      <c r="G9" s="1011"/>
    </row>
    <row r="10" spans="1:10" ht="13.5" thickBot="1">
      <c r="A10" s="2831"/>
      <c r="B10" s="344" t="s">
        <v>1559</v>
      </c>
      <c r="C10" s="2846"/>
      <c r="D10" s="2847"/>
      <c r="E10" s="2022" t="s">
        <v>1560</v>
      </c>
      <c r="F10" s="1012" t="s">
        <v>332</v>
      </c>
      <c r="G10" s="1013"/>
    </row>
    <row r="11" spans="1:10" ht="13.5" thickBot="1">
      <c r="A11" s="2831"/>
      <c r="B11" s="2023" t="s">
        <v>1561</v>
      </c>
      <c r="C11" s="2848"/>
      <c r="D11" s="2849"/>
      <c r="E11" s="1021"/>
      <c r="F11" s="1020"/>
      <c r="G11" s="1073"/>
    </row>
    <row r="12" spans="1:10" ht="24.75" thickBot="1">
      <c r="A12" s="2835" t="s">
        <v>1562</v>
      </c>
      <c r="B12" s="2024" t="s">
        <v>1563</v>
      </c>
      <c r="C12" s="1015">
        <v>1</v>
      </c>
      <c r="D12" s="2024" t="s">
        <v>1564</v>
      </c>
      <c r="E12" s="2025" t="s">
        <v>1565</v>
      </c>
      <c r="F12" s="2026" t="s">
        <v>1566</v>
      </c>
      <c r="G12" s="1073"/>
    </row>
    <row r="13" spans="1:10" ht="21" customHeight="1" thickBot="1">
      <c r="A13" s="2836"/>
      <c r="B13" s="2027" t="s">
        <v>1567</v>
      </c>
      <c r="C13" s="1016"/>
      <c r="D13" s="2027" t="s">
        <v>1568</v>
      </c>
      <c r="E13" s="2028" t="s">
        <v>1565</v>
      </c>
      <c r="F13" s="1020"/>
      <c r="G13" s="1073"/>
      <c r="I13" s="2854"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54"/>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54"/>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0" t="s">
        <v>1576</v>
      </c>
      <c r="C17" s="2851"/>
      <c r="D17" s="2852" t="s">
        <v>1577</v>
      </c>
      <c r="E17" s="2853"/>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8" t="s">
        <v>1593</v>
      </c>
      <c r="D27" s="2839"/>
      <c r="E27" s="1003"/>
      <c r="F27" s="1010" t="s">
        <v>1593</v>
      </c>
      <c r="G27" s="1003"/>
      <c r="I27" s="1070"/>
      <c r="K27" s="1070"/>
    </row>
    <row r="28" spans="1:15">
      <c r="A28" s="1007" t="s">
        <v>1594</v>
      </c>
      <c r="B28" s="977"/>
      <c r="C28" s="2840" t="s">
        <v>1595</v>
      </c>
      <c r="D28" s="2841"/>
      <c r="E28" s="977"/>
      <c r="F28" s="1892" t="s">
        <v>1595</v>
      </c>
      <c r="G28" s="977"/>
      <c r="I28" s="1070"/>
      <c r="K28" s="1070"/>
    </row>
    <row r="29" spans="1:15">
      <c r="A29" s="1007" t="s">
        <v>1596</v>
      </c>
      <c r="B29" s="977"/>
      <c r="C29" s="2840" t="s">
        <v>1596</v>
      </c>
      <c r="D29" s="2841"/>
      <c r="E29" s="977"/>
      <c r="F29" s="1892" t="s">
        <v>1597</v>
      </c>
      <c r="G29" s="977"/>
      <c r="I29" s="1070"/>
      <c r="K29" s="1070"/>
    </row>
    <row r="30" spans="1:15">
      <c r="A30" s="1007" t="s">
        <v>1598</v>
      </c>
      <c r="B30" s="977"/>
      <c r="C30" s="2860" t="s">
        <v>1599</v>
      </c>
      <c r="D30" s="2066"/>
      <c r="E30" s="1022" t="str">
        <f>E31&amp;" "&amp;E32&amp;" "&amp;E33&amp;" "&amp;E34</f>
        <v xml:space="preserve">   </v>
      </c>
      <c r="F30" s="1892" t="s">
        <v>1600</v>
      </c>
      <c r="G30" s="977"/>
    </row>
    <row r="31" spans="1:15">
      <c r="A31" s="1007" t="s">
        <v>1601</v>
      </c>
      <c r="B31" s="977"/>
      <c r="C31" s="2861"/>
      <c r="D31" s="1891" t="s">
        <v>1602</v>
      </c>
      <c r="E31" s="977"/>
      <c r="F31" s="1892" t="s">
        <v>1603</v>
      </c>
      <c r="G31" s="977"/>
    </row>
    <row r="32" spans="1:15" ht="24.75" thickBot="1">
      <c r="A32" s="1008" t="s">
        <v>1604</v>
      </c>
      <c r="B32" s="1004"/>
      <c r="C32" s="2861"/>
      <c r="D32" s="1891" t="s">
        <v>1605</v>
      </c>
      <c r="E32" s="977"/>
      <c r="F32" s="1892" t="s">
        <v>1606</v>
      </c>
      <c r="G32" s="977"/>
    </row>
    <row r="33" spans="1:7">
      <c r="A33" s="1006" t="s">
        <v>1607</v>
      </c>
      <c r="B33" s="1003"/>
      <c r="C33" s="2861"/>
      <c r="D33" s="1891" t="s">
        <v>1608</v>
      </c>
      <c r="E33" s="977"/>
      <c r="F33" s="1892" t="s">
        <v>1609</v>
      </c>
      <c r="G33" s="977"/>
    </row>
    <row r="34" spans="1:7" ht="13.5" thickBot="1">
      <c r="A34" s="1007" t="s">
        <v>1610</v>
      </c>
      <c r="B34" s="977"/>
      <c r="C34" s="2862"/>
      <c r="D34" s="1891" t="s">
        <v>1611</v>
      </c>
      <c r="E34" s="977"/>
      <c r="F34" s="1893" t="s">
        <v>1612</v>
      </c>
      <c r="G34" s="1005"/>
    </row>
    <row r="35" spans="1:7">
      <c r="A35" s="1007" t="s">
        <v>1563</v>
      </c>
      <c r="B35" s="977"/>
      <c r="C35" s="2840" t="s">
        <v>1613</v>
      </c>
      <c r="D35" s="2841"/>
      <c r="E35" s="977"/>
      <c r="F35" s="1018" t="s">
        <v>1614</v>
      </c>
      <c r="G35" s="1003"/>
    </row>
    <row r="36" spans="1:7" ht="13.5" thickBot="1">
      <c r="A36" s="1007" t="s">
        <v>1615</v>
      </c>
      <c r="B36" s="977"/>
      <c r="C36" s="2842" t="s">
        <v>1616</v>
      </c>
      <c r="D36" s="2843"/>
      <c r="E36" s="1004"/>
      <c r="F36" s="1889" t="s">
        <v>1617</v>
      </c>
      <c r="G36" s="977"/>
    </row>
    <row r="37" spans="1:7" ht="13.5" thickBot="1">
      <c r="A37" s="1007" t="s">
        <v>1618</v>
      </c>
      <c r="B37" s="977"/>
      <c r="C37" s="2832" t="s">
        <v>1619</v>
      </c>
      <c r="D37" s="2067" t="s">
        <v>1603</v>
      </c>
      <c r="E37" s="1003"/>
      <c r="F37" s="1893" t="s">
        <v>1620</v>
      </c>
      <c r="G37" s="1004"/>
    </row>
    <row r="38" spans="1:7">
      <c r="A38" s="1007" t="s">
        <v>1621</v>
      </c>
      <c r="B38" s="977"/>
      <c r="C38" s="2833"/>
      <c r="D38" s="1891" t="s">
        <v>1610</v>
      </c>
      <c r="E38" s="977"/>
      <c r="F38" s="1010" t="s">
        <v>1622</v>
      </c>
      <c r="G38" s="1003"/>
    </row>
    <row r="39" spans="1:7">
      <c r="A39" s="1007" t="s">
        <v>1623</v>
      </c>
      <c r="B39" s="977"/>
      <c r="C39" s="2833" t="s">
        <v>1624</v>
      </c>
      <c r="D39" s="1891" t="s">
        <v>1563</v>
      </c>
      <c r="E39" s="977"/>
      <c r="F39" s="1892" t="s">
        <v>1625</v>
      </c>
      <c r="G39" s="977"/>
    </row>
    <row r="40" spans="1:7" ht="24.75" customHeight="1" thickBot="1">
      <c r="A40" s="1008" t="s">
        <v>1626</v>
      </c>
      <c r="B40" s="1004"/>
      <c r="C40" s="2834"/>
      <c r="D40" s="1894" t="s">
        <v>1567</v>
      </c>
      <c r="E40" s="1004"/>
      <c r="F40" s="1893" t="s">
        <v>1627</v>
      </c>
      <c r="G40" s="1004"/>
    </row>
    <row r="41" spans="1:7">
      <c r="A41" s="1009" t="s">
        <v>1628</v>
      </c>
      <c r="B41" s="1059"/>
      <c r="C41" s="2855" t="s">
        <v>1628</v>
      </c>
      <c r="D41" s="2856"/>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57" t="s">
        <v>1631</v>
      </c>
      <c r="D48" s="2858"/>
      <c r="E48" s="1054"/>
      <c r="F48" s="1893" t="s">
        <v>1632</v>
      </c>
      <c r="G48" s="1004"/>
    </row>
    <row r="49" spans="1:15">
      <c r="A49" s="1007" t="s">
        <v>1633</v>
      </c>
      <c r="B49" s="1053"/>
      <c r="C49" s="2832" t="s">
        <v>1634</v>
      </c>
      <c r="D49" s="2859"/>
      <c r="E49" s="1055"/>
      <c r="F49" s="1083"/>
      <c r="G49" s="1084"/>
    </row>
    <row r="50" spans="1:15" ht="13.5" thickBot="1">
      <c r="A50" s="1007" t="s">
        <v>1635</v>
      </c>
      <c r="B50" s="1053"/>
      <c r="C50" s="2834" t="s">
        <v>1636</v>
      </c>
      <c r="D50" s="2837"/>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I29" sqref="I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5"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6"/>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6"/>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56</v>
      </c>
      <c r="C13" s="2094"/>
      <c r="D13" s="2095" t="s">
        <v>1657</v>
      </c>
      <c r="E13" s="39">
        <f>成本法!C9</f>
        <v>160</v>
      </c>
      <c r="F13" s="1848" t="s">
        <v>1658</v>
      </c>
      <c r="G13" s="1854"/>
      <c r="H13" s="2867" t="s">
        <v>2833</v>
      </c>
      <c r="I13" s="2868"/>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0.95899999999999996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9" t="s">
        <v>2840</v>
      </c>
      <c r="I19" s="2870"/>
      <c r="J19" s="2870"/>
      <c r="K19" s="2870"/>
      <c r="L19" s="2871"/>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3.91</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56</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2" t="s">
        <v>1731</v>
      </c>
      <c r="B1" s="2873"/>
      <c r="C1" s="2873"/>
      <c r="D1" s="2873"/>
      <c r="E1" s="2873"/>
      <c r="F1" s="2873"/>
      <c r="G1" s="287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2" sqref="B22:C22"/>
    </sheetView>
  </sheetViews>
  <sheetFormatPr defaultColWidth="14.625" defaultRowHeight="13.5"/>
  <cols>
    <col min="1" max="1" width="24.375" customWidth="1"/>
  </cols>
  <sheetData>
    <row r="1" spans="1:9" ht="16.5">
      <c r="A1" s="1829" t="s">
        <v>1222</v>
      </c>
      <c r="B1" s="1829">
        <f>SUM(B14:B23)</f>
        <v>1</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3.6202999999999999</v>
      </c>
      <c r="C5" s="1829">
        <f ca="1">ROUND(B5*10000/$B$1,0)</f>
        <v>36203</v>
      </c>
      <c r="D5" s="1829" t="e">
        <f ca="1">ROUND(B5*10000/$B$2,0)</f>
        <v>#DIV/0!</v>
      </c>
      <c r="E5" s="1830"/>
      <c r="F5" s="1834"/>
      <c r="G5" s="1834"/>
    </row>
    <row r="6" spans="1:9" ht="16.5">
      <c r="A6" s="1829" t="s">
        <v>1230</v>
      </c>
      <c r="B6" s="1829">
        <f ca="1">SUM(G14:G23)</f>
        <v>3.6202999999999999</v>
      </c>
      <c r="C6" s="1829">
        <f t="shared" ref="C6:C8" ca="1" si="0">ROUND(B6*10000/$B$1,0)</f>
        <v>36203</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2910</v>
      </c>
      <c r="B14" s="1833">
        <f>项目基本情况!C12</f>
        <v>1</v>
      </c>
      <c r="C14" s="1833">
        <f>项目基本情况!C13</f>
        <v>0</v>
      </c>
      <c r="D14" s="1833">
        <f ca="1">IF('数据-取费表'!B3="万元",IF(A14="估价对象1（结果表）",结果表!H121,'结果表 (1修多)'!H124),IF(A14="估价对象1（结果表）",结果表!H121,'结果表 (1修多)'!H124)/10000)</f>
        <v>3.6202999999999999</v>
      </c>
      <c r="E14" s="1833">
        <f ca="1">ROUND(D14*10000/B14,0)</f>
        <v>36203</v>
      </c>
      <c r="F14" s="1833" t="e">
        <f ca="1">ROUND(D14*10000/C14,0)</f>
        <v>#DIV/0!</v>
      </c>
      <c r="G14" s="1833">
        <f ca="1">IF('数据-取费表'!B3="万元",IF(A14="估价对象1（结果表）",结果表!D125,'结果表 (1修多)'!D128),IF(A14="估价对象1（结果表）",结果表!D125,'结果表 (1修多)'!D128)/10000)</f>
        <v>3.6202999999999999</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50" t="str">
        <f>项目基本情况!B1</f>
        <v>北京市房地产市场价值预评估</v>
      </c>
      <c r="B2" s="2950"/>
      <c r="C2" s="2950"/>
      <c r="D2" s="2950"/>
      <c r="E2" s="2950"/>
      <c r="F2" s="2950"/>
      <c r="G2" s="2950"/>
      <c r="H2" s="2950"/>
      <c r="I2" s="2950"/>
    </row>
    <row r="3" spans="1:12" ht="12.75">
      <c r="A3" s="2956" t="s">
        <v>1769</v>
      </c>
      <c r="B3" s="2957"/>
      <c r="C3" s="2957"/>
      <c r="D3" s="2957"/>
      <c r="E3" s="2957"/>
      <c r="F3" s="2957"/>
      <c r="G3" s="2957"/>
      <c r="H3" s="2957"/>
      <c r="I3" s="2957"/>
    </row>
    <row r="4" spans="1:12" ht="14.25">
      <c r="A4" s="2197" t="s">
        <v>1770</v>
      </c>
      <c r="B4" s="2198" t="s">
        <v>1771</v>
      </c>
      <c r="C4" s="2199" t="s">
        <v>2921</v>
      </c>
      <c r="D4" s="2199" t="s">
        <v>2911</v>
      </c>
      <c r="E4" s="2961" t="s">
        <v>1772</v>
      </c>
      <c r="F4" s="2962"/>
      <c r="G4" s="2962"/>
      <c r="H4" s="2962"/>
      <c r="I4" s="2963"/>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1" t="s">
        <v>1773</v>
      </c>
      <c r="B5" s="2896">
        <v>25</v>
      </c>
      <c r="C5" s="2958">
        <v>3</v>
      </c>
      <c r="D5" s="2955">
        <f>10-C5</f>
        <v>7</v>
      </c>
      <c r="E5" s="56" t="s">
        <v>1774</v>
      </c>
      <c r="F5" s="2200"/>
      <c r="G5" s="2200"/>
      <c r="H5" s="2200"/>
      <c r="I5" s="2201"/>
    </row>
    <row r="6" spans="1:12" ht="12.75">
      <c r="A6" s="2951"/>
      <c r="B6" s="2896"/>
      <c r="C6" s="2959"/>
      <c r="D6" s="2955"/>
      <c r="E6" s="56" t="s">
        <v>1775</v>
      </c>
      <c r="F6" s="2200"/>
      <c r="G6" s="2200"/>
      <c r="H6" s="2200"/>
      <c r="I6" s="2201"/>
    </row>
    <row r="7" spans="1:12" ht="12.75">
      <c r="A7" s="2951"/>
      <c r="B7" s="2896"/>
      <c r="C7" s="2960"/>
      <c r="D7" s="2955"/>
      <c r="E7" s="56" t="s">
        <v>1776</v>
      </c>
      <c r="F7" s="2200"/>
      <c r="G7" s="2200"/>
      <c r="H7" s="2200"/>
      <c r="I7" s="2201"/>
    </row>
    <row r="8" spans="1:12" ht="12.75">
      <c r="A8" s="2951" t="s">
        <v>1777</v>
      </c>
      <c r="B8" s="2896">
        <v>15</v>
      </c>
      <c r="C8" s="2958"/>
      <c r="D8" s="2955"/>
      <c r="E8" s="56" t="s">
        <v>1778</v>
      </c>
      <c r="F8" s="2200"/>
      <c r="G8" s="2200"/>
      <c r="H8" s="2200"/>
      <c r="I8" s="2201"/>
    </row>
    <row r="9" spans="1:12" ht="12.75">
      <c r="A9" s="2951"/>
      <c r="B9" s="2896"/>
      <c r="C9" s="2960"/>
      <c r="D9" s="2955"/>
      <c r="E9" s="56" t="s">
        <v>1779</v>
      </c>
      <c r="F9" s="2200"/>
      <c r="G9" s="2200"/>
      <c r="H9" s="2200"/>
      <c r="I9" s="2201"/>
    </row>
    <row r="10" spans="1:12" ht="12.75">
      <c r="A10" s="2951" t="s">
        <v>1780</v>
      </c>
      <c r="B10" s="2896">
        <v>15</v>
      </c>
      <c r="C10" s="2958"/>
      <c r="D10" s="2955"/>
      <c r="E10" s="56" t="s">
        <v>1781</v>
      </c>
      <c r="F10" s="2200"/>
      <c r="G10" s="2200"/>
      <c r="H10" s="2200"/>
      <c r="I10" s="2201"/>
    </row>
    <row r="11" spans="1:12" ht="12.75">
      <c r="A11" s="2951"/>
      <c r="B11" s="2896"/>
      <c r="C11" s="2960"/>
      <c r="D11" s="2955"/>
      <c r="E11" s="56" t="s">
        <v>1782</v>
      </c>
      <c r="F11" s="2200"/>
      <c r="G11" s="2200"/>
      <c r="H11" s="2200"/>
      <c r="I11" s="2201"/>
    </row>
    <row r="12" spans="1:12" ht="12.75">
      <c r="A12" s="2951" t="s">
        <v>1783</v>
      </c>
      <c r="B12" s="2896">
        <v>15</v>
      </c>
      <c r="C12" s="2958"/>
      <c r="D12" s="2955"/>
      <c r="E12" s="56" t="s">
        <v>1784</v>
      </c>
      <c r="F12" s="2200"/>
      <c r="G12" s="2200"/>
      <c r="H12" s="2200"/>
      <c r="I12" s="2201"/>
    </row>
    <row r="13" spans="1:12" ht="12.75">
      <c r="A13" s="2951"/>
      <c r="B13" s="2896"/>
      <c r="C13" s="2960"/>
      <c r="D13" s="2955"/>
      <c r="E13" s="56" t="s">
        <v>1785</v>
      </c>
      <c r="F13" s="2200"/>
      <c r="G13" s="2200"/>
      <c r="H13" s="2200"/>
      <c r="I13" s="2201"/>
    </row>
    <row r="14" spans="1:12" ht="12.75">
      <c r="A14" s="2951" t="s">
        <v>1786</v>
      </c>
      <c r="B14" s="2896">
        <v>30</v>
      </c>
      <c r="C14" s="2958"/>
      <c r="D14" s="2955"/>
      <c r="E14" s="56" t="s">
        <v>1787</v>
      </c>
      <c r="F14" s="2200"/>
      <c r="G14" s="2200"/>
      <c r="H14" s="2200"/>
      <c r="I14" s="2201"/>
    </row>
    <row r="15" spans="1:12" ht="12.75">
      <c r="A15" s="2951"/>
      <c r="B15" s="2896"/>
      <c r="C15" s="2959"/>
      <c r="D15" s="2955"/>
      <c r="E15" s="56" t="s">
        <v>1788</v>
      </c>
      <c r="F15" s="2200"/>
      <c r="G15" s="2200"/>
      <c r="H15" s="2200"/>
      <c r="I15" s="2201"/>
    </row>
    <row r="16" spans="1:12" ht="12.75">
      <c r="A16" s="2951"/>
      <c r="B16" s="2896"/>
      <c r="C16" s="2960"/>
      <c r="D16" s="2955"/>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47439</v>
      </c>
      <c r="D19" s="60">
        <f ca="1">SUMIF(INDIRECT("'"&amp;D4&amp;"'"&amp;"!A:A"),结果表!B19,INDIRECT("'"&amp;D4&amp;"'"&amp;"!B:B"))</f>
        <v>31388</v>
      </c>
      <c r="E19" s="2206" t="s">
        <v>1794</v>
      </c>
      <c r="F19" s="2207" t="s">
        <v>1793</v>
      </c>
      <c r="G19" s="61">
        <f ca="1">ROUND(C19*$C$18+D19*$D$18,0)</f>
        <v>36203</v>
      </c>
      <c r="H19" s="2208" t="str">
        <f>'数据-取费表'!B3</f>
        <v>元</v>
      </c>
      <c r="I19" s="2195"/>
    </row>
    <row r="20" spans="1:35" ht="15">
      <c r="A20" s="2209"/>
      <c r="B20" s="2210" t="s">
        <v>1795</v>
      </c>
      <c r="C20" s="62">
        <f ca="1">SUMIF(INDIRECT("'"&amp;C4&amp;"'"&amp;"!A:A"),结果表!B20,INDIRECT("'"&amp;C4&amp;"'"&amp;"!B:B"))</f>
        <v>47439</v>
      </c>
      <c r="D20" s="63">
        <f ca="1">SUMIF(INDIRECT("'"&amp;D4&amp;"'"&amp;"!A:A"),结果表!B20,INDIRECT("'"&amp;D4&amp;"'"&amp;"!B:B"))</f>
        <v>31388</v>
      </c>
      <c r="E20" s="2209"/>
      <c r="F20" s="2210" t="s">
        <v>1795</v>
      </c>
      <c r="G20" s="64">
        <f ca="1">ROUND(C20*$C$18+D20*$D$18,0)</f>
        <v>36203</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0.5113737734165924</v>
      </c>
      <c r="E22" s="2195"/>
      <c r="F22" s="2195"/>
      <c r="G22" s="2195"/>
      <c r="H22" s="2195"/>
      <c r="I22" s="2195"/>
    </row>
    <row r="23" spans="1:35" ht="13.5" thickBot="1">
      <c r="A23" s="2195"/>
      <c r="B23" s="2195"/>
      <c r="C23" s="2195"/>
      <c r="D23" s="2195"/>
      <c r="E23" s="2195"/>
      <c r="F23" s="2195"/>
      <c r="G23" s="2195"/>
      <c r="H23" s="2195"/>
      <c r="I23" s="2195"/>
    </row>
    <row r="24" spans="1:35" ht="21.75" customHeight="1">
      <c r="A24" s="2964" t="s">
        <v>1798</v>
      </c>
      <c r="B24" s="2207" t="s">
        <v>1793</v>
      </c>
      <c r="C24" s="61">
        <f>D30</f>
        <v>0</v>
      </c>
      <c r="D24" s="993"/>
      <c r="E24" s="2195"/>
      <c r="F24" s="2195"/>
      <c r="G24" s="2195"/>
      <c r="H24" s="2195"/>
      <c r="I24" s="2195"/>
    </row>
    <row r="25" spans="1:35" ht="21.75" customHeight="1">
      <c r="A25" s="2965"/>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36203</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32438</v>
      </c>
      <c r="D34" s="1090">
        <f ca="1">IF(D33="自定义",ROUND(C34/C32,3),1-D35)</f>
        <v>0.89600000000000002</v>
      </c>
      <c r="E34" s="2233" t="s">
        <v>1808</v>
      </c>
      <c r="F34" s="1827">
        <v>2000</v>
      </c>
      <c r="G34" s="2195"/>
      <c r="H34" s="2195"/>
      <c r="I34" s="2195"/>
    </row>
    <row r="35" spans="1:16" ht="15.75" thickBot="1">
      <c r="A35" s="2234"/>
      <c r="B35" s="2235" t="s">
        <v>1809</v>
      </c>
      <c r="C35" s="73">
        <f ca="1">IF(D33="自定义",F35,ROUND(C32*D35,0))</f>
        <v>3765</v>
      </c>
      <c r="D35" s="1089">
        <f ca="1">IF(D33="自定义",ROUND(C35/C32,3),IF(D33="成本法成本比率",成本法!C56,IF(D33="收益法收益比率",收益法!J38,收益法!J41)))</f>
        <v>0.104</v>
      </c>
      <c r="E35" s="2236" t="s">
        <v>1810</v>
      </c>
      <c r="F35" s="79">
        <v>4460</v>
      </c>
      <c r="G35" s="2195"/>
      <c r="H35" s="2195"/>
      <c r="I35" s="2195"/>
    </row>
    <row r="36" spans="1:16" ht="15.75" thickBot="1">
      <c r="A36" s="2969" t="s">
        <v>1811</v>
      </c>
      <c r="B36" s="2237" t="s">
        <v>1812</v>
      </c>
      <c r="C36" s="69">
        <v>0</v>
      </c>
      <c r="D36" s="2238"/>
      <c r="E36" s="2239"/>
      <c r="F36" s="2239"/>
      <c r="G36" s="2195"/>
      <c r="H36" s="2195"/>
      <c r="I36" s="2195"/>
    </row>
    <row r="37" spans="1:16" ht="15.75" thickBot="1">
      <c r="A37" s="2970"/>
      <c r="B37" s="2240" t="s">
        <v>1813</v>
      </c>
      <c r="C37" s="71">
        <v>0</v>
      </c>
      <c r="D37" s="2205"/>
      <c r="E37" s="2205"/>
      <c r="F37" s="2239"/>
      <c r="G37" s="2205"/>
      <c r="H37" s="2205"/>
      <c r="I37" s="2205"/>
    </row>
    <row r="38" spans="1:16" ht="15.75" thickBot="1">
      <c r="A38" s="2971"/>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74" t="s">
        <v>1822</v>
      </c>
      <c r="B45" s="2975"/>
      <c r="C45" s="2976"/>
      <c r="D45" s="80">
        <f ca="1">ROUND(I102*F45,0)</f>
        <v>36203</v>
      </c>
      <c r="E45" s="81" t="s">
        <v>1823</v>
      </c>
      <c r="F45" s="82">
        <v>1</v>
      </c>
      <c r="G45" s="83" t="s">
        <v>1824</v>
      </c>
      <c r="H45" s="2195"/>
      <c r="I45" s="2195"/>
      <c r="J45" s="2886" t="s">
        <v>1825</v>
      </c>
      <c r="K45" s="2886"/>
      <c r="L45" s="2886"/>
      <c r="M45" s="2886"/>
      <c r="N45" s="2886"/>
      <c r="O45" s="2886"/>
      <c r="P45" s="1844"/>
    </row>
    <row r="46" spans="1:16" ht="14.25" customHeight="1">
      <c r="A46" s="2966" t="s">
        <v>1826</v>
      </c>
      <c r="B46" s="2967"/>
      <c r="C46" s="2967"/>
      <c r="D46" s="2967"/>
      <c r="E46" s="2967"/>
      <c r="F46" s="2967"/>
      <c r="G46" s="2968"/>
      <c r="H46" s="2257"/>
      <c r="I46" s="1143"/>
      <c r="J46" s="1881">
        <v>1</v>
      </c>
      <c r="K46" s="2886" t="s">
        <v>1827</v>
      </c>
      <c r="L46" s="2886"/>
      <c r="M46" s="2887" t="str">
        <f>项目基本情况!B1</f>
        <v>北京市房地产市场价值预评估</v>
      </c>
      <c r="N46" s="2887"/>
      <c r="O46" s="2887"/>
      <c r="P46" s="1844"/>
    </row>
    <row r="47" spans="1:16" ht="12" customHeight="1">
      <c r="A47" s="85" t="s">
        <v>1828</v>
      </c>
      <c r="B47" s="86"/>
      <c r="C47" s="87"/>
      <c r="D47" s="88" t="s">
        <v>1829</v>
      </c>
      <c r="E47" s="14" t="s">
        <v>1830</v>
      </c>
      <c r="F47" s="89" t="s">
        <v>1831</v>
      </c>
      <c r="G47" s="90" t="s">
        <v>1832</v>
      </c>
      <c r="H47" s="2257"/>
      <c r="I47" s="1143"/>
      <c r="J47" s="1881">
        <v>2</v>
      </c>
      <c r="K47" s="2886" t="s">
        <v>1833</v>
      </c>
      <c r="L47" s="2886"/>
      <c r="M47" s="2888">
        <f>'数据-取费表'!B2</f>
        <v>43516</v>
      </c>
      <c r="N47" s="2888"/>
      <c r="O47" s="2888"/>
      <c r="P47" s="1844"/>
    </row>
    <row r="48" spans="1:16" ht="25.5">
      <c r="A48" s="2972" t="s">
        <v>1834</v>
      </c>
      <c r="B48" s="2973"/>
      <c r="C48" s="2973"/>
      <c r="D48" s="56">
        <f ca="1">IF(H48="情况1",0,IF(H48="情况2",D52,IF(H48="情况3",D53,IF(H48="情况4",D54))))</f>
        <v>1931</v>
      </c>
      <c r="E48" s="1891" t="str">
        <f>IF(H48="情况4","(销售额-原购置价)×税（费）率","销售额×税（费）率")</f>
        <v>销售额×税（费）率</v>
      </c>
      <c r="F48" s="91">
        <f>IF(H48="情况1","免征",'数据-取费表'!E29)</f>
        <v>5.6000000000000001E-2</v>
      </c>
      <c r="G48" s="2258" t="s">
        <v>1835</v>
      </c>
      <c r="H48" s="2259" t="s">
        <v>1836</v>
      </c>
      <c r="I48" s="2257"/>
      <c r="J48" s="1881">
        <v>3</v>
      </c>
      <c r="K48" s="2886" t="s">
        <v>1837</v>
      </c>
      <c r="L48" s="2886"/>
      <c r="M48" s="2887">
        <f ca="1">I102</f>
        <v>36203</v>
      </c>
      <c r="N48" s="2887"/>
      <c r="O48" s="2887"/>
      <c r="P48" s="1844"/>
    </row>
    <row r="49" spans="1:16" ht="25.5" customHeight="1">
      <c r="A49" s="92" t="s">
        <v>1838</v>
      </c>
      <c r="B49" s="2953" t="s">
        <v>1839</v>
      </c>
      <c r="C49" s="2953"/>
      <c r="D49" s="93">
        <v>0</v>
      </c>
      <c r="E49" s="13" t="s">
        <v>1840</v>
      </c>
      <c r="F49" s="18" t="s">
        <v>48</v>
      </c>
      <c r="G49" s="2877"/>
      <c r="H49" s="2195"/>
      <c r="I49" s="2260"/>
      <c r="J49" s="1881">
        <v>4</v>
      </c>
      <c r="K49" s="2886" t="str">
        <f>IF(项目基本情况!F5="房地产抵押价值","房地产抵押价值","抵押担保权已注销时的房地产抵押价值")</f>
        <v>抵押担保权已注销时的房地产抵押价值</v>
      </c>
      <c r="L49" s="2886"/>
      <c r="M49" s="2887" t="str">
        <f>IF(项目基本情况!F5="房地产抵押价值",I110,I112)</f>
        <v>——</v>
      </c>
      <c r="N49" s="2887"/>
      <c r="O49" s="2887"/>
      <c r="P49" s="1844"/>
    </row>
    <row r="50" spans="1:16" ht="25.5" customHeight="1">
      <c r="A50" s="94"/>
      <c r="B50" s="2953" t="s">
        <v>1841</v>
      </c>
      <c r="C50" s="2953"/>
      <c r="D50" s="95"/>
      <c r="E50" s="21"/>
      <c r="F50" s="96"/>
      <c r="G50" s="2878"/>
      <c r="H50" s="2195"/>
      <c r="I50" s="2260"/>
      <c r="J50" s="2886" t="s">
        <v>1842</v>
      </c>
      <c r="K50" s="2886"/>
      <c r="L50" s="2886"/>
      <c r="M50" s="2886"/>
      <c r="N50" s="2886"/>
      <c r="O50" s="2886"/>
      <c r="P50" s="1844"/>
    </row>
    <row r="51" spans="1:16" ht="12" customHeight="1">
      <c r="A51" s="97"/>
      <c r="B51" s="2953" t="s">
        <v>1843</v>
      </c>
      <c r="C51" s="2953"/>
      <c r="D51" s="98"/>
      <c r="E51" s="20"/>
      <c r="F51" s="96"/>
      <c r="G51" s="2879"/>
      <c r="H51" s="2195"/>
      <c r="I51" s="2260"/>
      <c r="J51" s="2261" t="s">
        <v>1844</v>
      </c>
      <c r="K51" s="2886" t="s">
        <v>1845</v>
      </c>
      <c r="L51" s="2886"/>
      <c r="M51" s="2261" t="s">
        <v>1846</v>
      </c>
      <c r="N51" s="2261" t="s">
        <v>1847</v>
      </c>
      <c r="O51" s="2261" t="s">
        <v>1848</v>
      </c>
      <c r="P51" s="1844"/>
    </row>
    <row r="52" spans="1:16" ht="24" customHeight="1">
      <c r="A52" s="99" t="s">
        <v>1849</v>
      </c>
      <c r="B52" s="2953" t="s">
        <v>1850</v>
      </c>
      <c r="C52" s="2953"/>
      <c r="D52" s="98">
        <f ca="1">ROUND(D45*'数据-取费表'!E29/(1+'数据-取费表'!F30),0)</f>
        <v>1931</v>
      </c>
      <c r="E52" s="10" t="s">
        <v>1851</v>
      </c>
      <c r="F52" s="100">
        <f>'数据-取费表'!E29</f>
        <v>5.6000000000000001E-2</v>
      </c>
      <c r="G52" s="2262"/>
      <c r="H52" s="2195"/>
      <c r="I52" s="2260"/>
      <c r="J52" s="1881">
        <v>1</v>
      </c>
      <c r="K52" s="2876" t="s">
        <v>1852</v>
      </c>
      <c r="L52" s="2876"/>
      <c r="M52" s="778">
        <f ca="1">D48</f>
        <v>1931</v>
      </c>
      <c r="N52" s="1881" t="str">
        <f>E48</f>
        <v>销售额×税（费）率</v>
      </c>
      <c r="O52" s="779">
        <f>F48</f>
        <v>5.6000000000000001E-2</v>
      </c>
      <c r="P52" s="1844"/>
    </row>
    <row r="53" spans="1:16" ht="12" customHeight="1">
      <c r="A53" s="99" t="s">
        <v>1853</v>
      </c>
      <c r="B53" s="2952" t="s">
        <v>1854</v>
      </c>
      <c r="C53" s="2841"/>
      <c r="D53" s="98">
        <f ca="1">ROUND(D45*'数据-取费表'!E29/(1+'数据-取费表'!F30),0)</f>
        <v>1931</v>
      </c>
      <c r="E53" s="10" t="s">
        <v>1851</v>
      </c>
      <c r="F53" s="100">
        <f>'数据-取费表'!E29</f>
        <v>5.6000000000000001E-2</v>
      </c>
      <c r="G53" s="2262"/>
      <c r="H53" s="2195"/>
      <c r="I53" s="2260"/>
      <c r="J53" s="1881">
        <v>2</v>
      </c>
      <c r="K53" s="2876" t="s">
        <v>1855</v>
      </c>
      <c r="L53" s="2876"/>
      <c r="M53" s="778">
        <f t="shared" ref="M53:O54" ca="1" si="1">D55</f>
        <v>18</v>
      </c>
      <c r="N53" s="1881" t="str">
        <f t="shared" si="1"/>
        <v>销售额×税（费）率</v>
      </c>
      <c r="O53" s="779">
        <f t="shared" si="1"/>
        <v>5.0000000000000001E-4</v>
      </c>
      <c r="P53" s="1844"/>
    </row>
    <row r="54" spans="1:16" ht="12" customHeight="1">
      <c r="A54" s="99" t="s">
        <v>1856</v>
      </c>
      <c r="B54" s="2952" t="s">
        <v>1857</v>
      </c>
      <c r="C54" s="2841"/>
      <c r="D54" s="98">
        <f ca="1">C68</f>
        <v>1931</v>
      </c>
      <c r="E54" s="20" t="s">
        <v>1858</v>
      </c>
      <c r="F54" s="100">
        <f>'数据-取费表'!E29</f>
        <v>5.6000000000000001E-2</v>
      </c>
      <c r="G54" s="2262"/>
      <c r="H54" s="2263"/>
      <c r="I54" s="2260"/>
      <c r="J54" s="1881">
        <v>3</v>
      </c>
      <c r="K54" s="2876" t="s">
        <v>1859</v>
      </c>
      <c r="L54" s="2876"/>
      <c r="M54" s="778">
        <f t="shared" ca="1" si="1"/>
        <v>20491</v>
      </c>
      <c r="N54" s="1881" t="str">
        <f t="shared" si="1"/>
        <v>增值额×税（费）率</v>
      </c>
      <c r="O54" s="780" t="str">
        <f t="shared" si="1"/>
        <v>——</v>
      </c>
      <c r="P54" s="1844"/>
    </row>
    <row r="55" spans="1:16" ht="24" customHeight="1">
      <c r="A55" s="2833" t="s">
        <v>1860</v>
      </c>
      <c r="B55" s="2973"/>
      <c r="C55" s="2973"/>
      <c r="D55" s="101">
        <f ca="1">IF(H55="个人住宅",0,ROUND(D45*I55,0))</f>
        <v>18</v>
      </c>
      <c r="E55" s="10" t="s">
        <v>1861</v>
      </c>
      <c r="F55" s="100">
        <f>IF(H55="正常",I55,"免征")</f>
        <v>5.0000000000000001E-4</v>
      </c>
      <c r="G55" s="2262"/>
      <c r="H55" s="2259" t="s">
        <v>1862</v>
      </c>
      <c r="I55" s="102">
        <f>'数据-取费表'!E37</f>
        <v>5.0000000000000001E-4</v>
      </c>
      <c r="J55" s="1881">
        <f>IF(H59="非个人房产","",4)</f>
        <v>4</v>
      </c>
      <c r="K55" s="2876" t="str">
        <f>IF(H59="非个人房产","——","个人所得税")</f>
        <v>个人所得税</v>
      </c>
      <c r="L55" s="2876"/>
      <c r="M55" s="781">
        <f ca="1">D59</f>
        <v>362</v>
      </c>
      <c r="N55" s="1884" t="str">
        <f>E59</f>
        <v>销售额×税（费）率</v>
      </c>
      <c r="O55" s="782">
        <f>F59</f>
        <v>0.01</v>
      </c>
      <c r="P55" s="1844"/>
    </row>
    <row r="56" spans="1:16" ht="24.75">
      <c r="A56" s="2833" t="s">
        <v>1863</v>
      </c>
      <c r="B56" s="2973"/>
      <c r="C56" s="2973"/>
      <c r="D56" s="101">
        <f ca="1">IF(H56="个人住宅",D57,D58)</f>
        <v>20491</v>
      </c>
      <c r="E56" s="10" t="s">
        <v>1864</v>
      </c>
      <c r="F56" s="100" t="str">
        <f>IF(H56="正常",F58,"免征")</f>
        <v>——</v>
      </c>
      <c r="G56" s="2264" t="s">
        <v>1865</v>
      </c>
      <c r="H56" s="2265" t="s">
        <v>1862</v>
      </c>
      <c r="I56" s="1021"/>
      <c r="J56" s="1881" t="str">
        <f>IF(项目基本情况!I6="上海银行",IF(J55="",4,J55+1),"")</f>
        <v/>
      </c>
      <c r="K56" s="2893" t="str">
        <f>IF(项目基本情况!I6="上海银行","其他处置费用","")</f>
        <v/>
      </c>
      <c r="L56" s="2894"/>
      <c r="M56" s="778" t="str">
        <f>IF(项目基本情况!I6="上海银行",M69,"")</f>
        <v/>
      </c>
      <c r="N56" s="2874" t="str">
        <f>IF(项目基本情况!I6="上海银行","包含处置中涉及的律师、诉讼、拍卖、评估等费用","")</f>
        <v/>
      </c>
      <c r="O56" s="2875"/>
      <c r="P56" s="1844"/>
    </row>
    <row r="57" spans="1:16" ht="12.75">
      <c r="A57" s="99" t="s">
        <v>1838</v>
      </c>
      <c r="B57" s="2961" t="s">
        <v>1866</v>
      </c>
      <c r="C57" s="2963"/>
      <c r="D57" s="103">
        <v>0</v>
      </c>
      <c r="E57" s="13" t="s">
        <v>1840</v>
      </c>
      <c r="F57" s="70"/>
      <c r="G57" s="2262"/>
      <c r="H57" s="1021"/>
      <c r="I57" s="1021"/>
      <c r="J57" s="2876">
        <f>IF(AND(J55="",J56=""),4,IF(项目基本情况!I6="上海银行",J56+1,J55+1))</f>
        <v>5</v>
      </c>
      <c r="K57" s="2876" t="s">
        <v>1867</v>
      </c>
      <c r="L57" s="2266" t="s">
        <v>1868</v>
      </c>
      <c r="M57" s="783"/>
      <c r="N57" s="784">
        <f ca="1">SUMIF(M52:M56,"&lt;9e307")</f>
        <v>22802</v>
      </c>
      <c r="O57" s="2267"/>
      <c r="P57" s="1840" t="e">
        <f ca="1">N57/M49</f>
        <v>#VALUE!</v>
      </c>
    </row>
    <row r="58" spans="1:16" ht="24.75">
      <c r="A58" s="99" t="s">
        <v>1849</v>
      </c>
      <c r="B58" s="2961" t="s">
        <v>1869</v>
      </c>
      <c r="C58" s="2962"/>
      <c r="D58" s="101">
        <f ca="1">IF(H58="转让取得",C81,C97)</f>
        <v>20491</v>
      </c>
      <c r="E58" s="10" t="s">
        <v>1864</v>
      </c>
      <c r="F58" s="14" t="s">
        <v>48</v>
      </c>
      <c r="G58" s="2262"/>
      <c r="H58" s="2265" t="s">
        <v>1870</v>
      </c>
      <c r="I58" s="1021"/>
      <c r="J58" s="2876"/>
      <c r="K58" s="2876"/>
      <c r="L58" s="2266" t="s">
        <v>1871</v>
      </c>
      <c r="M58" s="785"/>
      <c r="N58" s="2268" t="str">
        <f ca="1">IF(H19="元",NUMBERSTRING(INT(N57),2)&amp;"元整",NUMBERSTRING(INT(N57*10000),2)&amp;"元整")</f>
        <v>贰万贰仟捌佰零贰元整</v>
      </c>
      <c r="O58" s="2269"/>
      <c r="P58" s="1844"/>
    </row>
    <row r="59" spans="1:16" ht="26.25" thickBot="1">
      <c r="A59" s="2834" t="s">
        <v>1872</v>
      </c>
      <c r="B59" s="2837"/>
      <c r="C59" s="2837"/>
      <c r="D59" s="104">
        <f ca="1">IF(H59="非个人房产","——",IF(H59="个人住宅",0,ROUND(D45*I59,0)))</f>
        <v>362</v>
      </c>
      <c r="E59" s="105" t="str">
        <f>IF(H59="非个人房产","——","销售额×税（费）率")</f>
        <v>销售额×税（费）率</v>
      </c>
      <c r="F59" s="106">
        <f>IF(H59="非个人房产","——",IF(H59="个人住宅","免征",I59))</f>
        <v>0.01</v>
      </c>
      <c r="G59" s="2270" t="s">
        <v>1865</v>
      </c>
      <c r="H59" s="2265" t="s">
        <v>1873</v>
      </c>
      <c r="I59" s="107">
        <v>0.01</v>
      </c>
      <c r="J59" s="2930">
        <f>J57+1</f>
        <v>6</v>
      </c>
      <c r="K59" s="2876"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31"/>
      <c r="K60" s="2876"/>
      <c r="L60" s="2266" t="s">
        <v>1871</v>
      </c>
      <c r="M60" s="785"/>
      <c r="N60" s="2268" t="e">
        <f ca="1">IF(H19="元",NUMBERSTRING(INT(N59),2)&amp;"元整",NUMBERSTRING(INT(N59*10000),2)&amp;"元整")</f>
        <v>#VALUE!</v>
      </c>
      <c r="O60" s="2269"/>
      <c r="P60" s="1844"/>
    </row>
    <row r="61" spans="1:16" ht="13.5" thickBot="1">
      <c r="A61" s="2977" t="s">
        <v>1875</v>
      </c>
      <c r="B61" s="2977"/>
      <c r="C61" s="2977"/>
      <c r="D61" s="2977"/>
      <c r="E61" s="2977"/>
      <c r="F61" s="1021"/>
      <c r="G61" s="1021"/>
      <c r="H61" s="2248"/>
      <c r="I61" s="2195"/>
      <c r="J61" s="1881">
        <f>J59+1</f>
        <v>7</v>
      </c>
      <c r="K61" s="2876" t="s">
        <v>1876</v>
      </c>
      <c r="L61" s="2876"/>
      <c r="M61" s="788"/>
      <c r="N61" s="789" t="e">
        <f ca="1">IF(H19="元",ROUND(N59/项目基本情况!C12,0),ROUND(N59*10000/项目基本情况!C12,0))</f>
        <v>#VALUE!</v>
      </c>
      <c r="O61" s="2272"/>
      <c r="P61" s="1844"/>
    </row>
    <row r="62" spans="1:16" ht="12.75">
      <c r="A62" s="2914" t="s">
        <v>1877</v>
      </c>
      <c r="B62" s="2915"/>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34479</v>
      </c>
      <c r="D63" s="112"/>
      <c r="E63" s="113"/>
      <c r="F63" s="1021"/>
      <c r="G63" s="1021"/>
      <c r="H63" s="2248"/>
      <c r="I63" s="2195"/>
      <c r="J63" s="2895"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36203</v>
      </c>
      <c r="D64" s="117" t="s">
        <v>41</v>
      </c>
      <c r="E64" s="118"/>
      <c r="F64" s="1021"/>
      <c r="G64" s="1021"/>
      <c r="H64" s="2248"/>
      <c r="I64" s="2195"/>
      <c r="J64" s="2895"/>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895"/>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895"/>
      <c r="K66" s="2273" t="s">
        <v>1890</v>
      </c>
      <c r="L66" s="1843" t="e">
        <f>M49*0.5%</f>
        <v>#VALUE!</v>
      </c>
      <c r="M66" s="14" t="e">
        <f>IF(L66&gt;0.5,0.5,ROUND(L66,0))</f>
        <v>#VALUE!</v>
      </c>
      <c r="N66" s="1844" t="s">
        <v>1891</v>
      </c>
      <c r="O66" s="1844"/>
      <c r="P66" s="1844"/>
    </row>
    <row r="67" spans="1:35" ht="12.75">
      <c r="A67" s="120" t="s">
        <v>42</v>
      </c>
      <c r="B67" s="121" t="s">
        <v>1892</v>
      </c>
      <c r="C67" s="124">
        <f ca="1">C63-C66</f>
        <v>34479</v>
      </c>
      <c r="D67" s="117" t="s">
        <v>41</v>
      </c>
      <c r="E67" s="118"/>
      <c r="F67" s="1021"/>
      <c r="G67" s="1021"/>
      <c r="H67" s="2248"/>
      <c r="I67" s="2195"/>
      <c r="J67" s="2895"/>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1931</v>
      </c>
      <c r="D68" s="128">
        <f>'数据-取费表'!E29</f>
        <v>5.6000000000000001E-2</v>
      </c>
      <c r="E68" s="129"/>
      <c r="F68" s="1021"/>
      <c r="G68" s="1021"/>
      <c r="H68" s="2248"/>
      <c r="I68" s="2195"/>
      <c r="J68" s="2895"/>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95"/>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16" t="s">
        <v>1897</v>
      </c>
      <c r="B70" s="2917"/>
      <c r="C70" s="2917"/>
      <c r="D70" s="2917"/>
      <c r="E70" s="2917"/>
      <c r="F70" s="2917"/>
      <c r="G70" s="2917"/>
      <c r="H70" s="2917"/>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4" t="s">
        <v>1877</v>
      </c>
      <c r="B71" s="2915"/>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34479</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207</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52" t="s">
        <v>1907</v>
      </c>
      <c r="F76" s="2953"/>
      <c r="G76" s="2953"/>
      <c r="H76" s="2954"/>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207</v>
      </c>
      <c r="D78" s="145">
        <f>'数据-取费表'!E31</f>
        <v>6.000000000000001E-3</v>
      </c>
      <c r="E78" s="2883" t="s">
        <v>1912</v>
      </c>
      <c r="F78" s="2884"/>
      <c r="G78" s="2884"/>
      <c r="H78" s="2904"/>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34272</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165.56521739130434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20491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6" t="s">
        <v>1916</v>
      </c>
      <c r="B83" s="2917"/>
      <c r="C83" s="2917"/>
      <c r="D83" s="2917"/>
      <c r="E83" s="2917"/>
      <c r="F83" s="2917"/>
      <c r="G83" s="2917"/>
      <c r="H83" s="2917"/>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4" t="s">
        <v>1877</v>
      </c>
      <c r="B84" s="2915"/>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34479</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207</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83" t="s">
        <v>1924</v>
      </c>
      <c r="F91" s="2884"/>
      <c r="G91" s="2884"/>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83" t="s">
        <v>1927</v>
      </c>
      <c r="F92" s="2884"/>
      <c r="G92" s="2884"/>
      <c r="H92" s="2904"/>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207</v>
      </c>
      <c r="D93" s="145">
        <f>'数据-取费表'!E31</f>
        <v>6.000000000000001E-3</v>
      </c>
      <c r="E93" s="2883" t="s">
        <v>1912</v>
      </c>
      <c r="F93" s="2884"/>
      <c r="G93" s="2884"/>
      <c r="H93" s="2904"/>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83" t="s">
        <v>1929</v>
      </c>
      <c r="F94" s="2884"/>
      <c r="G94" s="2884"/>
      <c r="H94" s="2904"/>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34272</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165.56521739130434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20491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01" t="s">
        <v>1931</v>
      </c>
      <c r="B99" s="2902"/>
      <c r="C99" s="2902"/>
      <c r="D99" s="2903"/>
      <c r="E99" s="2195"/>
      <c r="F99" s="2911" t="s">
        <v>1932</v>
      </c>
      <c r="G99" s="2912"/>
      <c r="H99" s="2912"/>
      <c r="I99" s="2913"/>
    </row>
    <row r="100" spans="1:35" ht="15.75">
      <c r="A100" s="2918" t="s">
        <v>1933</v>
      </c>
      <c r="B100" s="2919"/>
      <c r="C100" s="720" t="str">
        <f>C4</f>
        <v>成本法</v>
      </c>
      <c r="D100" s="721" t="str">
        <f>D4</f>
        <v>收益法</v>
      </c>
      <c r="E100" s="2195"/>
      <c r="F100" s="2920" t="s">
        <v>1934</v>
      </c>
      <c r="G100" s="2922"/>
      <c r="H100" s="2920" t="s">
        <v>1935</v>
      </c>
      <c r="I100" s="2921"/>
    </row>
    <row r="101" spans="1:35" ht="15.75">
      <c r="A101" s="2940" t="s">
        <v>1936</v>
      </c>
      <c r="B101" s="2290" t="str">
        <f>IF(H19="元","总价（元）","总价（万元）")</f>
        <v>总价（元）</v>
      </c>
      <c r="C101" s="720">
        <f ca="1">C19</f>
        <v>47439</v>
      </c>
      <c r="D101" s="721">
        <f ca="1">D19</f>
        <v>31388</v>
      </c>
      <c r="E101" s="2195"/>
      <c r="F101" s="2920" t="str">
        <f>项目基本情况!I1</f>
        <v>北京市房地产</v>
      </c>
      <c r="G101" s="2922"/>
      <c r="H101" s="2981">
        <f>项目基本情况!C12</f>
        <v>1</v>
      </c>
      <c r="I101" s="2921"/>
    </row>
    <row r="102" spans="1:35" ht="15.75">
      <c r="A102" s="2940"/>
      <c r="B102" s="2290" t="s">
        <v>1937</v>
      </c>
      <c r="C102" s="722">
        <f ca="1">C20</f>
        <v>47439</v>
      </c>
      <c r="D102" s="723">
        <f ca="1">D20</f>
        <v>31388</v>
      </c>
      <c r="E102" s="2195"/>
      <c r="F102" s="2995" t="s">
        <v>1938</v>
      </c>
      <c r="G102" s="2996"/>
      <c r="H102" s="2291" t="str">
        <f>C106</f>
        <v>总价（元）</v>
      </c>
      <c r="I102" s="1861">
        <f ca="1">H121</f>
        <v>36203</v>
      </c>
    </row>
    <row r="103" spans="1:35" ht="15">
      <c r="A103" s="2940" t="s">
        <v>1939</v>
      </c>
      <c r="B103" s="2292" t="str">
        <f>B101</f>
        <v>总价（元）</v>
      </c>
      <c r="C103" s="724">
        <f ca="1">H121</f>
        <v>36203</v>
      </c>
      <c r="D103" s="725"/>
      <c r="E103" s="2195"/>
      <c r="F103" s="2995"/>
      <c r="G103" s="2996"/>
      <c r="H103" s="2291" t="s">
        <v>1937</v>
      </c>
      <c r="I103" s="1049">
        <f ca="1">I121</f>
        <v>36203</v>
      </c>
    </row>
    <row r="104" spans="1:35" ht="16.5" thickBot="1">
      <c r="A104" s="2941"/>
      <c r="B104" s="2293" t="s">
        <v>1937</v>
      </c>
      <c r="C104" s="726">
        <f ca="1">I121</f>
        <v>36203</v>
      </c>
      <c r="D104" s="727"/>
      <c r="E104" s="2195"/>
      <c r="F104" s="2907"/>
      <c r="G104" s="2908"/>
      <c r="H104" s="2942"/>
      <c r="I104" s="2943"/>
    </row>
    <row r="105" spans="1:35" ht="15.75">
      <c r="A105" s="2901" t="s">
        <v>1940</v>
      </c>
      <c r="B105" s="2902"/>
      <c r="C105" s="2902"/>
      <c r="D105" s="2903"/>
      <c r="E105" s="2195"/>
      <c r="F105" s="2946" t="s">
        <v>1941</v>
      </c>
      <c r="G105" s="2947"/>
      <c r="H105" s="2294" t="str">
        <f>C108</f>
        <v>总额（元）</v>
      </c>
      <c r="I105" s="1861">
        <f>SUMIF(I106:I108,"&lt;9E307")</f>
        <v>0</v>
      </c>
    </row>
    <row r="106" spans="1:35" ht="15">
      <c r="A106" s="2948" t="s">
        <v>1942</v>
      </c>
      <c r="B106" s="2949"/>
      <c r="C106" s="2291" t="str">
        <f>B101</f>
        <v>总价（元）</v>
      </c>
      <c r="D106" s="1050">
        <f ca="1">H121</f>
        <v>36203</v>
      </c>
      <c r="E106" s="2195"/>
      <c r="F106" s="2909" t="s">
        <v>1943</v>
      </c>
      <c r="G106" s="2910"/>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948"/>
      <c r="B107" s="2949"/>
      <c r="C107" s="2291" t="s">
        <v>1937</v>
      </c>
      <c r="D107" s="1051">
        <f ca="1">I121</f>
        <v>36203</v>
      </c>
      <c r="E107" s="2195"/>
      <c r="F107" s="2909" t="s">
        <v>1944</v>
      </c>
      <c r="G107" s="2910"/>
      <c r="H107" s="2294" t="str">
        <f>C110</f>
        <v>总额（元）</v>
      </c>
      <c r="I107" s="1049">
        <f>C37</f>
        <v>0</v>
      </c>
      <c r="K107" s="2295"/>
    </row>
    <row r="108" spans="1:35" ht="15">
      <c r="A108" s="2991" t="s">
        <v>1945</v>
      </c>
      <c r="B108" s="2992"/>
      <c r="C108" s="2294" t="str">
        <f>IF(H19="元","总额（元）","总额（万元）")</f>
        <v>总额（元）</v>
      </c>
      <c r="D108" s="1050">
        <f>IF(D36="正常操作",I106+I107+I108,I107+I108)</f>
        <v>0</v>
      </c>
      <c r="E108" s="2195"/>
      <c r="F108" s="2909" t="s">
        <v>1946</v>
      </c>
      <c r="G108" s="2910"/>
      <c r="H108" s="2294" t="str">
        <f>C111</f>
        <v>总额（元）</v>
      </c>
      <c r="I108" s="1049">
        <f>C38</f>
        <v>0</v>
      </c>
    </row>
    <row r="109" spans="1:35" ht="15.75">
      <c r="A109" s="2909" t="s">
        <v>1943</v>
      </c>
      <c r="B109" s="2910"/>
      <c r="C109" s="2294" t="str">
        <f>C108</f>
        <v>总额（元）</v>
      </c>
      <c r="D109" s="637">
        <f>IF(D36="同一抵押权人同一抵押物续贷",C36&amp;"（未扣减，详见特别提示）",C36)</f>
        <v>0</v>
      </c>
      <c r="E109" s="2195"/>
      <c r="F109" s="2907"/>
      <c r="G109" s="2908"/>
      <c r="H109" s="2944"/>
      <c r="I109" s="2945"/>
    </row>
    <row r="110" spans="1:35" ht="28.5" customHeight="1">
      <c r="A110" s="2909" t="s">
        <v>1944</v>
      </c>
      <c r="B110" s="2910"/>
      <c r="C110" s="2294" t="str">
        <f>C108</f>
        <v>总额（元）</v>
      </c>
      <c r="D110" s="637">
        <f>C37</f>
        <v>0</v>
      </c>
      <c r="E110" s="2195"/>
      <c r="F110" s="2889" t="str">
        <f>IF(项目基本情况!F5="已注销","——","3.房地产抵押价值")</f>
        <v>3.房地产抵押价值</v>
      </c>
      <c r="G110" s="2890"/>
      <c r="H110" s="2296" t="str">
        <f>C112</f>
        <v>总价（元）</v>
      </c>
      <c r="I110" s="1862">
        <f ca="1">IF(F110="——","——",I102-I105)</f>
        <v>36203</v>
      </c>
    </row>
    <row r="111" spans="1:35" ht="15">
      <c r="A111" s="2909" t="s">
        <v>1946</v>
      </c>
      <c r="B111" s="2910"/>
      <c r="C111" s="2294" t="str">
        <f>C108</f>
        <v>总额（元）</v>
      </c>
      <c r="D111" s="637">
        <f>C38</f>
        <v>0</v>
      </c>
      <c r="E111" s="2195"/>
      <c r="F111" s="2891"/>
      <c r="G111" s="2892"/>
      <c r="H111" s="2291" t="s">
        <v>1937</v>
      </c>
      <c r="I111" s="2297">
        <f ca="1">D113</f>
        <v>36203</v>
      </c>
    </row>
    <row r="112" spans="1:35" ht="26.25" customHeight="1">
      <c r="A112" s="2948" t="str">
        <f>IF(项目基本情况!F5="已注销","——","3.房地产抵押价值")</f>
        <v>3.房地产抵押价值</v>
      </c>
      <c r="B112" s="2949"/>
      <c r="C112" s="2291" t="str">
        <f>B101</f>
        <v>总价（元）</v>
      </c>
      <c r="D112" s="1050">
        <f ca="1">IF(A112="——","——",D106-D108)</f>
        <v>36203</v>
      </c>
      <c r="E112" s="2195"/>
      <c r="F112" s="2889" t="str">
        <f>IF(项目基本情况!F5="已注销及未注销","4.抵押担保权已注销时的房地产抵押价值",IF(项目基本情况!F5="已注销","3.抵押担保权已注销时的房地产抵押价值","——"))</f>
        <v>——</v>
      </c>
      <c r="G112" s="2890"/>
      <c r="H112" s="2296" t="str">
        <f>C114</f>
        <v>总价（元）</v>
      </c>
      <c r="I112" s="1862" t="str">
        <f>IF(F112="——","——",I102-I107-I108)</f>
        <v>——</v>
      </c>
    </row>
    <row r="113" spans="1:15" ht="15">
      <c r="A113" s="2948"/>
      <c r="B113" s="2949"/>
      <c r="C113" s="2291" t="s">
        <v>1937</v>
      </c>
      <c r="D113" s="1051">
        <f ca="1">ROUND(IF(D112=D106,D107,IF(H19="元",D112/项目基本情况!C12,D112*10000/项目基本情况!C12)),0)</f>
        <v>36203</v>
      </c>
      <c r="E113" s="2195"/>
      <c r="F113" s="2891"/>
      <c r="G113" s="2892"/>
      <c r="H113" s="2291" t="s">
        <v>1937</v>
      </c>
      <c r="I113" s="2298" t="str">
        <f>D115</f>
        <v>——</v>
      </c>
    </row>
    <row r="114" spans="1:15" ht="15.75">
      <c r="A114" s="2948" t="str">
        <f>IF(项目基本情况!F5="已注销及未注销","4.抵押担保权已注销时的房地产抵押价值",IF(项目基本情况!F5="已注销","3.抵押担保权已注销时的房地产抵押价值","——"))</f>
        <v>——</v>
      </c>
      <c r="B114" s="2949"/>
      <c r="C114" s="2291" t="str">
        <f>B101</f>
        <v>总价（元）</v>
      </c>
      <c r="D114" s="1050" t="str">
        <f>IF(A114="——","——",D106-D110-D111)</f>
        <v>——</v>
      </c>
      <c r="E114" s="2195"/>
      <c r="F114" s="2889" t="str">
        <f>IF(项目基本情况!G5="抵押净值",IF(OR(项目基本情况!F5="已注销",项目基本情况!F5="房地产抵押价值"),"4.抵押净值","5.抵押净值"),"——")</f>
        <v>——</v>
      </c>
      <c r="G114" s="2890"/>
      <c r="H114" s="2291" t="str">
        <f>C116</f>
        <v>总价（元）</v>
      </c>
      <c r="I114" s="1861" t="str">
        <f>IF(F114="——","——",N59)</f>
        <v>——</v>
      </c>
    </row>
    <row r="115" spans="1:15" ht="15.75" thickBot="1">
      <c r="A115" s="2948"/>
      <c r="B115" s="2949"/>
      <c r="C115" s="2291" t="s">
        <v>1937</v>
      </c>
      <c r="D115" s="1051" t="str">
        <f>IF(A114="——","——",ROUND(IF(D114=D106,D107,IF(H19="元",D114/项目基本情况!C12,D114*10000/项目基本情况!C12)),0))</f>
        <v>——</v>
      </c>
      <c r="E115" s="2195"/>
      <c r="F115" s="2982"/>
      <c r="G115" s="2983"/>
      <c r="H115" s="2299" t="s">
        <v>1937</v>
      </c>
      <c r="I115" s="1863" t="str">
        <f ca="1">D117</f>
        <v>——</v>
      </c>
    </row>
    <row r="116" spans="1:15" ht="15.75">
      <c r="A116" s="2948" t="str">
        <f>IF(项目基本情况!G5="抵押净值",IF(OR(项目基本情况!F5="已注销",项目基本情况!F5="房地产抵押价值"),"4.抵押净值","5.抵押净值"),"——")</f>
        <v>——</v>
      </c>
      <c r="B116" s="2949"/>
      <c r="C116" s="2291" t="str">
        <f>B101</f>
        <v>总价（元）</v>
      </c>
      <c r="D116" s="1050" t="str">
        <f>IF(A116="——","——",N59)</f>
        <v>——</v>
      </c>
      <c r="E116" s="2195"/>
      <c r="F116" s="2885"/>
      <c r="G116" s="2885"/>
      <c r="H116" s="2927"/>
      <c r="I116" s="2927"/>
      <c r="N116" s="55"/>
      <c r="O116" s="55"/>
    </row>
    <row r="117" spans="1:15" ht="15.75" thickBot="1">
      <c r="A117" s="2989"/>
      <c r="B117" s="2990"/>
      <c r="C117" s="2299" t="s">
        <v>1937</v>
      </c>
      <c r="D117" s="1052" t="str">
        <f ca="1">IF(D116=D112,D113,IF(A116="——","——",N61))</f>
        <v>——</v>
      </c>
      <c r="E117" s="2195"/>
      <c r="F117" s="2979" t="str">
        <f>IF(B32="总价","（以上估价结果中单价为总价除以建筑面积得出）","（以上估价结果中总价为楼面单价乘以建筑面积得出）")</f>
        <v>（以上估价结果中总价为楼面单价乘以建筑面积得出）</v>
      </c>
      <c r="G117" s="2979"/>
      <c r="H117" s="2979"/>
      <c r="I117" s="2979"/>
      <c r="N117" s="55"/>
      <c r="O117" s="55"/>
    </row>
    <row r="118" spans="1:15" ht="15">
      <c r="A118" s="2928" t="s">
        <v>1947</v>
      </c>
      <c r="B118" s="2929"/>
      <c r="C118" s="2929"/>
      <c r="D118" s="2929"/>
      <c r="E118" s="2929"/>
      <c r="F118" s="2929"/>
      <c r="G118" s="2929"/>
      <c r="H118" s="2929"/>
      <c r="I118" s="2929"/>
    </row>
    <row r="119" spans="1:15" ht="14.25">
      <c r="A119" s="2900" t="s">
        <v>1948</v>
      </c>
      <c r="B119" s="2898" t="s">
        <v>1949</v>
      </c>
      <c r="C119" s="2898" t="s">
        <v>1950</v>
      </c>
      <c r="D119" s="2905" t="s">
        <v>1951</v>
      </c>
      <c r="E119" s="2906"/>
      <c r="F119" s="2896" t="s">
        <v>1809</v>
      </c>
      <c r="G119" s="2896"/>
      <c r="H119" s="2896" t="s">
        <v>1952</v>
      </c>
      <c r="I119" s="2897"/>
    </row>
    <row r="120" spans="1:15" ht="14.25">
      <c r="A120" s="2900"/>
      <c r="B120" s="2899"/>
      <c r="C120" s="2899"/>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32438</v>
      </c>
      <c r="E121" s="1885">
        <f ca="1">ROUND(IF(B32="楼面单价",C34,IF(H19="元",D121/B121,D121*10000/B121)),0)</f>
        <v>32438</v>
      </c>
      <c r="F121" s="1885">
        <f ca="1">ROUND(IF(B32="总价",C35,IF('数据-取费表'!B3="万元",G121*B121/10000,G121*B121)),0)</f>
        <v>3765</v>
      </c>
      <c r="G121" s="1885">
        <f ca="1">ROUND(IF(B32="楼面单价",C35,IF(H19="元",F121/B121,F121*10000/B121)),0)</f>
        <v>3765</v>
      </c>
      <c r="H121" s="1885">
        <f ca="1">ROUND(IF(B32="总价",C32,IF('数据-取费表'!B3="万元",I121*B121/10000,I121*B121)),0)</f>
        <v>36203</v>
      </c>
      <c r="I121" s="637">
        <f ca="1">ROUND(IF(B32="楼面单价",C32,IF(H19="元",H121/B121,H121*10000/B121)),0)</f>
        <v>36203</v>
      </c>
    </row>
    <row r="122" spans="1:15" ht="14.25">
      <c r="A122" s="2900" t="s">
        <v>1956</v>
      </c>
      <c r="B122" s="2896"/>
      <c r="C122" s="2896"/>
      <c r="D122" s="2932" t="str">
        <f ca="1">IF(H19="元",NUMBERSTRING(INT(D121),2)&amp;"元整",NUMBERSTRING(INT(D121*10000),2)&amp;"元整")</f>
        <v>叁万贰仟肆佰叁拾捌元整</v>
      </c>
      <c r="E122" s="2933"/>
      <c r="F122" s="2932" t="str">
        <f ca="1">IF(H19="元",NUMBERSTRING(INT(F121),2)&amp;"元整",NUMBERSTRING(INT(F121*10000),2)&amp;"元整")</f>
        <v>叁仟柒佰陆拾伍元整</v>
      </c>
      <c r="G122" s="2933"/>
      <c r="H122" s="2932" t="str">
        <f ca="1">IF(H19="元",NUMBERSTRING(INT(H121),2)&amp;"元整",NUMBERSTRING(INT(H121*10000),2)&amp;"元整")</f>
        <v>叁万陆仟贰佰零叁元整</v>
      </c>
      <c r="I122" s="2997"/>
    </row>
    <row r="123" spans="1:15" ht="15">
      <c r="A123" s="2934" t="str">
        <f>IF(项目基本情况!D5="房地产市场价值","——",MID(A108,3,LEN(A108)-2))</f>
        <v>——</v>
      </c>
      <c r="B123" s="2935"/>
      <c r="C123" s="2936"/>
      <c r="D123" s="2925">
        <f>I105</f>
        <v>0</v>
      </c>
      <c r="E123" s="2935"/>
      <c r="F123" s="2935"/>
      <c r="G123" s="2935"/>
      <c r="H123" s="2935"/>
      <c r="I123" s="2984"/>
    </row>
    <row r="124" spans="1:15" ht="14.25">
      <c r="A124" s="2937" t="s">
        <v>1956</v>
      </c>
      <c r="B124" s="2938"/>
      <c r="C124" s="2939"/>
      <c r="D124" s="2985">
        <f>H109</f>
        <v>0</v>
      </c>
      <c r="E124" s="2986"/>
      <c r="F124" s="2986"/>
      <c r="G124" s="2986"/>
      <c r="H124" s="2986"/>
      <c r="I124" s="2987"/>
    </row>
    <row r="125" spans="1:15" ht="15">
      <c r="A125" s="2923" t="str">
        <f>IF(项目基本情况!D5="房地产市场价值","——",MID(A112,3,LEN(A112)-2))</f>
        <v>——</v>
      </c>
      <c r="B125" s="2924"/>
      <c r="C125" s="2924"/>
      <c r="D125" s="2925">
        <f ca="1">I110</f>
        <v>36203</v>
      </c>
      <c r="E125" s="2935"/>
      <c r="F125" s="2935"/>
      <c r="G125" s="2935"/>
      <c r="H125" s="2935"/>
      <c r="I125" s="2984"/>
    </row>
    <row r="126" spans="1:15" ht="14.25">
      <c r="A126" s="2900" t="s">
        <v>1956</v>
      </c>
      <c r="B126" s="2896"/>
      <c r="C126" s="2896"/>
      <c r="D126" s="2985">
        <f ca="1">I111</f>
        <v>36203</v>
      </c>
      <c r="E126" s="2986"/>
      <c r="F126" s="2986"/>
      <c r="G126" s="2986"/>
      <c r="H126" s="2986"/>
      <c r="I126" s="2987"/>
    </row>
    <row r="127" spans="1:15" ht="15.75" thickBot="1">
      <c r="A127" s="2923" t="str">
        <f>IF(项目基本情况!D5="房地产市场价值","——",MID(A114,3,LEN(A114)-2))</f>
        <v>——</v>
      </c>
      <c r="B127" s="2924"/>
      <c r="C127" s="2924"/>
      <c r="D127" s="2880" t="str">
        <f>I112</f>
        <v>——</v>
      </c>
      <c r="E127" s="2881"/>
      <c r="F127" s="2881"/>
      <c r="G127" s="2881"/>
      <c r="H127" s="2881"/>
      <c r="I127" s="2882"/>
    </row>
    <row r="128" spans="1:15" ht="15.75" thickTop="1" thickBot="1">
      <c r="A128" s="2900" t="s">
        <v>1956</v>
      </c>
      <c r="B128" s="2896"/>
      <c r="C128" s="2980"/>
      <c r="D128" s="2926" t="str">
        <f>I113</f>
        <v>——</v>
      </c>
      <c r="E128" s="2926"/>
      <c r="F128" s="2926"/>
      <c r="G128" s="2926"/>
      <c r="H128" s="2926"/>
      <c r="I128" s="2926"/>
    </row>
    <row r="129" spans="1:9" ht="16.5" thickTop="1" thickBot="1">
      <c r="A129" s="2923" t="str">
        <f>IF(项目基本情况!D5="房地产市场价值","——",MID(F114,3,LEN(F114)-2))</f>
        <v>——</v>
      </c>
      <c r="B129" s="2924"/>
      <c r="C129" s="2925"/>
      <c r="D129" s="2988" t="str">
        <f>I114</f>
        <v>——</v>
      </c>
      <c r="E129" s="2988"/>
      <c r="F129" s="2988"/>
      <c r="G129" s="2988"/>
      <c r="H129" s="2988"/>
      <c r="I129" s="2988"/>
    </row>
    <row r="130" spans="1:9" ht="15.75" thickTop="1" thickBot="1">
      <c r="A130" s="2993" t="s">
        <v>1956</v>
      </c>
      <c r="B130" s="2994"/>
      <c r="C130" s="2994"/>
      <c r="D130" s="2998">
        <f>H116</f>
        <v>0</v>
      </c>
      <c r="E130" s="2999"/>
      <c r="F130" s="2999"/>
      <c r="G130" s="2999"/>
      <c r="H130" s="2999"/>
      <c r="I130" s="300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8" t="str">
        <f>IF(B32="总价","（以上估价结果中楼面单价为总价除以建筑面积得出）","（以上估价结果中总价为楼面单价乘以建筑面积得出）")</f>
        <v>（以上估价结果中总价为楼面单价乘以建筑面积得出）</v>
      </c>
      <c r="B132" s="2978"/>
      <c r="C132" s="2978"/>
      <c r="D132" s="2978"/>
      <c r="E132" s="2978"/>
      <c r="F132" s="2978"/>
      <c r="G132" s="2978"/>
      <c r="H132" s="2978"/>
      <c r="I132" s="2978"/>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2" t="s">
        <v>1965</v>
      </c>
      <c r="B2" s="3002"/>
      <c r="C2" s="3002"/>
      <c r="D2" s="3002"/>
      <c r="E2" s="3002"/>
      <c r="F2" s="3002"/>
      <c r="G2" s="3002"/>
      <c r="H2" s="3002"/>
      <c r="I2" s="3002"/>
    </row>
    <row r="3" spans="1:12" ht="12.75">
      <c r="A3" s="2956" t="s">
        <v>1769</v>
      </c>
      <c r="B3" s="2957"/>
      <c r="C3" s="2957"/>
      <c r="D3" s="2957"/>
      <c r="E3" s="2957"/>
      <c r="F3" s="2957"/>
      <c r="G3" s="2957"/>
      <c r="H3" s="2957"/>
      <c r="I3" s="2957"/>
    </row>
    <row r="4" spans="1:12" ht="14.25">
      <c r="A4" s="2197" t="s">
        <v>1770</v>
      </c>
      <c r="B4" s="2198" t="s">
        <v>1771</v>
      </c>
      <c r="C4" s="2199"/>
      <c r="D4" s="2199"/>
      <c r="E4" s="2961" t="s">
        <v>1966</v>
      </c>
      <c r="F4" s="2962"/>
      <c r="G4" s="2962"/>
      <c r="H4" s="2962"/>
      <c r="I4" s="296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1" t="s">
        <v>1773</v>
      </c>
      <c r="B5" s="2896">
        <v>25</v>
      </c>
      <c r="C5" s="2958"/>
      <c r="D5" s="2955"/>
      <c r="E5" s="56" t="s">
        <v>1774</v>
      </c>
      <c r="F5" s="2200"/>
      <c r="G5" s="2200"/>
      <c r="H5" s="2200"/>
      <c r="I5" s="2201"/>
    </row>
    <row r="6" spans="1:12" ht="12.75">
      <c r="A6" s="2951"/>
      <c r="B6" s="2896"/>
      <c r="C6" s="2959"/>
      <c r="D6" s="2955"/>
      <c r="E6" s="56" t="s">
        <v>1775</v>
      </c>
      <c r="F6" s="2200"/>
      <c r="G6" s="2200"/>
      <c r="H6" s="2200"/>
      <c r="I6" s="2201"/>
    </row>
    <row r="7" spans="1:12" ht="12.75">
      <c r="A7" s="2951"/>
      <c r="B7" s="2896"/>
      <c r="C7" s="2960"/>
      <c r="D7" s="2955"/>
      <c r="E7" s="56" t="s">
        <v>1776</v>
      </c>
      <c r="F7" s="2200"/>
      <c r="G7" s="2200"/>
      <c r="H7" s="2200"/>
      <c r="I7" s="2201"/>
    </row>
    <row r="8" spans="1:12" ht="12.75">
      <c r="A8" s="2951" t="s">
        <v>1777</v>
      </c>
      <c r="B8" s="2896">
        <v>15</v>
      </c>
      <c r="C8" s="2958"/>
      <c r="D8" s="2955"/>
      <c r="E8" s="56" t="s">
        <v>1778</v>
      </c>
      <c r="F8" s="2200"/>
      <c r="G8" s="2200"/>
      <c r="H8" s="2200"/>
      <c r="I8" s="2201"/>
    </row>
    <row r="9" spans="1:12" ht="12.75">
      <c r="A9" s="2951"/>
      <c r="B9" s="2896"/>
      <c r="C9" s="2960"/>
      <c r="D9" s="2955"/>
      <c r="E9" s="56" t="s">
        <v>1779</v>
      </c>
      <c r="F9" s="2200"/>
      <c r="G9" s="2200"/>
      <c r="H9" s="2200"/>
      <c r="I9" s="2201"/>
    </row>
    <row r="10" spans="1:12" ht="12.75">
      <c r="A10" s="2951" t="s">
        <v>1780</v>
      </c>
      <c r="B10" s="2896">
        <v>15</v>
      </c>
      <c r="C10" s="2958"/>
      <c r="D10" s="2955"/>
      <c r="E10" s="56" t="s">
        <v>1781</v>
      </c>
      <c r="F10" s="2200"/>
      <c r="G10" s="2200"/>
      <c r="H10" s="2200"/>
      <c r="I10" s="2201"/>
    </row>
    <row r="11" spans="1:12" ht="12.75">
      <c r="A11" s="2951"/>
      <c r="B11" s="2896"/>
      <c r="C11" s="2960"/>
      <c r="D11" s="2955"/>
      <c r="E11" s="56" t="s">
        <v>1782</v>
      </c>
      <c r="F11" s="2200"/>
      <c r="G11" s="2200"/>
      <c r="H11" s="2200"/>
      <c r="I11" s="2201"/>
    </row>
    <row r="12" spans="1:12" ht="12.75">
      <c r="A12" s="2951" t="s">
        <v>1783</v>
      </c>
      <c r="B12" s="2896">
        <v>15</v>
      </c>
      <c r="C12" s="2958"/>
      <c r="D12" s="2955"/>
      <c r="E12" s="56" t="s">
        <v>1784</v>
      </c>
      <c r="F12" s="2200"/>
      <c r="G12" s="2200"/>
      <c r="H12" s="2200"/>
      <c r="I12" s="2201"/>
    </row>
    <row r="13" spans="1:12" ht="12.75">
      <c r="A13" s="2951"/>
      <c r="B13" s="2896"/>
      <c r="C13" s="2960"/>
      <c r="D13" s="2955"/>
      <c r="E13" s="56" t="s">
        <v>1785</v>
      </c>
      <c r="F13" s="2200"/>
      <c r="G13" s="2200"/>
      <c r="H13" s="2200"/>
      <c r="I13" s="2201"/>
    </row>
    <row r="14" spans="1:12" ht="12.75">
      <c r="A14" s="2951" t="s">
        <v>1786</v>
      </c>
      <c r="B14" s="2896">
        <v>30</v>
      </c>
      <c r="C14" s="2958"/>
      <c r="D14" s="2955"/>
      <c r="E14" s="56" t="s">
        <v>1787</v>
      </c>
      <c r="F14" s="2200"/>
      <c r="G14" s="2200"/>
      <c r="H14" s="2200"/>
      <c r="I14" s="2201"/>
    </row>
    <row r="15" spans="1:12" ht="12.75">
      <c r="A15" s="2951"/>
      <c r="B15" s="2896"/>
      <c r="C15" s="2959"/>
      <c r="D15" s="2955"/>
      <c r="E15" s="56" t="s">
        <v>1788</v>
      </c>
      <c r="F15" s="2200"/>
      <c r="G15" s="2200"/>
      <c r="H15" s="2200"/>
      <c r="I15" s="2201"/>
    </row>
    <row r="16" spans="1:12" ht="12.75">
      <c r="A16" s="2951"/>
      <c r="B16" s="2896"/>
      <c r="C16" s="2960"/>
      <c r="D16" s="2955"/>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4" t="s">
        <v>1798</v>
      </c>
      <c r="B24" s="2207" t="s">
        <v>1793</v>
      </c>
      <c r="C24" s="61">
        <f>D30</f>
        <v>0</v>
      </c>
      <c r="D24" s="993"/>
      <c r="E24" s="2195"/>
      <c r="F24" s="2195"/>
      <c r="G24" s="2195"/>
      <c r="H24" s="2195"/>
      <c r="I24" s="2195"/>
    </row>
    <row r="25" spans="1:35" ht="21.75" customHeight="1">
      <c r="A25" s="2965"/>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12" t="s">
        <v>1969</v>
      </c>
      <c r="B31" s="3012"/>
      <c r="C31" s="3012"/>
      <c r="D31" s="3012"/>
      <c r="E31" s="3012"/>
      <c r="F31" s="3012"/>
      <c r="G31" s="3012"/>
      <c r="H31" s="3012"/>
      <c r="I31" s="301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69" t="s">
        <v>1978</v>
      </c>
      <c r="B37" s="2237" t="s">
        <v>1979</v>
      </c>
      <c r="C37" s="69"/>
      <c r="D37" s="2238"/>
      <c r="E37" s="2239"/>
      <c r="F37" s="2239"/>
      <c r="G37" s="2195"/>
      <c r="H37" s="2195"/>
      <c r="I37" s="2195"/>
    </row>
    <row r="38" spans="1:16" ht="15.75" thickBot="1">
      <c r="A38" s="2970"/>
      <c r="B38" s="2240" t="s">
        <v>1980</v>
      </c>
      <c r="C38" s="71"/>
      <c r="D38" s="2205"/>
      <c r="E38" s="2205"/>
      <c r="F38" s="2239"/>
      <c r="G38" s="2205"/>
      <c r="H38" s="2205"/>
      <c r="I38" s="2205"/>
    </row>
    <row r="39" spans="1:16" ht="15.75" thickBot="1">
      <c r="A39" s="2971"/>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74" t="s">
        <v>1991</v>
      </c>
      <c r="B46" s="2975"/>
      <c r="C46" s="2976"/>
      <c r="D46" s="80">
        <f>ROUND(I103*F46,0)</f>
        <v>0</v>
      </c>
      <c r="E46" s="81" t="s">
        <v>1992</v>
      </c>
      <c r="F46" s="82">
        <v>1</v>
      </c>
      <c r="G46" s="83" t="s">
        <v>1993</v>
      </c>
      <c r="H46" s="2195"/>
      <c r="I46" s="2195"/>
      <c r="J46" s="2886" t="s">
        <v>1825</v>
      </c>
      <c r="K46" s="2886"/>
      <c r="L46" s="2886"/>
      <c r="M46" s="2886"/>
      <c r="N46" s="2886"/>
      <c r="O46" s="2886"/>
      <c r="P46" s="1844"/>
    </row>
    <row r="47" spans="1:16" ht="14.25" customHeight="1">
      <c r="A47" s="2966" t="s">
        <v>1826</v>
      </c>
      <c r="B47" s="2967"/>
      <c r="C47" s="2967"/>
      <c r="D47" s="2967"/>
      <c r="E47" s="2967"/>
      <c r="F47" s="2967"/>
      <c r="G47" s="2968"/>
      <c r="H47" s="2257"/>
      <c r="I47" s="1143"/>
      <c r="J47" s="1881">
        <v>1</v>
      </c>
      <c r="K47" s="2886" t="s">
        <v>1827</v>
      </c>
      <c r="L47" s="2886"/>
      <c r="M47" s="3001"/>
      <c r="N47" s="3001"/>
      <c r="O47" s="3001"/>
      <c r="P47" s="1844"/>
    </row>
    <row r="48" spans="1:16" ht="12" customHeight="1">
      <c r="A48" s="85" t="s">
        <v>1828</v>
      </c>
      <c r="B48" s="86"/>
      <c r="C48" s="87"/>
      <c r="D48" s="88" t="s">
        <v>1829</v>
      </c>
      <c r="E48" s="14" t="s">
        <v>1830</v>
      </c>
      <c r="F48" s="89" t="s">
        <v>1831</v>
      </c>
      <c r="G48" s="90" t="s">
        <v>1832</v>
      </c>
      <c r="H48" s="2257"/>
      <c r="I48" s="1143"/>
      <c r="J48" s="1881">
        <v>2</v>
      </c>
      <c r="K48" s="2886" t="s">
        <v>1833</v>
      </c>
      <c r="L48" s="2886"/>
      <c r="M48" s="2888">
        <f>'数据-取费表'!B2</f>
        <v>43516</v>
      </c>
      <c r="N48" s="2888"/>
      <c r="O48" s="2888"/>
      <c r="P48" s="1844"/>
    </row>
    <row r="49" spans="1:16" ht="25.5">
      <c r="A49" s="2972" t="s">
        <v>1834</v>
      </c>
      <c r="B49" s="2973"/>
      <c r="C49" s="2973"/>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886" t="s">
        <v>1837</v>
      </c>
      <c r="L49" s="2886"/>
      <c r="M49" s="2887">
        <f>I103</f>
        <v>0</v>
      </c>
      <c r="N49" s="2887"/>
      <c r="O49" s="2887"/>
      <c r="P49" s="1844"/>
    </row>
    <row r="50" spans="1:16" ht="25.5" customHeight="1">
      <c r="A50" s="92" t="s">
        <v>1838</v>
      </c>
      <c r="B50" s="2953" t="s">
        <v>1839</v>
      </c>
      <c r="C50" s="2953"/>
      <c r="D50" s="93">
        <v>0</v>
      </c>
      <c r="E50" s="13" t="s">
        <v>1840</v>
      </c>
      <c r="F50" s="18" t="s">
        <v>48</v>
      </c>
      <c r="G50" s="2877"/>
      <c r="H50" s="2195"/>
      <c r="I50" s="2260"/>
      <c r="J50" s="1881">
        <v>4</v>
      </c>
      <c r="K50" s="2886" t="str">
        <f>IF(项目基本情况!F5="房地产抵押价值","房地产抵押价值","抵押担保权已注销时的房地产抵押价值")</f>
        <v>抵押担保权已注销时的房地产抵押价值</v>
      </c>
      <c r="L50" s="2886"/>
      <c r="M50" s="2887" t="str">
        <f>IF(项目基本情况!F5="房地产抵押价值",I111,I113)</f>
        <v>——</v>
      </c>
      <c r="N50" s="2887"/>
      <c r="O50" s="2887"/>
      <c r="P50" s="1844"/>
    </row>
    <row r="51" spans="1:16" ht="25.5" customHeight="1">
      <c r="A51" s="94"/>
      <c r="B51" s="2953" t="s">
        <v>1841</v>
      </c>
      <c r="C51" s="2953"/>
      <c r="D51" s="95"/>
      <c r="E51" s="21"/>
      <c r="F51" s="96"/>
      <c r="G51" s="2878"/>
      <c r="H51" s="2195"/>
      <c r="I51" s="2260"/>
      <c r="J51" s="2886" t="s">
        <v>1842</v>
      </c>
      <c r="K51" s="2886"/>
      <c r="L51" s="2886"/>
      <c r="M51" s="2886"/>
      <c r="N51" s="2886"/>
      <c r="O51" s="2886"/>
      <c r="P51" s="1844"/>
    </row>
    <row r="52" spans="1:16" ht="12" customHeight="1">
      <c r="A52" s="97"/>
      <c r="B52" s="2953" t="s">
        <v>1843</v>
      </c>
      <c r="C52" s="2953"/>
      <c r="D52" s="98"/>
      <c r="E52" s="20"/>
      <c r="F52" s="96"/>
      <c r="G52" s="2879"/>
      <c r="H52" s="2195"/>
      <c r="I52" s="2260"/>
      <c r="J52" s="2261" t="s">
        <v>1844</v>
      </c>
      <c r="K52" s="2886" t="s">
        <v>1845</v>
      </c>
      <c r="L52" s="2886"/>
      <c r="M52" s="2261" t="s">
        <v>1846</v>
      </c>
      <c r="N52" s="2261" t="s">
        <v>1847</v>
      </c>
      <c r="O52" s="2261" t="s">
        <v>1848</v>
      </c>
      <c r="P52" s="1844"/>
    </row>
    <row r="53" spans="1:16" ht="24" customHeight="1">
      <c r="A53" s="99" t="s">
        <v>1849</v>
      </c>
      <c r="B53" s="2953" t="s">
        <v>1850</v>
      </c>
      <c r="C53" s="2953"/>
      <c r="D53" s="98">
        <f>ROUND(D46*'数据-取费表'!E29/(1+'数据-取费表'!F30),0)</f>
        <v>0</v>
      </c>
      <c r="E53" s="10" t="s">
        <v>1851</v>
      </c>
      <c r="F53" s="100">
        <f>'数据-取费表'!E29</f>
        <v>5.6000000000000001E-2</v>
      </c>
      <c r="G53" s="2262"/>
      <c r="H53" s="2195"/>
      <c r="I53" s="2260"/>
      <c r="J53" s="1881">
        <v>1</v>
      </c>
      <c r="K53" s="2876" t="s">
        <v>1852</v>
      </c>
      <c r="L53" s="2876"/>
      <c r="M53" s="778">
        <f>D49</f>
        <v>0</v>
      </c>
      <c r="N53" s="1881" t="str">
        <f>E49</f>
        <v>销售额×税（费）率</v>
      </c>
      <c r="O53" s="779">
        <f>F49</f>
        <v>5.6000000000000001E-2</v>
      </c>
      <c r="P53" s="1844"/>
    </row>
    <row r="54" spans="1:16" ht="12" customHeight="1">
      <c r="A54" s="99" t="s">
        <v>1853</v>
      </c>
      <c r="B54" s="2952" t="s">
        <v>1854</v>
      </c>
      <c r="C54" s="2841"/>
      <c r="D54" s="98">
        <f>ROUND(D46*'数据-取费表'!E29/(1+'数据-取费表'!F30),0)</f>
        <v>0</v>
      </c>
      <c r="E54" s="10" t="s">
        <v>1851</v>
      </c>
      <c r="F54" s="100">
        <f>'数据-取费表'!E29</f>
        <v>5.6000000000000001E-2</v>
      </c>
      <c r="G54" s="2262"/>
      <c r="H54" s="2195"/>
      <c r="I54" s="2260"/>
      <c r="J54" s="1881">
        <v>2</v>
      </c>
      <c r="K54" s="2876" t="s">
        <v>1855</v>
      </c>
      <c r="L54" s="2876"/>
      <c r="M54" s="778">
        <f t="shared" ref="M54:O55" si="1">D56</f>
        <v>0</v>
      </c>
      <c r="N54" s="1881" t="str">
        <f t="shared" si="1"/>
        <v>销售额×税（费）率</v>
      </c>
      <c r="O54" s="779">
        <f t="shared" si="1"/>
        <v>5.0000000000000001E-4</v>
      </c>
      <c r="P54" s="1844"/>
    </row>
    <row r="55" spans="1:16" ht="12" customHeight="1">
      <c r="A55" s="99" t="s">
        <v>1856</v>
      </c>
      <c r="B55" s="2952" t="s">
        <v>1857</v>
      </c>
      <c r="C55" s="2841"/>
      <c r="D55" s="98">
        <f>C69</f>
        <v>0</v>
      </c>
      <c r="E55" s="20" t="s">
        <v>1858</v>
      </c>
      <c r="F55" s="100">
        <f>'数据-取费表'!E29</f>
        <v>5.6000000000000001E-2</v>
      </c>
      <c r="G55" s="2262"/>
      <c r="H55" s="2263"/>
      <c r="I55" s="2260"/>
      <c r="J55" s="1881">
        <v>3</v>
      </c>
      <c r="K55" s="2876" t="s">
        <v>1859</v>
      </c>
      <c r="L55" s="2876"/>
      <c r="M55" s="778">
        <f t="shared" si="1"/>
        <v>0</v>
      </c>
      <c r="N55" s="1881" t="str">
        <f t="shared" si="1"/>
        <v>增值额×税（费）率</v>
      </c>
      <c r="O55" s="780" t="str">
        <f t="shared" si="1"/>
        <v>——</v>
      </c>
      <c r="P55" s="1844"/>
    </row>
    <row r="56" spans="1:16" ht="24" customHeight="1">
      <c r="A56" s="2833" t="s">
        <v>1860</v>
      </c>
      <c r="B56" s="2973"/>
      <c r="C56" s="2973"/>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876" t="str">
        <f>IF(H60="非个人房产","——","个人所得税")</f>
        <v>——</v>
      </c>
      <c r="L56" s="2876"/>
      <c r="M56" s="781" t="str">
        <f>D60</f>
        <v>——</v>
      </c>
      <c r="N56" s="1884" t="str">
        <f>E60</f>
        <v>——</v>
      </c>
      <c r="O56" s="782" t="str">
        <f>F60</f>
        <v>——</v>
      </c>
      <c r="P56" s="1844"/>
    </row>
    <row r="57" spans="1:16" ht="24.75">
      <c r="A57" s="2833" t="s">
        <v>1863</v>
      </c>
      <c r="B57" s="2973"/>
      <c r="C57" s="2973"/>
      <c r="D57" s="101">
        <f>IF(H57="个人住宅",D58,D59)</f>
        <v>0</v>
      </c>
      <c r="E57" s="10" t="s">
        <v>1864</v>
      </c>
      <c r="F57" s="100" t="str">
        <f>IF(H57="正常",F59,"免征")</f>
        <v>——</v>
      </c>
      <c r="G57" s="2264" t="s">
        <v>1865</v>
      </c>
      <c r="H57" s="2265" t="s">
        <v>1862</v>
      </c>
      <c r="I57" s="1021"/>
      <c r="J57" s="1881" t="str">
        <f>IF(项目基本情况!I6="上海银行",IF(J56="",4,J56+1),"")</f>
        <v/>
      </c>
      <c r="K57" s="2893" t="str">
        <f>IF(项目基本情况!I6="上海银行","其他处置费用","")</f>
        <v/>
      </c>
      <c r="L57" s="2894"/>
      <c r="M57" s="778" t="str">
        <f>IF(项目基本情况!I6="上海银行",M70,"")</f>
        <v/>
      </c>
      <c r="N57" s="2874" t="str">
        <f>IF(项目基本情况!I6="上海银行","包含处置中涉及的律师、诉讼、拍卖、评估等费用","")</f>
        <v/>
      </c>
      <c r="O57" s="2875"/>
      <c r="P57" s="1844"/>
    </row>
    <row r="58" spans="1:16" ht="12.75">
      <c r="A58" s="99" t="s">
        <v>1838</v>
      </c>
      <c r="B58" s="2961" t="s">
        <v>1866</v>
      </c>
      <c r="C58" s="2963"/>
      <c r="D58" s="103">
        <v>0</v>
      </c>
      <c r="E58" s="13" t="s">
        <v>1840</v>
      </c>
      <c r="F58" s="70"/>
      <c r="G58" s="2262"/>
      <c r="H58" s="1021"/>
      <c r="I58" s="1021"/>
      <c r="J58" s="2876">
        <f>IF(AND(J56="",J57=""),4,IF(项目基本情况!I6="上海银行",J57+1,J56+1))</f>
        <v>4</v>
      </c>
      <c r="K58" s="2876" t="s">
        <v>1867</v>
      </c>
      <c r="L58" s="2266" t="s">
        <v>1868</v>
      </c>
      <c r="M58" s="783"/>
      <c r="N58" s="784">
        <f>SUMIF(M53:M57,"&lt;9e307")</f>
        <v>0</v>
      </c>
      <c r="O58" s="2267"/>
      <c r="P58" s="1840" t="e">
        <f>N58/M50</f>
        <v>#VALUE!</v>
      </c>
    </row>
    <row r="59" spans="1:16" ht="24.75">
      <c r="A59" s="99" t="s">
        <v>1849</v>
      </c>
      <c r="B59" s="2961" t="s">
        <v>1869</v>
      </c>
      <c r="C59" s="2962"/>
      <c r="D59" s="101">
        <f>IF(H59="转让取得",C82,C98)</f>
        <v>0</v>
      </c>
      <c r="E59" s="10" t="s">
        <v>1864</v>
      </c>
      <c r="F59" s="14" t="s">
        <v>48</v>
      </c>
      <c r="G59" s="2262"/>
      <c r="H59" s="2265" t="s">
        <v>1870</v>
      </c>
      <c r="I59" s="1021"/>
      <c r="J59" s="2876"/>
      <c r="K59" s="2876"/>
      <c r="L59" s="2266" t="s">
        <v>1871</v>
      </c>
      <c r="M59" s="785"/>
      <c r="N59" s="2268" t="str">
        <f>IF(H19="元",NUMBERSTRING(INT(N58),2)&amp;"元整",NUMBERSTRING(INT(N58*10000),2)&amp;"元整")</f>
        <v>零元整</v>
      </c>
      <c r="O59" s="2269"/>
      <c r="P59" s="1844"/>
    </row>
    <row r="60" spans="1:16" ht="24.75" thickBot="1">
      <c r="A60" s="2834" t="s">
        <v>1872</v>
      </c>
      <c r="B60" s="2837"/>
      <c r="C60" s="2837"/>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30">
        <f>J58+1</f>
        <v>5</v>
      </c>
      <c r="K60" s="2876" t="s">
        <v>1874</v>
      </c>
      <c r="L60" s="1881" t="s">
        <v>1868</v>
      </c>
      <c r="M60" s="786"/>
      <c r="N60" s="787" t="e">
        <f>M50-N58</f>
        <v>#VALUE!</v>
      </c>
      <c r="O60" s="2271"/>
      <c r="P60" s="1844"/>
    </row>
    <row r="61" spans="1:16" ht="12" customHeight="1">
      <c r="A61" s="2066"/>
      <c r="B61" s="2195"/>
      <c r="C61" s="2195"/>
      <c r="D61" s="2195"/>
      <c r="E61" s="1021"/>
      <c r="F61" s="1021"/>
      <c r="G61" s="1021"/>
      <c r="H61" s="2248"/>
      <c r="I61" s="2195"/>
      <c r="J61" s="2931"/>
      <c r="K61" s="2876"/>
      <c r="L61" s="2266" t="s">
        <v>1871</v>
      </c>
      <c r="M61" s="785"/>
      <c r="N61" s="2268" t="e">
        <f>IF(H19="元",NUMBERSTRING(INT(N60),2)&amp;"元整",NUMBERSTRING(INT(N60*10000),2)&amp;"元整")</f>
        <v>#VALUE!</v>
      </c>
      <c r="O61" s="2269"/>
      <c r="P61" s="1844"/>
    </row>
    <row r="62" spans="1:16" ht="13.5" thickBot="1">
      <c r="A62" s="2977" t="s">
        <v>1875</v>
      </c>
      <c r="B62" s="2977"/>
      <c r="C62" s="2977"/>
      <c r="D62" s="2977"/>
      <c r="E62" s="2977"/>
      <c r="F62" s="1021"/>
      <c r="G62" s="1021"/>
      <c r="H62" s="2248"/>
      <c r="I62" s="2195"/>
      <c r="J62" s="1881">
        <f>J60+1</f>
        <v>6</v>
      </c>
      <c r="K62" s="2876" t="s">
        <v>1876</v>
      </c>
      <c r="L62" s="2876"/>
      <c r="M62" s="788"/>
      <c r="N62" s="789" t="e">
        <f>IF(H19="元",ROUND(N60/项目基本情况!C12,0),ROUND(N60*10000/项目基本情况!C12,0))</f>
        <v>#VALUE!</v>
      </c>
      <c r="O62" s="2272"/>
      <c r="P62" s="1844"/>
    </row>
    <row r="63" spans="1:16" ht="12.75">
      <c r="A63" s="2914" t="s">
        <v>1877</v>
      </c>
      <c r="B63" s="2915"/>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895"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895"/>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895"/>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895"/>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895"/>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895"/>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95"/>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16" t="s">
        <v>1897</v>
      </c>
      <c r="B71" s="2917"/>
      <c r="C71" s="2917"/>
      <c r="D71" s="2917"/>
      <c r="E71" s="2917"/>
      <c r="F71" s="2917"/>
      <c r="G71" s="2917"/>
      <c r="H71" s="2917"/>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4" t="s">
        <v>1877</v>
      </c>
      <c r="B72" s="2915"/>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52" t="s">
        <v>1907</v>
      </c>
      <c r="F77" s="2953"/>
      <c r="G77" s="2953"/>
      <c r="H77" s="2954"/>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83" t="s">
        <v>1912</v>
      </c>
      <c r="F79" s="2884"/>
      <c r="G79" s="2884"/>
      <c r="H79" s="2904"/>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6" t="s">
        <v>1916</v>
      </c>
      <c r="B84" s="2917"/>
      <c r="C84" s="2917"/>
      <c r="D84" s="2917"/>
      <c r="E84" s="2917"/>
      <c r="F84" s="2917"/>
      <c r="G84" s="2917"/>
      <c r="H84" s="2917"/>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4" t="s">
        <v>1877</v>
      </c>
      <c r="B85" s="2915"/>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83" t="s">
        <v>1924</v>
      </c>
      <c r="F92" s="2884"/>
      <c r="G92" s="2884"/>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83" t="s">
        <v>1927</v>
      </c>
      <c r="F93" s="2884"/>
      <c r="G93" s="2884"/>
      <c r="H93" s="2904"/>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83" t="s">
        <v>1912</v>
      </c>
      <c r="F94" s="2884"/>
      <c r="G94" s="2884"/>
      <c r="H94" s="2904"/>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83" t="s">
        <v>1929</v>
      </c>
      <c r="F95" s="2884"/>
      <c r="G95" s="2884"/>
      <c r="H95" s="2904"/>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01" t="s">
        <v>1931</v>
      </c>
      <c r="B100" s="2902"/>
      <c r="C100" s="2902"/>
      <c r="D100" s="2903"/>
      <c r="E100" s="2195"/>
      <c r="F100" s="2911" t="s">
        <v>1932</v>
      </c>
      <c r="G100" s="2912"/>
      <c r="H100" s="2912"/>
      <c r="I100" s="2913"/>
    </row>
    <row r="101" spans="1:35" ht="15.75">
      <c r="A101" s="2918" t="s">
        <v>1933</v>
      </c>
      <c r="B101" s="2919"/>
      <c r="C101" s="720">
        <f>C4</f>
        <v>0</v>
      </c>
      <c r="D101" s="721">
        <f>D4</f>
        <v>0</v>
      </c>
      <c r="E101" s="2195"/>
      <c r="F101" s="2920" t="s">
        <v>1934</v>
      </c>
      <c r="G101" s="2922"/>
      <c r="H101" s="3003" t="s">
        <v>1935</v>
      </c>
      <c r="I101" s="2921"/>
    </row>
    <row r="102" spans="1:35" ht="15.75">
      <c r="A102" s="3004" t="s">
        <v>1995</v>
      </c>
      <c r="B102" s="2290" t="str">
        <f>IF(H19="元","总价（元）","总价（万元）")</f>
        <v>总价（元）</v>
      </c>
      <c r="C102" s="720" t="e">
        <f ca="1">C19</f>
        <v>#REF!</v>
      </c>
      <c r="D102" s="721" t="e">
        <f ca="1">D19</f>
        <v>#REF!</v>
      </c>
      <c r="E102" s="2195"/>
      <c r="F102" s="3005"/>
      <c r="G102" s="3006"/>
      <c r="H102" s="2981">
        <f>典型户型修正!B25</f>
        <v>0</v>
      </c>
      <c r="I102" s="2921"/>
    </row>
    <row r="103" spans="1:35" ht="15.75">
      <c r="A103" s="3004"/>
      <c r="B103" s="2290" t="s">
        <v>1937</v>
      </c>
      <c r="C103" s="722" t="e">
        <f ca="1">C20</f>
        <v>#REF!</v>
      </c>
      <c r="D103" s="723" t="e">
        <f ca="1">D20</f>
        <v>#REF!</v>
      </c>
      <c r="E103" s="2195"/>
      <c r="F103" s="2995" t="s">
        <v>1938</v>
      </c>
      <c r="G103" s="2996"/>
      <c r="H103" s="2291" t="str">
        <f>C109</f>
        <v>总价（元）</v>
      </c>
      <c r="I103" s="1861">
        <f>H124</f>
        <v>0</v>
      </c>
    </row>
    <row r="104" spans="1:35" ht="15">
      <c r="A104" s="3004" t="s">
        <v>1996</v>
      </c>
      <c r="B104" s="2292" t="str">
        <f>B102</f>
        <v>总价（元）</v>
      </c>
      <c r="C104" s="1189" t="e">
        <f ca="1">ROUND(IF('数据-取费表'!B4="总价",G19,IF(H19="元",G20*'数据-取费表'!E5,G20*'数据-取费表'!E5/10000)),0)</f>
        <v>#REF!</v>
      </c>
      <c r="D104" s="725"/>
      <c r="E104" s="2195"/>
      <c r="F104" s="2995"/>
      <c r="G104" s="2996"/>
      <c r="H104" s="2291" t="s">
        <v>1937</v>
      </c>
      <c r="I104" s="1049" t="e">
        <f>I124</f>
        <v>#DIV/0!</v>
      </c>
    </row>
    <row r="105" spans="1:35" ht="15.75">
      <c r="A105" s="3004"/>
      <c r="B105" s="2290" t="s">
        <v>1937</v>
      </c>
      <c r="C105" s="1190" t="e">
        <f ca="1">ROUND(IF('数据-取费表'!B4="楼面单价",G20,IF(H19="元",G19/'数据-取费表'!E5,G19*10000/'数据-取费表'!E5)),0)</f>
        <v>#REF!</v>
      </c>
      <c r="D105" s="725"/>
      <c r="E105" s="2195"/>
      <c r="F105" s="2907"/>
      <c r="G105" s="2908"/>
      <c r="H105" s="2942"/>
      <c r="I105" s="2943"/>
    </row>
    <row r="106" spans="1:35" ht="15.75">
      <c r="A106" s="3011" t="s">
        <v>1997</v>
      </c>
      <c r="B106" s="2330" t="str">
        <f>B102</f>
        <v>总价（元）</v>
      </c>
      <c r="C106" s="724">
        <f>H124</f>
        <v>0</v>
      </c>
      <c r="D106" s="1188"/>
      <c r="E106" s="2195"/>
      <c r="F106" s="2946" t="s">
        <v>1941</v>
      </c>
      <c r="G106" s="2947"/>
      <c r="H106" s="2294" t="str">
        <f>C111</f>
        <v>总额（元）</v>
      </c>
      <c r="I106" s="1861">
        <f>SUMIF(I107:I109,"&lt;9E307")</f>
        <v>0</v>
      </c>
    </row>
    <row r="107" spans="1:35" ht="15.75" thickBot="1">
      <c r="A107" s="2941"/>
      <c r="B107" s="2293" t="s">
        <v>1937</v>
      </c>
      <c r="C107" s="726" t="e">
        <f>I124</f>
        <v>#DIV/0!</v>
      </c>
      <c r="D107" s="727"/>
      <c r="E107" s="2195"/>
      <c r="F107" s="2909" t="s">
        <v>1943</v>
      </c>
      <c r="G107" s="2910"/>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7" t="s">
        <v>1940</v>
      </c>
      <c r="B108" s="3008"/>
      <c r="C108" s="3008"/>
      <c r="D108" s="3009"/>
      <c r="E108" s="2195"/>
      <c r="F108" s="2909" t="s">
        <v>1944</v>
      </c>
      <c r="G108" s="2910"/>
      <c r="H108" s="2294" t="str">
        <f>C113</f>
        <v>总额（元）</v>
      </c>
      <c r="I108" s="1049">
        <f>C38</f>
        <v>0</v>
      </c>
      <c r="K108" s="2295"/>
    </row>
    <row r="109" spans="1:35" ht="15">
      <c r="A109" s="2948" t="s">
        <v>1998</v>
      </c>
      <c r="B109" s="2949"/>
      <c r="C109" s="2291" t="str">
        <f>B102</f>
        <v>总价（元）</v>
      </c>
      <c r="D109" s="1050">
        <f>H124</f>
        <v>0</v>
      </c>
      <c r="E109" s="2195"/>
      <c r="F109" s="2909" t="s">
        <v>1946</v>
      </c>
      <c r="G109" s="2910"/>
      <c r="H109" s="2294" t="str">
        <f>C114</f>
        <v>总额（元）</v>
      </c>
      <c r="I109" s="1049">
        <f>C39</f>
        <v>0</v>
      </c>
    </row>
    <row r="110" spans="1:35" ht="15.75">
      <c r="A110" s="2948"/>
      <c r="B110" s="2949"/>
      <c r="C110" s="2291" t="s">
        <v>1937</v>
      </c>
      <c r="D110" s="1051" t="e">
        <f>I124</f>
        <v>#DIV/0!</v>
      </c>
      <c r="E110" s="2195"/>
      <c r="F110" s="2907"/>
      <c r="G110" s="2908"/>
      <c r="H110" s="2944"/>
      <c r="I110" s="2945"/>
    </row>
    <row r="111" spans="1:35" ht="28.5" customHeight="1">
      <c r="A111" s="2991" t="s">
        <v>1945</v>
      </c>
      <c r="B111" s="2992"/>
      <c r="C111" s="2294" t="str">
        <f>IF(H19="元","总额（元）","总额（万元）")</f>
        <v>总额（元）</v>
      </c>
      <c r="D111" s="1050">
        <f>IF(D37="正常操作",I107+I108+I109,I108+I109)</f>
        <v>0</v>
      </c>
      <c r="E111" s="2195"/>
      <c r="F111" s="2889" t="str">
        <f>IF(项目基本情况!F5="已注销","——","3.房地产抵押价值")</f>
        <v>3.房地产抵押价值</v>
      </c>
      <c r="G111" s="2890"/>
      <c r="H111" s="2331" t="str">
        <f>C115</f>
        <v>总价（元）</v>
      </c>
      <c r="I111" s="1861">
        <f>IF(F111="——","——",I103-I106)</f>
        <v>0</v>
      </c>
    </row>
    <row r="112" spans="1:35" ht="15">
      <c r="A112" s="2909" t="s">
        <v>1943</v>
      </c>
      <c r="B112" s="2910"/>
      <c r="C112" s="2294" t="str">
        <f>C111</f>
        <v>总额（元）</v>
      </c>
      <c r="D112" s="637">
        <f>IF(D37="同一抵押权人同一抵押物续贷",C37&amp;"（未扣减，详见特别提示）",C37)</f>
        <v>0</v>
      </c>
      <c r="E112" s="2195"/>
      <c r="F112" s="2891"/>
      <c r="G112" s="2892"/>
      <c r="H112" s="2291" t="s">
        <v>1937</v>
      </c>
      <c r="I112" s="2297" t="e">
        <f>D116</f>
        <v>#DIV/0!</v>
      </c>
    </row>
    <row r="113" spans="1:26" ht="15.75">
      <c r="A113" s="2909" t="s">
        <v>1944</v>
      </c>
      <c r="B113" s="2910"/>
      <c r="C113" s="2294" t="str">
        <f>C111</f>
        <v>总额（元）</v>
      </c>
      <c r="D113" s="637">
        <f>C38</f>
        <v>0</v>
      </c>
      <c r="E113" s="2195"/>
      <c r="F113" s="2889" t="str">
        <f>IF(项目基本情况!F5="已注销及未注销","4.抵押担保权已注销时的房地产抵押价值",IF(项目基本情况!F5="已注销","3.抵押担保权已注销时的房地产抵押价值","——"))</f>
        <v>——</v>
      </c>
      <c r="G113" s="2890"/>
      <c r="H113" s="2331" t="str">
        <f>C117</f>
        <v>总价（元）</v>
      </c>
      <c r="I113" s="1861" t="str">
        <f>IF(F113="——","——",I103-I108-I109)</f>
        <v>——</v>
      </c>
    </row>
    <row r="114" spans="1:26" ht="15">
      <c r="A114" s="2909" t="s">
        <v>1946</v>
      </c>
      <c r="B114" s="2910"/>
      <c r="C114" s="2294" t="str">
        <f>C111</f>
        <v>总额（元）</v>
      </c>
      <c r="D114" s="637">
        <f>C39</f>
        <v>0</v>
      </c>
      <c r="E114" s="2195"/>
      <c r="F114" s="2891"/>
      <c r="G114" s="2892"/>
      <c r="H114" s="2291" t="s">
        <v>1937</v>
      </c>
      <c r="I114" s="1049" t="str">
        <f>D118</f>
        <v>——</v>
      </c>
    </row>
    <row r="115" spans="1:26" ht="15.75">
      <c r="A115" s="2948" t="str">
        <f>IF(项目基本情况!F5="已注销","——","3.房地产抵押价值")</f>
        <v>3.房地产抵押价值</v>
      </c>
      <c r="B115" s="2949"/>
      <c r="C115" s="2291" t="str">
        <f>B102</f>
        <v>总价（元）</v>
      </c>
      <c r="D115" s="1050">
        <f>IF(A115="——","——",D109-D111)</f>
        <v>0</v>
      </c>
      <c r="E115" s="2195"/>
      <c r="F115" s="2889" t="str">
        <f>IF(项目基本情况!G5="抵押净值",IF(OR(项目基本情况!F5="已注销",项目基本情况!F5="房地产抵押价值"),"4.抵押净值","5.抵押净值"),"——")</f>
        <v>——</v>
      </c>
      <c r="G115" s="2890"/>
      <c r="H115" s="2291" t="str">
        <f>C119</f>
        <v>总价（元）</v>
      </c>
      <c r="I115" s="1861" t="str">
        <f>IF(F115="——","——",N60)</f>
        <v>——</v>
      </c>
    </row>
    <row r="116" spans="1:26" ht="15.75" thickBot="1">
      <c r="A116" s="2948"/>
      <c r="B116" s="2949"/>
      <c r="C116" s="2291" t="s">
        <v>1999</v>
      </c>
      <c r="D116" s="1051" t="e">
        <f>ROUND(IF(D115=D109,D110,IF(H19="元",D115/B124,D115*10000/B124)),0)</f>
        <v>#DIV/0!</v>
      </c>
      <c r="E116" s="2195"/>
      <c r="F116" s="2982"/>
      <c r="G116" s="2983"/>
      <c r="H116" s="2299" t="s">
        <v>1999</v>
      </c>
      <c r="I116" s="1863" t="str">
        <f>D120</f>
        <v>——</v>
      </c>
    </row>
    <row r="117" spans="1:26" ht="15.75">
      <c r="A117" s="2948" t="str">
        <f>IF(项目基本情况!F5="已注销及未注销","4.抵押担保权已注销时的房地产抵押价值",IF(项目基本情况!F5="已注销","3.抵押担保权已注销时的房地产抵押价值","——"))</f>
        <v>——</v>
      </c>
      <c r="B117" s="2949"/>
      <c r="C117" s="2291" t="str">
        <f>B102</f>
        <v>总价（元）</v>
      </c>
      <c r="D117" s="1050" t="str">
        <f>IF(A117="——","——",D109-D113-D114)</f>
        <v>——</v>
      </c>
      <c r="E117" s="2195"/>
      <c r="F117" s="2885"/>
      <c r="G117" s="2885"/>
      <c r="H117" s="2927"/>
      <c r="I117" s="2927"/>
      <c r="N117" s="55"/>
      <c r="O117" s="55"/>
    </row>
    <row r="118" spans="1:26" s="1844" customFormat="1" ht="15">
      <c r="A118" s="2948"/>
      <c r="B118" s="2949"/>
      <c r="C118" s="2291" t="s">
        <v>1999</v>
      </c>
      <c r="D118" s="1051" t="str">
        <f>IF(A117="——","——",IF(H19="元",ROUND(D117/B124,0),ROUND(D117*10000/B124,0)))</f>
        <v>——</v>
      </c>
      <c r="E118" s="2195"/>
      <c r="F118" s="3010" t="str">
        <f>IF(B32="总价","（以上估价结果中楼面单价为总价除以建筑面积得出）","（以上估价结果中总价为楼面单价乘以建筑面积得出）")</f>
        <v>（以上估价结果中总价为楼面单价乘以建筑面积得出）</v>
      </c>
      <c r="G118" s="3010"/>
      <c r="H118" s="3010"/>
      <c r="I118" s="3010"/>
      <c r="J118" s="798"/>
      <c r="K118" s="798"/>
      <c r="L118" s="798"/>
      <c r="M118" s="798"/>
      <c r="N118" s="55"/>
      <c r="O118" s="55"/>
      <c r="P118" s="798"/>
      <c r="Q118" s="798"/>
      <c r="R118" s="798"/>
      <c r="S118" s="798"/>
      <c r="T118" s="798"/>
      <c r="U118" s="798"/>
      <c r="V118" s="798"/>
      <c r="W118" s="798"/>
      <c r="X118" s="798"/>
      <c r="Y118" s="798"/>
      <c r="Z118" s="798"/>
    </row>
    <row r="119" spans="1:26" s="1844" customFormat="1" ht="15">
      <c r="A119" s="2948" t="str">
        <f>IF(项目基本情况!G5="抵押净值",IF(OR(项目基本情况!F5="已注销",项目基本情况!F5="房地产抵押价值"),"4.抵押净值","5.抵押净值"),"——")</f>
        <v>——</v>
      </c>
      <c r="B119" s="2949"/>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89"/>
      <c r="B120" s="2990"/>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28" t="s">
        <v>2000</v>
      </c>
      <c r="B121" s="2929"/>
      <c r="C121" s="2929"/>
      <c r="D121" s="2929"/>
      <c r="E121" s="2929"/>
      <c r="F121" s="2929"/>
      <c r="G121" s="2929"/>
      <c r="H121" s="2929"/>
      <c r="I121" s="292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00" t="s">
        <v>1948</v>
      </c>
      <c r="B122" s="2898" t="s">
        <v>2001</v>
      </c>
      <c r="C122" s="2898" t="s">
        <v>2002</v>
      </c>
      <c r="D122" s="2905" t="s">
        <v>1951</v>
      </c>
      <c r="E122" s="2906"/>
      <c r="F122" s="2896" t="s">
        <v>2003</v>
      </c>
      <c r="G122" s="2896"/>
      <c r="H122" s="2896" t="s">
        <v>1952</v>
      </c>
      <c r="I122" s="289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00"/>
      <c r="B123" s="2899"/>
      <c r="C123" s="2899"/>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00" t="s">
        <v>1956</v>
      </c>
      <c r="B125" s="2896"/>
      <c r="C125" s="2896"/>
      <c r="D125" s="2932" t="str">
        <f>IF(H19="元",NUMBERSTRING(INT(D124),2)&amp;"元整",NUMBERSTRING(INT(D124*10000),2)&amp;"元整")</f>
        <v>零元整</v>
      </c>
      <c r="E125" s="2933"/>
      <c r="F125" s="2932" t="str">
        <f>IF(H19="元",NUMBERSTRING(INT(F124),2)&amp;"元整",NUMBERSTRING(INT(F124*10000),2)&amp;"元整")</f>
        <v>零元整</v>
      </c>
      <c r="G125" s="2933"/>
      <c r="H125" s="2932" t="str">
        <f>IF(H19="元",NUMBERSTRING(INT(H124),2)&amp;"元整",NUMBERSTRING(INT(H124*10000),2)&amp;"元整")</f>
        <v>零元整</v>
      </c>
      <c r="I125" s="299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4" t="str">
        <f>IF(项目基本情况!D5="房地产市场价值","——",MID(A111,3,LEN(A111)-2))</f>
        <v>——</v>
      </c>
      <c r="B126" s="2935"/>
      <c r="C126" s="2936"/>
      <c r="D126" s="2925">
        <f>I106</f>
        <v>0</v>
      </c>
      <c r="E126" s="2935"/>
      <c r="F126" s="2935"/>
      <c r="G126" s="2935"/>
      <c r="H126" s="2935"/>
      <c r="I126" s="298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7" t="s">
        <v>1956</v>
      </c>
      <c r="B127" s="2938"/>
      <c r="C127" s="2939"/>
      <c r="D127" s="2985">
        <f>H110</f>
        <v>0</v>
      </c>
      <c r="E127" s="2986"/>
      <c r="F127" s="2986"/>
      <c r="G127" s="2986"/>
      <c r="H127" s="2986"/>
      <c r="I127" s="298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23" t="str">
        <f>IF(项目基本情况!D5="房地产市场价值","——",MID(A115,3,LEN(A115)-2))</f>
        <v>——</v>
      </c>
      <c r="B128" s="2924"/>
      <c r="C128" s="2924"/>
      <c r="D128" s="2925">
        <f>I111</f>
        <v>0</v>
      </c>
      <c r="E128" s="2935"/>
      <c r="F128" s="2935"/>
      <c r="G128" s="2935"/>
      <c r="H128" s="2935"/>
      <c r="I128" s="298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00" t="s">
        <v>1956</v>
      </c>
      <c r="B129" s="2896"/>
      <c r="C129" s="2896"/>
      <c r="D129" s="2985" t="e">
        <f>I112</f>
        <v>#DIV/0!</v>
      </c>
      <c r="E129" s="2986"/>
      <c r="F129" s="2986"/>
      <c r="G129" s="2986"/>
      <c r="H129" s="2986"/>
      <c r="I129" s="298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23" t="str">
        <f>IF(项目基本情况!D5="房地产市场价值","——",MID(A117,3,LEN(A117)-2))</f>
        <v>——</v>
      </c>
      <c r="B130" s="2924"/>
      <c r="C130" s="2924"/>
      <c r="D130" s="2880" t="str">
        <f>I113</f>
        <v>——</v>
      </c>
      <c r="E130" s="2881"/>
      <c r="F130" s="2881"/>
      <c r="G130" s="2881"/>
      <c r="H130" s="2881"/>
      <c r="I130" s="2882"/>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00" t="s">
        <v>1956</v>
      </c>
      <c r="B131" s="2896"/>
      <c r="C131" s="2980"/>
      <c r="D131" s="2926" t="str">
        <f>I114</f>
        <v>——</v>
      </c>
      <c r="E131" s="2926"/>
      <c r="F131" s="2926"/>
      <c r="G131" s="2926"/>
      <c r="H131" s="2926"/>
      <c r="I131" s="292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23" t="str">
        <f>IF(项目基本情况!D5="房地产市场价值","——",MID(F115,3,LEN(F115)-2))</f>
        <v>——</v>
      </c>
      <c r="B132" s="2924"/>
      <c r="C132" s="2925"/>
      <c r="D132" s="2988" t="str">
        <f>I115</f>
        <v>——</v>
      </c>
      <c r="E132" s="2988"/>
      <c r="F132" s="2988"/>
      <c r="G132" s="2988"/>
      <c r="H132" s="2988"/>
      <c r="I132" s="298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93" t="s">
        <v>1956</v>
      </c>
      <c r="B133" s="2994"/>
      <c r="C133" s="2994"/>
      <c r="D133" s="2998">
        <f>H117</f>
        <v>0</v>
      </c>
      <c r="E133" s="2999"/>
      <c r="F133" s="2999"/>
      <c r="G133" s="2999"/>
      <c r="H133" s="2999"/>
      <c r="I133" s="300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8" t="str">
        <f>IF(B32="总价","（以上估价结果中楼面单价为总价除以建筑面积得出）","（以上估价结果中总价为楼面单价乘以建筑面积得出）")</f>
        <v>（以上估价结果中总价为楼面单价乘以建筑面积得出）</v>
      </c>
      <c r="B135" s="2978"/>
      <c r="C135" s="2978"/>
      <c r="D135" s="2978"/>
      <c r="E135" s="2978"/>
      <c r="F135" s="2978"/>
      <c r="G135" s="2978"/>
      <c r="H135" s="2978"/>
      <c r="I135" s="297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47439</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47439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30785</v>
      </c>
      <c r="D5" s="195" t="s">
        <v>2011</v>
      </c>
      <c r="E5" s="1531" t="s">
        <v>2012</v>
      </c>
      <c r="F5" s="1531" t="s">
        <v>2013</v>
      </c>
      <c r="G5" s="174"/>
    </row>
    <row r="6" spans="1:7" s="175" customFormat="1" ht="13.5" customHeight="1">
      <c r="A6" s="176" t="s">
        <v>2014</v>
      </c>
      <c r="B6" s="177" t="s">
        <v>2015</v>
      </c>
      <c r="C6" s="1530">
        <f ca="1">基准地价修正!B2</f>
        <v>29719</v>
      </c>
      <c r="D6" s="1532"/>
      <c r="E6" s="1533"/>
      <c r="F6" s="1533"/>
      <c r="G6" s="179"/>
    </row>
    <row r="7" spans="1:7" s="175" customFormat="1" ht="13.5" customHeight="1">
      <c r="A7" s="176" t="s">
        <v>2016</v>
      </c>
      <c r="B7" s="177" t="s">
        <v>2017</v>
      </c>
      <c r="C7" s="199">
        <f ca="1">ROUND(C6*F7,0)</f>
        <v>906</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3023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2994</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6280</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6280</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44162</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3" t="s">
        <v>2076</v>
      </c>
    </row>
    <row r="43" spans="1:7" ht="13.5" customHeight="1">
      <c r="A43" s="176" t="s">
        <v>2016</v>
      </c>
      <c r="B43" s="177" t="s">
        <v>2045</v>
      </c>
      <c r="C43" s="188">
        <f ca="1">ROUND(IF('数据-取费表'!B23&lt;=1,C39*F22*'数据-取费表'!B22/2,C39*(POWER((1+F22),'数据-取费表'!B22/2)-1)),0)</f>
        <v>3</v>
      </c>
      <c r="D43" s="188"/>
      <c r="E43" s="188"/>
      <c r="F43" s="189"/>
      <c r="G43" s="3014"/>
    </row>
    <row r="44" spans="1:7" ht="13.5" customHeight="1">
      <c r="A44" s="176" t="s">
        <v>2018</v>
      </c>
      <c r="B44" s="177" t="s">
        <v>2047</v>
      </c>
      <c r="C44" s="188">
        <f ca="1">ROUND(IF('数据-取费表'!B23&lt;=1,C40*F22*'数据-取费表'!B22/2,C40*(POWER((1+F22),'数据-取费表'!B22/2)-1)),4)</f>
        <v>1E-3</v>
      </c>
      <c r="D44" s="188"/>
      <c r="E44" s="188"/>
      <c r="F44" s="189"/>
      <c r="G44" s="3015"/>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47439</v>
      </c>
      <c r="D52" s="212"/>
      <c r="E52" s="212"/>
      <c r="F52" s="212"/>
      <c r="G52" s="214"/>
    </row>
    <row r="55" spans="1:7" ht="15">
      <c r="B55" s="216" t="s">
        <v>2092</v>
      </c>
      <c r="C55" s="217"/>
    </row>
    <row r="56" spans="1:7">
      <c r="B56" s="219" t="s">
        <v>2093</v>
      </c>
      <c r="C56" s="220">
        <f ca="1">ROUND(C51/C52,3)</f>
        <v>6.9000000000000006E-2</v>
      </c>
    </row>
    <row r="57" spans="1:7">
      <c r="B57" s="219" t="s">
        <v>2094</v>
      </c>
      <c r="C57" s="221">
        <f ca="1">1-C56</f>
        <v>0.93100000000000005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1022</v>
      </c>
      <c r="B1" s="3017"/>
      <c r="C1" s="3018"/>
      <c r="D1" s="3019">
        <f>SUM(I10,I15,I20,I21,I23)</f>
        <v>0</v>
      </c>
      <c r="E1" s="3019"/>
      <c r="F1" s="3019"/>
      <c r="G1" s="3019"/>
      <c r="H1" s="3019"/>
      <c r="I1" s="3020"/>
    </row>
    <row r="2" spans="1:9">
      <c r="A2" s="3021" t="s">
        <v>1023</v>
      </c>
      <c r="B2" s="3022" t="s">
        <v>972</v>
      </c>
      <c r="C2" s="3022"/>
      <c r="D2" s="1388" t="s">
        <v>973</v>
      </c>
      <c r="E2" s="1388" t="s">
        <v>974</v>
      </c>
      <c r="F2" s="1388" t="s">
        <v>975</v>
      </c>
      <c r="G2" s="1388" t="s">
        <v>976</v>
      </c>
      <c r="H2" s="1388" t="s">
        <v>977</v>
      </c>
      <c r="I2" s="1389" t="s">
        <v>978</v>
      </c>
    </row>
    <row r="3" spans="1:9">
      <c r="A3" s="3021"/>
      <c r="B3" s="3022" t="s">
        <v>979</v>
      </c>
      <c r="C3" s="3022"/>
      <c r="D3" s="1390"/>
      <c r="E3" s="1388"/>
      <c r="F3" s="1391"/>
      <c r="G3" s="1391"/>
      <c r="H3" s="1392"/>
      <c r="I3" s="1393">
        <f>ROUND(D3*E3*F3*G3*H3/10000,0)</f>
        <v>0</v>
      </c>
    </row>
    <row r="4" spans="1:9">
      <c r="A4" s="3021"/>
      <c r="B4" s="3022" t="s">
        <v>980</v>
      </c>
      <c r="C4" s="3022"/>
      <c r="D4" s="1390"/>
      <c r="E4" s="1388"/>
      <c r="F4" s="1391"/>
      <c r="G4" s="1391"/>
      <c r="H4" s="1392"/>
      <c r="I4" s="1393">
        <f t="shared" ref="I4:I9" si="0">ROUND(D4*E4*F4*G4*H4/10000,0)</f>
        <v>0</v>
      </c>
    </row>
    <row r="5" spans="1:9">
      <c r="A5" s="3021"/>
      <c r="B5" s="3022" t="s">
        <v>981</v>
      </c>
      <c r="C5" s="3022"/>
      <c r="D5" s="1390"/>
      <c r="E5" s="1388"/>
      <c r="F5" s="1391"/>
      <c r="G5" s="1391"/>
      <c r="H5" s="1392"/>
      <c r="I5" s="1393">
        <f t="shared" si="0"/>
        <v>0</v>
      </c>
    </row>
    <row r="6" spans="1:9">
      <c r="A6" s="3021"/>
      <c r="B6" s="3022" t="s">
        <v>982</v>
      </c>
      <c r="C6" s="3022"/>
      <c r="D6" s="1390"/>
      <c r="E6" s="1388"/>
      <c r="F6" s="1391"/>
      <c r="G6" s="1391"/>
      <c r="H6" s="1392"/>
      <c r="I6" s="1393">
        <f t="shared" si="0"/>
        <v>0</v>
      </c>
    </row>
    <row r="7" spans="1:9">
      <c r="A7" s="3021"/>
      <c r="B7" s="3022" t="s">
        <v>983</v>
      </c>
      <c r="C7" s="3022"/>
      <c r="D7" s="1390"/>
      <c r="E7" s="1388"/>
      <c r="F7" s="1391"/>
      <c r="G7" s="1391"/>
      <c r="H7" s="1392"/>
      <c r="I7" s="1393">
        <f t="shared" si="0"/>
        <v>0</v>
      </c>
    </row>
    <row r="8" spans="1:9">
      <c r="A8" s="3021"/>
      <c r="B8" s="3022" t="s">
        <v>984</v>
      </c>
      <c r="C8" s="3022"/>
      <c r="D8" s="1390"/>
      <c r="E8" s="1388"/>
      <c r="F8" s="1391"/>
      <c r="G8" s="1391"/>
      <c r="H8" s="1392"/>
      <c r="I8" s="1393">
        <f t="shared" si="0"/>
        <v>0</v>
      </c>
    </row>
    <row r="9" spans="1:9">
      <c r="A9" s="3021"/>
      <c r="B9" s="3022" t="s">
        <v>985</v>
      </c>
      <c r="C9" s="3022"/>
      <c r="D9" s="1390"/>
      <c r="E9" s="1388"/>
      <c r="F9" s="1391"/>
      <c r="G9" s="1391"/>
      <c r="H9" s="1392"/>
      <c r="I9" s="1393">
        <f t="shared" si="0"/>
        <v>0</v>
      </c>
    </row>
    <row r="10" spans="1:9">
      <c r="A10" s="3021"/>
      <c r="B10" s="3023" t="s">
        <v>986</v>
      </c>
      <c r="C10" s="3023"/>
      <c r="D10" s="1394">
        <v>527</v>
      </c>
      <c r="E10" s="1394" t="e">
        <f>ROUND(D1*10000/D10/H9,0)</f>
        <v>#DIV/0!</v>
      </c>
      <c r="F10" s="1395"/>
      <c r="G10" s="1395"/>
      <c r="H10" s="1396"/>
      <c r="I10" s="1397">
        <f>SUM(I3:I9)</f>
        <v>0</v>
      </c>
    </row>
    <row r="11" spans="1:9" ht="14.25">
      <c r="A11" s="3021" t="s">
        <v>1024</v>
      </c>
      <c r="B11" s="3022" t="s">
        <v>987</v>
      </c>
      <c r="C11" s="3022"/>
      <c r="D11" s="1390" t="s">
        <v>988</v>
      </c>
      <c r="E11" s="1390" t="s">
        <v>989</v>
      </c>
      <c r="F11" s="1391" t="s">
        <v>990</v>
      </c>
      <c r="G11" s="1391" t="s">
        <v>977</v>
      </c>
      <c r="H11" s="1398" t="s">
        <v>991</v>
      </c>
      <c r="I11" s="1389" t="s">
        <v>978</v>
      </c>
    </row>
    <row r="12" spans="1:9">
      <c r="A12" s="3021"/>
      <c r="B12" s="3022" t="s">
        <v>992</v>
      </c>
      <c r="C12" s="3022"/>
      <c r="D12" s="1390"/>
      <c r="E12" s="1390"/>
      <c r="F12" s="1391"/>
      <c r="G12" s="1392"/>
      <c r="H12" s="1399"/>
      <c r="I12" s="1389">
        <f>ROUND(D12*E12*F12*G12/10000,0)</f>
        <v>0</v>
      </c>
    </row>
    <row r="13" spans="1:9">
      <c r="A13" s="3021"/>
      <c r="B13" s="3022" t="s">
        <v>993</v>
      </c>
      <c r="C13" s="3022"/>
      <c r="D13" s="1390"/>
      <c r="E13" s="1390"/>
      <c r="F13" s="1391"/>
      <c r="G13" s="1392"/>
      <c r="H13" s="1399"/>
      <c r="I13" s="1389">
        <f>ROUND(D13*E13*F13*G13/10000,0)</f>
        <v>0</v>
      </c>
    </row>
    <row r="14" spans="1:9">
      <c r="A14" s="3021"/>
      <c r="B14" s="3022" t="s">
        <v>994</v>
      </c>
      <c r="C14" s="3022"/>
      <c r="D14" s="1390"/>
      <c r="E14" s="1390"/>
      <c r="F14" s="1391"/>
      <c r="G14" s="1392"/>
      <c r="H14" s="1399"/>
      <c r="I14" s="1389">
        <f>ROUND(D14*E14*F14*G14/10000,0)</f>
        <v>0</v>
      </c>
    </row>
    <row r="15" spans="1:9">
      <c r="A15" s="3021"/>
      <c r="B15" s="3023" t="s">
        <v>986</v>
      </c>
      <c r="C15" s="3023"/>
      <c r="D15" s="1394"/>
      <c r="E15" s="1394">
        <f>SUM(E12:E14)</f>
        <v>0</v>
      </c>
      <c r="F15" s="1395"/>
      <c r="G15" s="1392"/>
      <c r="H15" s="1399"/>
      <c r="I15" s="1400">
        <f>SUM(I12:I14)</f>
        <v>0</v>
      </c>
    </row>
    <row r="16" spans="1:9" ht="24">
      <c r="A16" s="3021" t="s">
        <v>1025</v>
      </c>
      <c r="B16" s="3022" t="s">
        <v>995</v>
      </c>
      <c r="C16" s="3022"/>
      <c r="D16" s="1390" t="s">
        <v>973</v>
      </c>
      <c r="E16" s="1401" t="s">
        <v>996</v>
      </c>
      <c r="F16" s="1391" t="s">
        <v>997</v>
      </c>
      <c r="G16" s="1392" t="s">
        <v>977</v>
      </c>
      <c r="H16" s="1398" t="s">
        <v>991</v>
      </c>
      <c r="I16" s="1389" t="s">
        <v>978</v>
      </c>
    </row>
    <row r="17" spans="1:9" ht="14.25">
      <c r="A17" s="3021"/>
      <c r="B17" s="3022" t="s">
        <v>998</v>
      </c>
      <c r="C17" s="3022"/>
      <c r="D17" s="1390"/>
      <c r="E17" s="1390"/>
      <c r="F17" s="1391"/>
      <c r="G17" s="1392"/>
      <c r="H17" s="1402"/>
      <c r="I17" s="1403">
        <f>ROUND(D17*E17*F17*G17/10000,0)</f>
        <v>0</v>
      </c>
    </row>
    <row r="18" spans="1:9" ht="14.25">
      <c r="A18" s="3021"/>
      <c r="B18" s="3022" t="s">
        <v>999</v>
      </c>
      <c r="C18" s="3022"/>
      <c r="D18" s="1390"/>
      <c r="E18" s="1390"/>
      <c r="F18" s="1391"/>
      <c r="G18" s="1392"/>
      <c r="H18" s="1402"/>
      <c r="I18" s="1403">
        <f>ROUND(D18*E18*F18*G18/10000,0)</f>
        <v>0</v>
      </c>
    </row>
    <row r="19" spans="1:9" ht="14.25">
      <c r="A19" s="3021"/>
      <c r="B19" s="3022" t="s">
        <v>1000</v>
      </c>
      <c r="C19" s="3022"/>
      <c r="D19" s="1390"/>
      <c r="E19" s="1390"/>
      <c r="F19" s="1391"/>
      <c r="G19" s="1392"/>
      <c r="H19" s="1402"/>
      <c r="I19" s="1403">
        <f>ROUND(D19*E19*F19*G19/10000,0)</f>
        <v>0</v>
      </c>
    </row>
    <row r="20" spans="1:9">
      <c r="A20" s="3021"/>
      <c r="B20" s="3023" t="s">
        <v>986</v>
      </c>
      <c r="C20" s="3023"/>
      <c r="D20" s="1394">
        <f>SUM(D17:D19)</f>
        <v>0</v>
      </c>
      <c r="E20" s="1394"/>
      <c r="F20" s="1395"/>
      <c r="G20" s="1392"/>
      <c r="H20" s="1399"/>
      <c r="I20" s="1400">
        <f>SUM(I17:I19)</f>
        <v>0</v>
      </c>
    </row>
    <row r="21" spans="1:9">
      <c r="A21" s="3021" t="s">
        <v>1026</v>
      </c>
      <c r="B21" s="3025"/>
      <c r="C21" s="3025"/>
      <c r="D21" s="3025"/>
      <c r="E21" s="3025"/>
      <c r="F21" s="3025"/>
      <c r="G21" s="3025"/>
      <c r="H21" s="1404">
        <v>0.1</v>
      </c>
      <c r="I21" s="1397">
        <f>ROUND(I10*H21,0)</f>
        <v>0</v>
      </c>
    </row>
    <row r="22" spans="1:9" ht="14.25">
      <c r="A22" s="3026" t="s">
        <v>1027</v>
      </c>
      <c r="B22" s="3027"/>
      <c r="C22" s="3028"/>
      <c r="D22" s="1405" t="s">
        <v>1001</v>
      </c>
      <c r="E22" s="1405" t="s">
        <v>1002</v>
      </c>
      <c r="F22" s="1406" t="s">
        <v>977</v>
      </c>
      <c r="G22" s="1406" t="s">
        <v>1003</v>
      </c>
      <c r="H22" s="1398" t="s">
        <v>991</v>
      </c>
      <c r="I22" s="1389" t="s">
        <v>978</v>
      </c>
    </row>
    <row r="23" spans="1:9" ht="14.25" thickBot="1">
      <c r="A23" s="3029"/>
      <c r="B23" s="3030"/>
      <c r="C23" s="3031"/>
      <c r="D23" s="1407"/>
      <c r="E23" s="1407"/>
      <c r="F23" s="1407"/>
      <c r="G23" s="1408"/>
      <c r="H23" s="1409"/>
      <c r="I23" s="1410">
        <f>ROUND(E23*D23*F23*(1-G23)/10000,0)</f>
        <v>0</v>
      </c>
    </row>
    <row r="26" spans="1:9">
      <c r="A26" s="1411" t="s">
        <v>1004</v>
      </c>
      <c r="B26" s="1411"/>
      <c r="C26" s="1411"/>
      <c r="D26" s="1411"/>
      <c r="E26" s="3032">
        <f>C27-C30-C31-C32</f>
        <v>0</v>
      </c>
      <c r="F26" s="3032"/>
      <c r="G26" s="3032"/>
      <c r="H26" s="1828" t="s">
        <v>1216</v>
      </c>
    </row>
    <row r="27" spans="1:9">
      <c r="A27" s="1412">
        <v>1</v>
      </c>
      <c r="B27" s="1413" t="s">
        <v>1005</v>
      </c>
      <c r="C27" s="1413">
        <f>C28+C29</f>
        <v>0</v>
      </c>
      <c r="D27" s="1413"/>
      <c r="E27" s="3033"/>
      <c r="F27" s="3033"/>
      <c r="G27" s="3033"/>
    </row>
    <row r="28" spans="1:9">
      <c r="A28" s="1414" t="s">
        <v>1006</v>
      </c>
      <c r="B28" s="1413" t="s">
        <v>1007</v>
      </c>
      <c r="C28" s="1413"/>
      <c r="D28" s="1413"/>
      <c r="E28" s="3033"/>
      <c r="F28" s="3033"/>
      <c r="G28" s="3033"/>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4"/>
      <c r="F32" s="3024"/>
      <c r="G32" s="3024"/>
    </row>
    <row r="33" spans="1:7" hidden="1">
      <c r="A33" s="3034" t="s">
        <v>1016</v>
      </c>
      <c r="B33" s="3035"/>
      <c r="C33" s="3035"/>
      <c r="D33" s="3036"/>
      <c r="E33" s="3032"/>
      <c r="F33" s="3032"/>
      <c r="G33" s="3032"/>
    </row>
    <row r="34" spans="1:7" hidden="1">
      <c r="A34" s="1416">
        <v>1</v>
      </c>
      <c r="B34" s="1413" t="s">
        <v>1017</v>
      </c>
      <c r="C34" s="1413"/>
      <c r="D34" s="1413"/>
      <c r="E34" s="3033"/>
      <c r="F34" s="3033"/>
      <c r="G34" s="3033"/>
    </row>
    <row r="35" spans="1:7" hidden="1">
      <c r="A35" s="1416">
        <v>2</v>
      </c>
      <c r="B35" s="1413" t="s">
        <v>1018</v>
      </c>
      <c r="C35" s="1413"/>
      <c r="D35" s="1413"/>
      <c r="E35" s="3033"/>
      <c r="F35" s="3033"/>
      <c r="G35" s="3033"/>
    </row>
    <row r="36" spans="1:7" hidden="1">
      <c r="A36" s="1416">
        <v>3</v>
      </c>
      <c r="B36" s="1413" t="s">
        <v>1019</v>
      </c>
      <c r="C36" s="1413"/>
      <c r="D36" s="1413"/>
      <c r="E36" s="3033"/>
      <c r="F36" s="3033"/>
      <c r="G36" s="3033"/>
    </row>
    <row r="37" spans="1:7" hidden="1">
      <c r="A37" s="1416">
        <v>4</v>
      </c>
      <c r="B37" s="1413" t="s">
        <v>1020</v>
      </c>
      <c r="C37" s="1413"/>
      <c r="D37" s="1413"/>
      <c r="E37" s="3033"/>
      <c r="F37" s="3033"/>
      <c r="G37" s="3033"/>
    </row>
    <row r="38" spans="1:7" hidden="1">
      <c r="A38" s="3034" t="s">
        <v>1021</v>
      </c>
      <c r="B38" s="3035"/>
      <c r="C38" s="3035"/>
      <c r="D38" s="3036"/>
      <c r="E38" s="3032"/>
      <c r="F38" s="3032"/>
      <c r="G38" s="303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0" t="s">
        <v>2304</v>
      </c>
      <c r="D4" s="3041"/>
      <c r="E4" s="3041"/>
      <c r="F4" s="3041"/>
      <c r="G4" s="3041"/>
      <c r="H4" s="3041"/>
      <c r="I4" s="3041"/>
      <c r="J4" s="3041"/>
      <c r="K4" s="3041"/>
      <c r="L4" s="3041"/>
      <c r="M4" s="3041"/>
      <c r="N4" s="3041"/>
      <c r="O4" s="3041"/>
      <c r="P4" s="3041"/>
      <c r="Q4" s="3041"/>
      <c r="R4" s="3041"/>
      <c r="S4" s="3042"/>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7" t="s">
        <v>45</v>
      </c>
      <c r="D25" s="3038"/>
      <c r="E25" s="3038"/>
      <c r="F25" s="3038"/>
      <c r="G25" s="3038"/>
      <c r="H25" s="3038"/>
      <c r="I25" s="3038"/>
      <c r="J25" s="3038"/>
      <c r="K25" s="3038"/>
      <c r="L25" s="3038"/>
      <c r="M25" s="3038"/>
      <c r="N25" s="3038"/>
      <c r="O25" s="3038"/>
      <c r="P25" s="3038"/>
      <c r="Q25" s="30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3" zoomScale="90" zoomScaleNormal="90" workbookViewId="0">
      <selection activeCell="E42" sqref="E4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35242</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35242</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46" t="s">
        <v>2338</v>
      </c>
      <c r="D4" s="3047"/>
      <c r="E4" s="3048" t="s">
        <v>2339</v>
      </c>
      <c r="F4" s="3049"/>
      <c r="G4" s="3046" t="s">
        <v>2340</v>
      </c>
      <c r="H4" s="3047"/>
      <c r="I4" s="3046" t="s">
        <v>2341</v>
      </c>
      <c r="J4" s="3047"/>
      <c r="K4" s="2395"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3" t="s">
        <v>2340</v>
      </c>
      <c r="AC4" s="3043" t="s">
        <v>2341</v>
      </c>
    </row>
    <row r="5" spans="1:29" ht="29.25" customHeight="1" thickBot="1">
      <c r="A5" s="383"/>
      <c r="B5" s="384"/>
      <c r="C5" s="3065" t="s">
        <v>2861</v>
      </c>
      <c r="D5" s="3066"/>
      <c r="E5" s="3063" t="s">
        <v>2863</v>
      </c>
      <c r="F5" s="3064"/>
      <c r="G5" s="3065" t="s">
        <v>2863</v>
      </c>
      <c r="H5" s="3066"/>
      <c r="I5" s="3065" t="s">
        <v>2914</v>
      </c>
      <c r="J5" s="3066"/>
      <c r="K5" s="2396"/>
      <c r="L5" s="1242"/>
      <c r="M5" s="1243"/>
      <c r="N5" s="1243"/>
      <c r="O5" s="1243"/>
      <c r="P5" s="3052"/>
      <c r="Q5" s="3053"/>
      <c r="R5" s="3058"/>
      <c r="S5" s="3059"/>
      <c r="T5" s="3058"/>
      <c r="U5" s="3059"/>
      <c r="V5" s="3062"/>
      <c r="W5" s="3062"/>
      <c r="X5" s="1898"/>
      <c r="Y5" s="3058"/>
      <c r="Z5" s="3059"/>
      <c r="AA5" s="3044"/>
      <c r="AB5" s="3044"/>
      <c r="AC5" s="3044"/>
    </row>
    <row r="6" spans="1:29" ht="15.75" hidden="1" thickBot="1">
      <c r="A6" s="385"/>
      <c r="B6" s="386"/>
      <c r="C6" s="3067" t="s">
        <v>2862</v>
      </c>
      <c r="D6" s="3068"/>
      <c r="E6" s="3067" t="s">
        <v>2862</v>
      </c>
      <c r="F6" s="3068"/>
      <c r="G6" s="3067" t="s">
        <v>2862</v>
      </c>
      <c r="H6" s="3068"/>
      <c r="I6" s="3067" t="s">
        <v>2862</v>
      </c>
      <c r="J6" s="3068"/>
      <c r="K6" s="2396"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76" t="s">
        <v>2351</v>
      </c>
      <c r="Q7" s="3078"/>
      <c r="R7" s="749" t="s">
        <v>34</v>
      </c>
      <c r="S7" s="750">
        <f t="shared" ref="S7:S15" si="0">F7</f>
        <v>99</v>
      </c>
      <c r="T7" s="749" t="s">
        <v>34</v>
      </c>
      <c r="U7" s="750">
        <f t="shared" ref="U7:U15" si="1">H7</f>
        <v>99</v>
      </c>
      <c r="V7" s="749" t="s">
        <v>34</v>
      </c>
      <c r="W7" s="750">
        <f t="shared" ref="W7:W15" si="2">J7</f>
        <v>98</v>
      </c>
      <c r="X7" s="751"/>
      <c r="Y7" s="3076" t="s">
        <v>2351</v>
      </c>
      <c r="Z7" s="3077"/>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76" t="s">
        <v>2354</v>
      </c>
      <c r="Q8" s="3077"/>
      <c r="R8" s="749" t="s">
        <v>34</v>
      </c>
      <c r="S8" s="750">
        <f t="shared" si="0"/>
        <v>100</v>
      </c>
      <c r="T8" s="749" t="s">
        <v>34</v>
      </c>
      <c r="U8" s="750">
        <f t="shared" si="1"/>
        <v>100</v>
      </c>
      <c r="V8" s="749" t="s">
        <v>34</v>
      </c>
      <c r="W8" s="750">
        <f t="shared" si="2"/>
        <v>100</v>
      </c>
      <c r="X8" s="751"/>
      <c r="Y8" s="3076" t="s">
        <v>2354</v>
      </c>
      <c r="Z8" s="3077"/>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79"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79"/>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9"/>
      <c r="Q11" s="1885" t="str">
        <f t="shared" si="6"/>
        <v>容积率</v>
      </c>
      <c r="R11" s="749" t="s">
        <v>28</v>
      </c>
      <c r="S11" s="750">
        <f t="shared" si="0"/>
        <v>100</v>
      </c>
      <c r="T11" s="749" t="s">
        <v>28</v>
      </c>
      <c r="U11" s="750">
        <f t="shared" si="1"/>
        <v>100</v>
      </c>
      <c r="V11" s="749" t="s">
        <v>28</v>
      </c>
      <c r="W11" s="750">
        <f t="shared" si="2"/>
        <v>100</v>
      </c>
      <c r="X11" s="751"/>
      <c r="Y11" s="289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9"/>
      <c r="Q12" s="1885">
        <f t="shared" si="6"/>
        <v>111</v>
      </c>
      <c r="R12" s="749" t="s">
        <v>28</v>
      </c>
      <c r="S12" s="750">
        <f t="shared" si="0"/>
        <v>100</v>
      </c>
      <c r="T12" s="749" t="s">
        <v>28</v>
      </c>
      <c r="U12" s="750">
        <f t="shared" si="1"/>
        <v>100</v>
      </c>
      <c r="V12" s="749" t="s">
        <v>28</v>
      </c>
      <c r="W12" s="750">
        <f t="shared" si="2"/>
        <v>100</v>
      </c>
      <c r="X12" s="751"/>
      <c r="Y12" s="289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9"/>
      <c r="Q13" s="1885">
        <f t="shared" si="6"/>
        <v>111</v>
      </c>
      <c r="R13" s="749" t="s">
        <v>28</v>
      </c>
      <c r="S13" s="750">
        <f t="shared" si="0"/>
        <v>100</v>
      </c>
      <c r="T13" s="749" t="s">
        <v>28</v>
      </c>
      <c r="U13" s="750">
        <f t="shared" si="1"/>
        <v>100</v>
      </c>
      <c r="V13" s="749" t="s">
        <v>28</v>
      </c>
      <c r="W13" s="750">
        <f t="shared" si="2"/>
        <v>100</v>
      </c>
      <c r="X13" s="751"/>
      <c r="Y13" s="289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9"/>
      <c r="Q14" s="1885">
        <f t="shared" si="6"/>
        <v>111</v>
      </c>
      <c r="R14" s="749" t="s">
        <v>28</v>
      </c>
      <c r="S14" s="750">
        <f t="shared" si="0"/>
        <v>100</v>
      </c>
      <c r="T14" s="749" t="s">
        <v>28</v>
      </c>
      <c r="U14" s="750">
        <f t="shared" si="1"/>
        <v>100</v>
      </c>
      <c r="V14" s="749" t="s">
        <v>28</v>
      </c>
      <c r="W14" s="750">
        <f t="shared" si="2"/>
        <v>100</v>
      </c>
      <c r="X14" s="751"/>
      <c r="Y14" s="2896"/>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82" t="s">
        <v>2362</v>
      </c>
      <c r="Q15" s="1897" t="str">
        <f t="shared" si="6"/>
        <v>居住社区成熟度</v>
      </c>
      <c r="R15" s="753" t="s">
        <v>28</v>
      </c>
      <c r="S15" s="754">
        <f t="shared" si="0"/>
        <v>100</v>
      </c>
      <c r="T15" s="753" t="s">
        <v>28</v>
      </c>
      <c r="U15" s="754">
        <f t="shared" si="1"/>
        <v>100</v>
      </c>
      <c r="V15" s="753" t="s">
        <v>28</v>
      </c>
      <c r="W15" s="754">
        <f t="shared" si="2"/>
        <v>100</v>
      </c>
      <c r="X15" s="1898"/>
      <c r="Y15" s="3069"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83"/>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83"/>
      <c r="Q17" s="1897" t="str">
        <f>B17</f>
        <v>交通便捷度</v>
      </c>
      <c r="R17" s="753" t="s">
        <v>28</v>
      </c>
      <c r="S17" s="754">
        <f>F17</f>
        <v>100</v>
      </c>
      <c r="T17" s="753" t="s">
        <v>28</v>
      </c>
      <c r="U17" s="754">
        <f>H17</f>
        <v>100</v>
      </c>
      <c r="V17" s="753" t="s">
        <v>28</v>
      </c>
      <c r="W17" s="754">
        <f>J17</f>
        <v>100</v>
      </c>
      <c r="X17" s="1898"/>
      <c r="Y17" s="3070"/>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83"/>
      <c r="Q18" s="1897"/>
      <c r="R18" s="753"/>
      <c r="S18" s="754"/>
      <c r="T18" s="753"/>
      <c r="U18" s="754"/>
      <c r="V18" s="753"/>
      <c r="W18" s="754"/>
      <c r="X18" s="1898"/>
      <c r="Y18" s="3070"/>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83"/>
      <c r="Q19" s="1897" t="str">
        <f>B19</f>
        <v>公共配套设施</v>
      </c>
      <c r="R19" s="753" t="s">
        <v>28</v>
      </c>
      <c r="S19" s="754">
        <f>F19</f>
        <v>100</v>
      </c>
      <c r="T19" s="753" t="s">
        <v>28</v>
      </c>
      <c r="U19" s="754">
        <f>H19</f>
        <v>100</v>
      </c>
      <c r="V19" s="753" t="s">
        <v>28</v>
      </c>
      <c r="W19" s="754">
        <f>J19</f>
        <v>100</v>
      </c>
      <c r="X19" s="1898"/>
      <c r="Y19" s="3070"/>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83"/>
      <c r="Q20" s="1897"/>
      <c r="R20" s="753"/>
      <c r="S20" s="754"/>
      <c r="T20" s="753"/>
      <c r="U20" s="754"/>
      <c r="V20" s="753"/>
      <c r="W20" s="754"/>
      <c r="X20" s="1898"/>
      <c r="Y20" s="3070"/>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83"/>
      <c r="Q21" s="1897" t="str">
        <f>B21</f>
        <v>基础设施水平</v>
      </c>
      <c r="R21" s="753" t="s">
        <v>28</v>
      </c>
      <c r="S21" s="754">
        <f>F21</f>
        <v>100</v>
      </c>
      <c r="T21" s="753" t="s">
        <v>28</v>
      </c>
      <c r="U21" s="754">
        <f>H21</f>
        <v>100</v>
      </c>
      <c r="V21" s="753" t="s">
        <v>28</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83"/>
      <c r="Q22" s="1897"/>
      <c r="R22" s="753"/>
      <c r="S22" s="754"/>
      <c r="T22" s="753"/>
      <c r="U22" s="754"/>
      <c r="V22" s="753"/>
      <c r="W22" s="754"/>
      <c r="X22" s="1898"/>
      <c r="Y22" s="3070"/>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83"/>
      <c r="Q23" s="1897" t="str">
        <f>B23</f>
        <v>自然及人文环境</v>
      </c>
      <c r="R23" s="753" t="s">
        <v>28</v>
      </c>
      <c r="S23" s="754">
        <f>F23</f>
        <v>100</v>
      </c>
      <c r="T23" s="753" t="s">
        <v>28</v>
      </c>
      <c r="U23" s="754">
        <f>H23</f>
        <v>100</v>
      </c>
      <c r="V23" s="753" t="s">
        <v>28</v>
      </c>
      <c r="W23" s="754">
        <f>J23</f>
        <v>100</v>
      </c>
      <c r="X23" s="1898"/>
      <c r="Y23" s="3070"/>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83"/>
      <c r="Q24" s="1897"/>
      <c r="R24" s="753"/>
      <c r="S24" s="754"/>
      <c r="T24" s="753"/>
      <c r="U24" s="754"/>
      <c r="V24" s="753"/>
      <c r="W24" s="754"/>
      <c r="X24" s="1898"/>
      <c r="Y24" s="3070"/>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83"/>
      <c r="Q25" s="1897" t="str">
        <f t="shared" ref="Q25:Q46" si="11">B25</f>
        <v>楼层-1</v>
      </c>
      <c r="R25" s="753" t="s">
        <v>28</v>
      </c>
      <c r="S25" s="754">
        <f>F25</f>
        <v>100</v>
      </c>
      <c r="T25" s="753" t="s">
        <v>28</v>
      </c>
      <c r="U25" s="754">
        <f>H25</f>
        <v>100</v>
      </c>
      <c r="V25" s="753" t="s">
        <v>28</v>
      </c>
      <c r="W25" s="754">
        <f>J25</f>
        <v>100</v>
      </c>
      <c r="X25" s="1898"/>
      <c r="Y25" s="3070"/>
      <c r="Z25" s="1900" t="str">
        <f>Q25</f>
        <v>楼层-1</v>
      </c>
      <c r="AA25" s="1901">
        <f t="shared" si="3"/>
        <v>1</v>
      </c>
      <c r="AB25" s="1901">
        <f t="shared" si="4"/>
        <v>1</v>
      </c>
      <c r="AC25" s="1901">
        <f t="shared" si="5"/>
        <v>1</v>
      </c>
    </row>
    <row r="26" spans="1:29" ht="15">
      <c r="A26" s="408"/>
      <c r="B26" s="402" t="s">
        <v>2364</v>
      </c>
      <c r="C26" s="2780" t="s">
        <v>2919</v>
      </c>
      <c r="D26" s="415">
        <v>100</v>
      </c>
      <c r="E26" s="2410" t="s">
        <v>2879</v>
      </c>
      <c r="F26" s="442">
        <f>SUMIF(88:88,E26,89:89)-SUMIF(88:88,C26,89:89)+100</f>
        <v>98</v>
      </c>
      <c r="G26" s="2411" t="s">
        <v>2881</v>
      </c>
      <c r="H26" s="415">
        <f>SUMIF(88:88,G26,89:89)-SUMIF(88:88,C26,89:89)+100</f>
        <v>98.5</v>
      </c>
      <c r="I26" s="2778" t="s">
        <v>2912</v>
      </c>
      <c r="J26" s="415">
        <f>SUMIF(88:88,I26,89:89)-SUMIF(88:88,C26,89:89)+100</f>
        <v>102</v>
      </c>
      <c r="K26" s="406">
        <v>0.5</v>
      </c>
      <c r="L26" s="1252"/>
      <c r="M26" s="1243"/>
      <c r="N26" s="1243"/>
      <c r="O26" s="1243"/>
      <c r="P26" s="3083"/>
      <c r="Q26" s="1897" t="str">
        <f t="shared" si="11"/>
        <v>朝向</v>
      </c>
      <c r="R26" s="753" t="s">
        <v>28</v>
      </c>
      <c r="S26" s="754">
        <f>F26</f>
        <v>98</v>
      </c>
      <c r="T26" s="753" t="s">
        <v>28</v>
      </c>
      <c r="U26" s="754">
        <f>H26</f>
        <v>98.5</v>
      </c>
      <c r="V26" s="753" t="s">
        <v>28</v>
      </c>
      <c r="W26" s="754">
        <f>J26</f>
        <v>102</v>
      </c>
      <c r="X26" s="1898"/>
      <c r="Y26" s="3070"/>
      <c r="Z26" s="1900" t="str">
        <f>Q26</f>
        <v>朝向</v>
      </c>
      <c r="AA26" s="1901">
        <f t="shared" si="3"/>
        <v>1.0204081632653061</v>
      </c>
      <c r="AB26" s="1901">
        <f t="shared" si="4"/>
        <v>1.015228426395939</v>
      </c>
      <c r="AC26" s="1901">
        <f t="shared" si="5"/>
        <v>0.98039215686274506</v>
      </c>
    </row>
    <row r="27" spans="1:29" s="35" customFormat="1" ht="15">
      <c r="A27" s="411"/>
      <c r="B27" s="2776" t="s">
        <v>2903</v>
      </c>
      <c r="C27" s="2411" t="s">
        <v>2869</v>
      </c>
      <c r="D27" s="443">
        <v>100</v>
      </c>
      <c r="E27" s="2411" t="s">
        <v>2902</v>
      </c>
      <c r="F27" s="445">
        <f>SUMIF(90:90,E27,91:91)-SUMIF(90:90,C27,91:91)+100</f>
        <v>99</v>
      </c>
      <c r="G27" s="2769" t="s">
        <v>2904</v>
      </c>
      <c r="H27" s="443">
        <f>SUMIF(90:90,G27,91:91)-SUMIF(90:90,C27,91:91)+100</f>
        <v>101</v>
      </c>
      <c r="I27" s="2769" t="s">
        <v>2913</v>
      </c>
      <c r="J27" s="443">
        <f>SUMIF(90:90,I27,91:91)-SUMIF(90:90,C27,91:91)+100</f>
        <v>100</v>
      </c>
      <c r="K27" s="2400"/>
      <c r="L27" s="1244"/>
      <c r="M27" s="1245"/>
      <c r="N27" s="1245"/>
      <c r="O27" s="1245"/>
      <c r="P27" s="3083"/>
      <c r="Q27" s="1885" t="str">
        <f t="shared" si="11"/>
        <v>楼层</v>
      </c>
      <c r="R27" s="749" t="s">
        <v>28</v>
      </c>
      <c r="S27" s="750">
        <f>F27</f>
        <v>99</v>
      </c>
      <c r="T27" s="749" t="s">
        <v>28</v>
      </c>
      <c r="U27" s="750">
        <f>H27</f>
        <v>101</v>
      </c>
      <c r="V27" s="749" t="s">
        <v>28</v>
      </c>
      <c r="W27" s="750">
        <f>J27</f>
        <v>100</v>
      </c>
      <c r="X27" s="751"/>
      <c r="Y27" s="3070"/>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83"/>
      <c r="Q28" s="1897">
        <f t="shared" si="11"/>
        <v>0</v>
      </c>
      <c r="R28" s="753" t="s">
        <v>28</v>
      </c>
      <c r="S28" s="754">
        <f t="shared" ref="S28:S46" si="12">F28</f>
        <v>100</v>
      </c>
      <c r="T28" s="753" t="s">
        <v>28</v>
      </c>
      <c r="U28" s="754">
        <f t="shared" ref="U28:U46" si="13">H28</f>
        <v>100</v>
      </c>
      <c r="V28" s="753" t="s">
        <v>28</v>
      </c>
      <c r="W28" s="754">
        <f t="shared" ref="W28:W46" si="14">J28</f>
        <v>100</v>
      </c>
      <c r="X28" s="1898"/>
      <c r="Y28" s="3070"/>
      <c r="Z28" s="1900">
        <f t="shared" ref="Z28:Z46" si="15">Q28</f>
        <v>0</v>
      </c>
      <c r="AA28" s="1901">
        <f t="shared" si="3"/>
        <v>1</v>
      </c>
      <c r="AB28" s="1901">
        <f t="shared" si="4"/>
        <v>1</v>
      </c>
      <c r="AC28" s="1901">
        <f t="shared" si="5"/>
        <v>1</v>
      </c>
    </row>
    <row r="29" spans="1:29" ht="15.75" thickBot="1">
      <c r="A29" s="408"/>
      <c r="B29" s="2399" t="s">
        <v>2365</v>
      </c>
      <c r="C29" s="2769" t="s">
        <v>2882</v>
      </c>
      <c r="D29" s="415">
        <v>100</v>
      </c>
      <c r="E29" s="2769" t="s">
        <v>2882</v>
      </c>
      <c r="F29" s="442">
        <f>SUMIF(94:94,E29,95:95)-SUMIF(94:94,C29,95:95)+100</f>
        <v>100</v>
      </c>
      <c r="G29" s="2769" t="s">
        <v>2882</v>
      </c>
      <c r="H29" s="415">
        <f>SUMIF(94:94,G29,95:95)-SUMIF(94:94,C29,95:95)+100</f>
        <v>100</v>
      </c>
      <c r="I29" s="2769" t="s">
        <v>2920</v>
      </c>
      <c r="J29" s="415">
        <f>SUMIF(94:94,I29,95:95)-SUMIF(94:94,C29,95:95)+100</f>
        <v>100</v>
      </c>
      <c r="K29" s="2400"/>
      <c r="L29" s="1252"/>
      <c r="M29" s="1243"/>
      <c r="N29" s="1243"/>
      <c r="O29" s="1243"/>
      <c r="P29" s="3083"/>
      <c r="Q29" s="1897" t="str">
        <f t="shared" si="11"/>
        <v>道路级别</v>
      </c>
      <c r="R29" s="753" t="s">
        <v>28</v>
      </c>
      <c r="S29" s="754">
        <f t="shared" si="12"/>
        <v>100</v>
      </c>
      <c r="T29" s="753" t="s">
        <v>28</v>
      </c>
      <c r="U29" s="754">
        <f t="shared" si="13"/>
        <v>100</v>
      </c>
      <c r="V29" s="753" t="s">
        <v>28</v>
      </c>
      <c r="W29" s="754">
        <f t="shared" si="14"/>
        <v>100</v>
      </c>
      <c r="X29" s="1898"/>
      <c r="Y29" s="3070"/>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83"/>
      <c r="Q30" s="1897">
        <f t="shared" si="11"/>
        <v>111</v>
      </c>
      <c r="R30" s="753" t="s">
        <v>28</v>
      </c>
      <c r="S30" s="754">
        <f t="shared" si="12"/>
        <v>100</v>
      </c>
      <c r="T30" s="753" t="s">
        <v>28</v>
      </c>
      <c r="U30" s="754">
        <f t="shared" si="13"/>
        <v>100</v>
      </c>
      <c r="V30" s="753" t="s">
        <v>28</v>
      </c>
      <c r="W30" s="754">
        <f t="shared" si="14"/>
        <v>100</v>
      </c>
      <c r="X30" s="1898"/>
      <c r="Y30" s="3070"/>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83"/>
      <c r="Q31" s="1897">
        <f t="shared" si="11"/>
        <v>111</v>
      </c>
      <c r="R31" s="753" t="s">
        <v>28</v>
      </c>
      <c r="S31" s="754">
        <f t="shared" si="12"/>
        <v>100</v>
      </c>
      <c r="T31" s="753" t="s">
        <v>28</v>
      </c>
      <c r="U31" s="754">
        <f t="shared" si="13"/>
        <v>100</v>
      </c>
      <c r="V31" s="753" t="s">
        <v>28</v>
      </c>
      <c r="W31" s="754">
        <f t="shared" si="14"/>
        <v>100</v>
      </c>
      <c r="X31" s="1898"/>
      <c r="Y31" s="3070"/>
      <c r="Z31" s="1900">
        <f t="shared" si="15"/>
        <v>111</v>
      </c>
      <c r="AA31" s="1901">
        <f t="shared" si="3"/>
        <v>1</v>
      </c>
      <c r="AB31" s="1901">
        <f t="shared" si="4"/>
        <v>1</v>
      </c>
      <c r="AC31" s="1901">
        <f t="shared" si="5"/>
        <v>1</v>
      </c>
    </row>
    <row r="32" spans="1:29" ht="15">
      <c r="A32" s="419" t="s">
        <v>2366</v>
      </c>
      <c r="B32" s="28" t="s">
        <v>2367</v>
      </c>
      <c r="C32" s="2413" t="s">
        <v>2905</v>
      </c>
      <c r="D32" s="448">
        <v>100</v>
      </c>
      <c r="E32" s="2414" t="s">
        <v>2905</v>
      </c>
      <c r="F32" s="442">
        <f>SUMIF(100:100,E32,101:101)-SUMIF(100:100,C32,101:101)+100</f>
        <v>100</v>
      </c>
      <c r="G32" s="2413" t="s">
        <v>2905</v>
      </c>
      <c r="H32" s="448">
        <f>SUMIF(100:100,G32,101:101)-SUMIF(100:100,C32,101:101)+100</f>
        <v>100</v>
      </c>
      <c r="I32" s="2414" t="s">
        <v>2905</v>
      </c>
      <c r="J32" s="415">
        <f>SUMIF(100:100,I32,101:101)-SUMIF(100:100,C32,101:101)+100</f>
        <v>100</v>
      </c>
      <c r="K32" s="406"/>
      <c r="L32" s="1252"/>
      <c r="M32" s="1243"/>
      <c r="N32" s="1243"/>
      <c r="O32" s="1243"/>
      <c r="P32" s="3071" t="s">
        <v>2368</v>
      </c>
      <c r="Q32" s="1897" t="str">
        <f t="shared" si="11"/>
        <v>建筑类型</v>
      </c>
      <c r="R32" s="753" t="s">
        <v>28</v>
      </c>
      <c r="S32" s="754">
        <f t="shared" si="12"/>
        <v>100</v>
      </c>
      <c r="T32" s="753" t="s">
        <v>28</v>
      </c>
      <c r="U32" s="754">
        <f t="shared" si="13"/>
        <v>100</v>
      </c>
      <c r="V32" s="753" t="s">
        <v>28</v>
      </c>
      <c r="W32" s="754">
        <f t="shared" si="14"/>
        <v>100</v>
      </c>
      <c r="X32" s="1898"/>
      <c r="Y32" s="3074" t="s">
        <v>2368</v>
      </c>
      <c r="Z32" s="1900" t="str">
        <f t="shared" si="15"/>
        <v>建筑类型</v>
      </c>
      <c r="AA32" s="1901">
        <f t="shared" si="3"/>
        <v>1</v>
      </c>
      <c r="AB32" s="1901">
        <f t="shared" si="4"/>
        <v>1</v>
      </c>
      <c r="AC32" s="1901">
        <f t="shared" si="5"/>
        <v>1</v>
      </c>
    </row>
    <row r="33" spans="1:29" s="452" customFormat="1" ht="15">
      <c r="A33" s="449"/>
      <c r="B33" s="402" t="s">
        <v>2369</v>
      </c>
      <c r="C33" s="2779">
        <f>项目基本情况!C12</f>
        <v>1</v>
      </c>
      <c r="D33" s="52">
        <v>100</v>
      </c>
      <c r="E33" s="410">
        <v>54.88</v>
      </c>
      <c r="F33" s="405">
        <f>LOOKUP(E33,103:103,104:104)-LOOKUP(C33,103:103,104:104)+100</f>
        <v>99</v>
      </c>
      <c r="G33" s="409">
        <v>59.21</v>
      </c>
      <c r="H33" s="52">
        <f>LOOKUP(G33,103:103,104:104)-LOOKUP(C33,103:103,104:104)+100</f>
        <v>99</v>
      </c>
      <c r="I33" s="410">
        <v>125.51</v>
      </c>
      <c r="J33" s="52">
        <f>LOOKUP(I33,103:103,104:104)-LOOKUP(C33,103:103,104:104)+100</f>
        <v>98</v>
      </c>
      <c r="K33" s="2400"/>
      <c r="L33" s="1250"/>
      <c r="M33" s="1253"/>
      <c r="N33" s="1253"/>
      <c r="O33" s="1253"/>
      <c r="P33" s="3072"/>
      <c r="Q33" s="755" t="str">
        <f t="shared" si="11"/>
        <v>项目建筑规模</v>
      </c>
      <c r="R33" s="756" t="s">
        <v>28</v>
      </c>
      <c r="S33" s="757">
        <f t="shared" si="12"/>
        <v>99</v>
      </c>
      <c r="T33" s="756" t="s">
        <v>28</v>
      </c>
      <c r="U33" s="757">
        <f t="shared" si="13"/>
        <v>99</v>
      </c>
      <c r="V33" s="756" t="s">
        <v>28</v>
      </c>
      <c r="W33" s="757">
        <f t="shared" si="14"/>
        <v>98</v>
      </c>
      <c r="X33" s="758"/>
      <c r="Y33" s="3074"/>
      <c r="Z33" s="759" t="str">
        <f t="shared" si="15"/>
        <v>项目建筑规模</v>
      </c>
      <c r="AA33" s="1901">
        <f t="shared" si="3"/>
        <v>1.0101010101010102</v>
      </c>
      <c r="AB33" s="1901">
        <f t="shared" si="4"/>
        <v>1.0101010101010102</v>
      </c>
      <c r="AC33" s="1901">
        <f t="shared" si="5"/>
        <v>1.0204081632653061</v>
      </c>
    </row>
    <row r="34" spans="1:29" ht="15">
      <c r="A34" s="453"/>
      <c r="B34" s="402" t="s">
        <v>2370</v>
      </c>
      <c r="C34" s="2415" t="s">
        <v>2898</v>
      </c>
      <c r="D34" s="415">
        <v>100</v>
      </c>
      <c r="E34" s="2415" t="s">
        <v>2898</v>
      </c>
      <c r="F34" s="442">
        <f>SUMIF(105:105,E34,106:106)-SUMIF(105:105,C34,106:106)+100</f>
        <v>100</v>
      </c>
      <c r="G34" s="2415" t="s">
        <v>2898</v>
      </c>
      <c r="H34" s="415">
        <f>SUMIF(105:105,G34,106:106)-SUMIF(105:105,C34,106:106)+100</f>
        <v>100</v>
      </c>
      <c r="I34" s="2415" t="s">
        <v>2898</v>
      </c>
      <c r="J34" s="415">
        <f>SUMIF(105:105,I34,106:106)-SUMIF(105:105,C34,106:106)+100</f>
        <v>100</v>
      </c>
      <c r="K34" s="406"/>
      <c r="L34" s="1252"/>
      <c r="M34" s="1243"/>
      <c r="N34" s="1243"/>
      <c r="O34" s="1243"/>
      <c r="P34" s="3072"/>
      <c r="Q34" s="1897" t="str">
        <f t="shared" si="11"/>
        <v>建筑结构</v>
      </c>
      <c r="R34" s="753" t="s">
        <v>28</v>
      </c>
      <c r="S34" s="754">
        <f t="shared" si="12"/>
        <v>100</v>
      </c>
      <c r="T34" s="753" t="s">
        <v>28</v>
      </c>
      <c r="U34" s="754">
        <f t="shared" si="13"/>
        <v>100</v>
      </c>
      <c r="V34" s="753" t="s">
        <v>28</v>
      </c>
      <c r="W34" s="754">
        <f t="shared" si="14"/>
        <v>100</v>
      </c>
      <c r="X34" s="1898"/>
      <c r="Y34" s="3074"/>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72"/>
      <c r="Q35" s="1897" t="str">
        <f t="shared" si="11"/>
        <v>建筑品质</v>
      </c>
      <c r="R35" s="753" t="s">
        <v>28</v>
      </c>
      <c r="S35" s="754">
        <f t="shared" si="12"/>
        <v>100</v>
      </c>
      <c r="T35" s="753" t="s">
        <v>28</v>
      </c>
      <c r="U35" s="754">
        <f t="shared" si="13"/>
        <v>100</v>
      </c>
      <c r="V35" s="753" t="s">
        <v>28</v>
      </c>
      <c r="W35" s="754">
        <f t="shared" si="14"/>
        <v>100</v>
      </c>
      <c r="X35" s="1898"/>
      <c r="Y35" s="3074"/>
      <c r="Z35" s="1900" t="str">
        <f t="shared" si="15"/>
        <v>建筑品质</v>
      </c>
      <c r="AA35" s="1901">
        <f t="shared" si="3"/>
        <v>1</v>
      </c>
      <c r="AB35" s="1901">
        <f t="shared" si="4"/>
        <v>1</v>
      </c>
      <c r="AC35" s="1901">
        <f t="shared" si="5"/>
        <v>1</v>
      </c>
    </row>
    <row r="36" spans="1:29" ht="15">
      <c r="A36" s="453"/>
      <c r="B36" s="402" t="s">
        <v>2372</v>
      </c>
      <c r="C36" s="2411" t="s">
        <v>2899</v>
      </c>
      <c r="D36" s="415">
        <v>100</v>
      </c>
      <c r="E36" s="2411" t="s">
        <v>2899</v>
      </c>
      <c r="F36" s="442">
        <f>SUMIF(109:109,E36,110:110)-SUMIF(109:109,C36,110:110)+100</f>
        <v>100</v>
      </c>
      <c r="G36" s="2411" t="s">
        <v>2899</v>
      </c>
      <c r="H36" s="415">
        <f>SUMIF(109:109,G36,110:110)-SUMIF(109:109,C36,110:110)+100</f>
        <v>100</v>
      </c>
      <c r="I36" s="2411" t="s">
        <v>2899</v>
      </c>
      <c r="J36" s="415">
        <f>SUMIF(109:109,I36,110:110)-SUMIF(109:109,C36,110:110)+100</f>
        <v>100</v>
      </c>
      <c r="K36" s="406"/>
      <c r="L36" s="1252"/>
      <c r="M36" s="1243"/>
      <c r="N36" s="1243"/>
      <c r="O36" s="1243"/>
      <c r="P36" s="3072"/>
      <c r="Q36" s="1897" t="str">
        <f t="shared" si="11"/>
        <v>公共部分装修</v>
      </c>
      <c r="R36" s="753" t="s">
        <v>28</v>
      </c>
      <c r="S36" s="754">
        <f t="shared" si="12"/>
        <v>100</v>
      </c>
      <c r="T36" s="753" t="s">
        <v>28</v>
      </c>
      <c r="U36" s="754">
        <f t="shared" si="13"/>
        <v>100</v>
      </c>
      <c r="V36" s="753" t="s">
        <v>28</v>
      </c>
      <c r="W36" s="754">
        <f t="shared" si="14"/>
        <v>100</v>
      </c>
      <c r="X36" s="1898"/>
      <c r="Y36" s="3074"/>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72"/>
      <c r="Q37" s="1885" t="str">
        <f t="shared" si="11"/>
        <v>成新度</v>
      </c>
      <c r="R37" s="749" t="s">
        <v>28</v>
      </c>
      <c r="S37" s="750">
        <f t="shared" si="12"/>
        <v>100</v>
      </c>
      <c r="T37" s="749" t="s">
        <v>28</v>
      </c>
      <c r="U37" s="750">
        <f t="shared" si="13"/>
        <v>100</v>
      </c>
      <c r="V37" s="749" t="s">
        <v>28</v>
      </c>
      <c r="W37" s="750">
        <f t="shared" si="14"/>
        <v>100</v>
      </c>
      <c r="X37" s="751"/>
      <c r="Y37" s="3074"/>
      <c r="Z37" s="23" t="str">
        <f t="shared" si="15"/>
        <v>成新度</v>
      </c>
      <c r="AA37" s="752">
        <f t="shared" si="3"/>
        <v>1</v>
      </c>
      <c r="AB37" s="752">
        <f t="shared" si="4"/>
        <v>1</v>
      </c>
      <c r="AC37" s="752">
        <f t="shared" si="5"/>
        <v>1</v>
      </c>
    </row>
    <row r="38" spans="1:29" ht="15">
      <c r="A38" s="453"/>
      <c r="B38" s="402" t="s">
        <v>2374</v>
      </c>
      <c r="C38" s="2411" t="s">
        <v>2900</v>
      </c>
      <c r="D38" s="415">
        <v>100</v>
      </c>
      <c r="E38" s="2410" t="s">
        <v>2900</v>
      </c>
      <c r="F38" s="442">
        <f>SUMIF(114:114,E38,115:115)-SUMIF(114:114,C38,115:115)+100</f>
        <v>100</v>
      </c>
      <c r="G38" s="2411" t="s">
        <v>2900</v>
      </c>
      <c r="H38" s="415">
        <f>SUMIF(114:114,G38,115:115)-SUMIF(114:114,C38,115:115)+100</f>
        <v>100</v>
      </c>
      <c r="I38" s="2410" t="s">
        <v>2900</v>
      </c>
      <c r="J38" s="415">
        <f>SUMIF(114:114,I38,115:115)-SUMIF(114:114,C38,115:115)+100</f>
        <v>100</v>
      </c>
      <c r="K38" s="406"/>
      <c r="L38" s="1252"/>
      <c r="M38" s="1243"/>
      <c r="N38" s="1243"/>
      <c r="O38" s="1243"/>
      <c r="P38" s="3072" t="s">
        <v>2368</v>
      </c>
      <c r="Q38" s="1897" t="str">
        <f t="shared" si="11"/>
        <v>物业管理</v>
      </c>
      <c r="R38" s="753" t="s">
        <v>28</v>
      </c>
      <c r="S38" s="754">
        <f t="shared" si="12"/>
        <v>100</v>
      </c>
      <c r="T38" s="753" t="s">
        <v>28</v>
      </c>
      <c r="U38" s="754">
        <f t="shared" si="13"/>
        <v>100</v>
      </c>
      <c r="V38" s="753" t="s">
        <v>28</v>
      </c>
      <c r="W38" s="754">
        <f t="shared" si="14"/>
        <v>100</v>
      </c>
      <c r="X38" s="1898"/>
      <c r="Y38" s="3074" t="s">
        <v>2368</v>
      </c>
      <c r="Z38" s="1900" t="str">
        <f t="shared" si="15"/>
        <v>物业管理</v>
      </c>
      <c r="AA38" s="1901">
        <f t="shared" si="3"/>
        <v>1</v>
      </c>
      <c r="AB38" s="1901">
        <f t="shared" si="4"/>
        <v>1</v>
      </c>
      <c r="AC38" s="1901">
        <f t="shared" si="5"/>
        <v>1</v>
      </c>
    </row>
    <row r="39" spans="1:29" ht="15">
      <c r="A39" s="453"/>
      <c r="B39" s="402" t="s">
        <v>2375</v>
      </c>
      <c r="C39" s="2411" t="s">
        <v>2894</v>
      </c>
      <c r="D39" s="415">
        <v>100</v>
      </c>
      <c r="E39" s="2410" t="s">
        <v>2894</v>
      </c>
      <c r="F39" s="442">
        <f>SUMIF(116:116,E39,117:117)-SUMIF(116:116,C39,117:117)+100</f>
        <v>100</v>
      </c>
      <c r="G39" s="2411" t="s">
        <v>2894</v>
      </c>
      <c r="H39" s="415">
        <f>SUMIF(116:116,G39,117:117)-SUMIF(116:116,C39,117:117)+100</f>
        <v>100</v>
      </c>
      <c r="I39" s="2410" t="s">
        <v>2894</v>
      </c>
      <c r="J39" s="415">
        <f>SUMIF(116:116,I39,117:117)-SUMIF(116:116,C39,117:117)+100</f>
        <v>100</v>
      </c>
      <c r="K39" s="406"/>
      <c r="L39" s="1252"/>
      <c r="M39" s="1243"/>
      <c r="N39" s="1243"/>
      <c r="O39" s="1243"/>
      <c r="P39" s="3072"/>
      <c r="Q39" s="1897" t="str">
        <f t="shared" si="11"/>
        <v>市政基础设施</v>
      </c>
      <c r="R39" s="753" t="s">
        <v>28</v>
      </c>
      <c r="S39" s="754">
        <f t="shared" si="12"/>
        <v>100</v>
      </c>
      <c r="T39" s="753" t="s">
        <v>28</v>
      </c>
      <c r="U39" s="754">
        <f t="shared" si="13"/>
        <v>100</v>
      </c>
      <c r="V39" s="753" t="s">
        <v>28</v>
      </c>
      <c r="W39" s="754">
        <f t="shared" si="14"/>
        <v>100</v>
      </c>
      <c r="X39" s="1898"/>
      <c r="Y39" s="3074"/>
      <c r="Z39" s="1900" t="str">
        <f t="shared" si="15"/>
        <v>市政基础设施</v>
      </c>
      <c r="AA39" s="1901">
        <f t="shared" si="3"/>
        <v>1</v>
      </c>
      <c r="AB39" s="1901">
        <f t="shared" si="4"/>
        <v>1</v>
      </c>
      <c r="AC39" s="1901">
        <f t="shared" si="5"/>
        <v>1</v>
      </c>
    </row>
    <row r="40" spans="1:29" ht="15">
      <c r="A40" s="453"/>
      <c r="B40" s="402" t="s">
        <v>2376</v>
      </c>
      <c r="C40" s="2411" t="s">
        <v>2896</v>
      </c>
      <c r="D40" s="415">
        <v>100</v>
      </c>
      <c r="E40" s="2410" t="s">
        <v>2896</v>
      </c>
      <c r="F40" s="442">
        <f>SUMIF(118:118,E40,119:119)-SUMIF(118:118,C40,119:119)+100</f>
        <v>100</v>
      </c>
      <c r="G40" s="2411" t="s">
        <v>2896</v>
      </c>
      <c r="H40" s="415">
        <f>SUMIF(118:118,G40,119:119)-SUMIF(118:118,C40,119:119)+100</f>
        <v>100</v>
      </c>
      <c r="I40" s="2410" t="s">
        <v>2896</v>
      </c>
      <c r="J40" s="415">
        <f>SUMIF(118:118,I40,119:119)-SUMIF(118:118,C40,119:119)+100</f>
        <v>100</v>
      </c>
      <c r="K40" s="406"/>
      <c r="L40" s="1252"/>
      <c r="M40" s="1243"/>
      <c r="N40" s="1243"/>
      <c r="O40" s="1243"/>
      <c r="P40" s="3072"/>
      <c r="Q40" s="1897" t="str">
        <f t="shared" si="11"/>
        <v>房型</v>
      </c>
      <c r="R40" s="753" t="s">
        <v>28</v>
      </c>
      <c r="S40" s="754">
        <f t="shared" si="12"/>
        <v>100</v>
      </c>
      <c r="T40" s="753" t="s">
        <v>28</v>
      </c>
      <c r="U40" s="754">
        <f t="shared" si="13"/>
        <v>100</v>
      </c>
      <c r="V40" s="753" t="s">
        <v>28</v>
      </c>
      <c r="W40" s="754">
        <f t="shared" si="14"/>
        <v>100</v>
      </c>
      <c r="X40" s="1898"/>
      <c r="Y40" s="3074"/>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72"/>
      <c r="Q41" s="755" t="str">
        <f t="shared" si="11"/>
        <v>单套/主力户型建筑面积</v>
      </c>
      <c r="R41" s="756" t="s">
        <v>28</v>
      </c>
      <c r="S41" s="757">
        <f t="shared" si="12"/>
        <v>100</v>
      </c>
      <c r="T41" s="756" t="s">
        <v>28</v>
      </c>
      <c r="U41" s="757">
        <f t="shared" si="13"/>
        <v>100</v>
      </c>
      <c r="V41" s="756" t="s">
        <v>28</v>
      </c>
      <c r="W41" s="757">
        <f t="shared" si="14"/>
        <v>100</v>
      </c>
      <c r="X41" s="758"/>
      <c r="Y41" s="3074"/>
      <c r="Z41" s="759" t="str">
        <f t="shared" si="15"/>
        <v>单套/主力户型建筑面积</v>
      </c>
      <c r="AA41" s="1901">
        <f t="shared" si="3"/>
        <v>1</v>
      </c>
      <c r="AB41" s="1901">
        <f t="shared" si="4"/>
        <v>1</v>
      </c>
      <c r="AC41" s="1901">
        <f t="shared" si="5"/>
        <v>1</v>
      </c>
    </row>
    <row r="42" spans="1:29" ht="15">
      <c r="A42" s="453"/>
      <c r="B42" s="402" t="s">
        <v>2378</v>
      </c>
      <c r="C42" s="2411" t="s">
        <v>2906</v>
      </c>
      <c r="D42" s="415">
        <v>100</v>
      </c>
      <c r="E42" s="2410" t="s">
        <v>2906</v>
      </c>
      <c r="F42" s="442">
        <f>SUMIF(122:122,E42,123:123)-SUMIF(122:122,C42,123:123)+100</f>
        <v>100</v>
      </c>
      <c r="G42" s="2411" t="s">
        <v>2906</v>
      </c>
      <c r="H42" s="415">
        <f>SUMIF(122:122,G42,123:123)-SUMIF(122:122,C42,123:123)+100</f>
        <v>100</v>
      </c>
      <c r="I42" s="2778" t="s">
        <v>2899</v>
      </c>
      <c r="J42" s="415">
        <f>SUMIF(122:122,I42,123:123)-SUMIF(122:122,C42,123:123)+100</f>
        <v>100</v>
      </c>
      <c r="K42" s="406">
        <v>0</v>
      </c>
      <c r="L42" s="1252"/>
      <c r="M42" s="1243"/>
      <c r="N42" s="1243"/>
      <c r="O42" s="1243"/>
      <c r="P42" s="3072"/>
      <c r="Q42" s="1897" t="str">
        <f t="shared" si="11"/>
        <v>内部装修</v>
      </c>
      <c r="R42" s="753" t="s">
        <v>28</v>
      </c>
      <c r="S42" s="754">
        <f t="shared" si="12"/>
        <v>100</v>
      </c>
      <c r="T42" s="753" t="s">
        <v>28</v>
      </c>
      <c r="U42" s="754">
        <f t="shared" si="13"/>
        <v>100</v>
      </c>
      <c r="V42" s="753" t="s">
        <v>28</v>
      </c>
      <c r="W42" s="754">
        <f t="shared" si="14"/>
        <v>100</v>
      </c>
      <c r="X42" s="1898"/>
      <c r="Y42" s="3074"/>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72"/>
      <c r="Q43" s="1897" t="str">
        <f t="shared" si="11"/>
        <v>内部装修维护情况</v>
      </c>
      <c r="R43" s="753" t="s">
        <v>28</v>
      </c>
      <c r="S43" s="754">
        <f t="shared" si="12"/>
        <v>100</v>
      </c>
      <c r="T43" s="753" t="s">
        <v>28</v>
      </c>
      <c r="U43" s="754">
        <f t="shared" si="13"/>
        <v>100</v>
      </c>
      <c r="V43" s="753" t="s">
        <v>28</v>
      </c>
      <c r="W43" s="754">
        <f t="shared" si="14"/>
        <v>100</v>
      </c>
      <c r="X43" s="1898"/>
      <c r="Y43" s="3074"/>
      <c r="Z43" s="1900" t="str">
        <f t="shared" si="15"/>
        <v>内部装修维护情况</v>
      </c>
      <c r="AA43" s="1901">
        <f t="shared" si="3"/>
        <v>1</v>
      </c>
      <c r="AB43" s="1901">
        <f t="shared" si="4"/>
        <v>1</v>
      </c>
      <c r="AC43" s="1901">
        <f t="shared" si="5"/>
        <v>1</v>
      </c>
    </row>
    <row r="44" spans="1:29" s="35" customFormat="1" ht="21" customHeight="1">
      <c r="A44" s="454"/>
      <c r="B44" s="2770" t="s">
        <v>2918</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72"/>
      <c r="Q44" s="1885" t="str">
        <f t="shared" si="11"/>
        <v>建成年代</v>
      </c>
      <c r="R44" s="749" t="s">
        <v>28</v>
      </c>
      <c r="S44" s="750">
        <f t="shared" si="12"/>
        <v>100</v>
      </c>
      <c r="T44" s="749" t="s">
        <v>28</v>
      </c>
      <c r="U44" s="750">
        <f t="shared" si="13"/>
        <v>100</v>
      </c>
      <c r="V44" s="749" t="s">
        <v>28</v>
      </c>
      <c r="W44" s="750">
        <f t="shared" si="14"/>
        <v>99</v>
      </c>
      <c r="X44" s="751"/>
      <c r="Y44" s="3074"/>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72"/>
      <c r="Q45" s="1897">
        <f t="shared" si="11"/>
        <v>111</v>
      </c>
      <c r="R45" s="753" t="s">
        <v>28</v>
      </c>
      <c r="S45" s="754">
        <f t="shared" si="12"/>
        <v>100</v>
      </c>
      <c r="T45" s="753" t="s">
        <v>28</v>
      </c>
      <c r="U45" s="754">
        <f t="shared" si="13"/>
        <v>100</v>
      </c>
      <c r="V45" s="753" t="s">
        <v>28</v>
      </c>
      <c r="W45" s="754">
        <f t="shared" si="14"/>
        <v>100</v>
      </c>
      <c r="X45" s="1898"/>
      <c r="Y45" s="3074"/>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73"/>
      <c r="Q46" s="1897">
        <f t="shared" si="11"/>
        <v>111</v>
      </c>
      <c r="R46" s="753" t="s">
        <v>27</v>
      </c>
      <c r="S46" s="754">
        <f t="shared" si="12"/>
        <v>100</v>
      </c>
      <c r="T46" s="753" t="s">
        <v>27</v>
      </c>
      <c r="U46" s="754">
        <f t="shared" si="13"/>
        <v>100</v>
      </c>
      <c r="V46" s="753" t="s">
        <v>27</v>
      </c>
      <c r="W46" s="754">
        <f t="shared" si="14"/>
        <v>100</v>
      </c>
      <c r="X46" s="1898"/>
      <c r="Y46" s="3075"/>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80" t="str">
        <f>A47</f>
        <v>成交单价（元/平方米）</v>
      </c>
      <c r="Q47" s="3080"/>
      <c r="R47" s="3081">
        <f>E47</f>
        <v>34439</v>
      </c>
      <c r="S47" s="3081"/>
      <c r="T47" s="3081">
        <f>G47</f>
        <v>33272</v>
      </c>
      <c r="U47" s="3081"/>
      <c r="V47" s="3081">
        <f>I47</f>
        <v>34317</v>
      </c>
      <c r="W47" s="3081"/>
      <c r="X47" s="738"/>
      <c r="Y47" s="760"/>
      <c r="Z47" s="738"/>
      <c r="AA47" s="738"/>
      <c r="AB47" s="738"/>
      <c r="AC47" s="738"/>
    </row>
    <row r="48" spans="1:29" ht="15.75" thickBot="1">
      <c r="A48" s="467" t="s">
        <v>2381</v>
      </c>
      <c r="B48" s="468"/>
      <c r="C48" s="1507">
        <f>R49</f>
        <v>35242</v>
      </c>
      <c r="D48" s="1508"/>
      <c r="E48" s="1509">
        <f>R48</f>
        <v>36218</v>
      </c>
      <c r="F48" s="1509"/>
      <c r="G48" s="1507">
        <f>T48</f>
        <v>34123</v>
      </c>
      <c r="H48" s="1508"/>
      <c r="I48" s="1509">
        <f>V48</f>
        <v>35385</v>
      </c>
      <c r="J48" s="1508"/>
      <c r="K48" s="2418"/>
      <c r="L48" s="1255"/>
      <c r="M48" s="1256"/>
      <c r="N48" s="1256"/>
      <c r="O48" s="1256"/>
      <c r="P48" s="3080" t="str">
        <f>A48</f>
        <v>比较价值（元/平方米）</v>
      </c>
      <c r="Q48" s="3080"/>
      <c r="R48" s="3081">
        <f>IF(E1="售价",ROUND(PRODUCT(R47,AA7:AA46),0),ROUND(PRODUCT(R47,AA7:AA46),1))</f>
        <v>36218</v>
      </c>
      <c r="S48" s="3081"/>
      <c r="T48" s="3084">
        <f>IF(E1="售价",ROUND(PRODUCT(T47,AB7:AB46),0),ROUND(PRODUCT(T47,AB7:AB46),1))</f>
        <v>34123</v>
      </c>
      <c r="U48" s="3085"/>
      <c r="V48" s="3081">
        <f>IF(E1="售价",ROUND(PRODUCT(V47,AC7:AC46),0),ROUND(PRODUCT(V47,AC7:AC46),1))</f>
        <v>35385</v>
      </c>
      <c r="W48" s="3081"/>
      <c r="X48" s="738"/>
      <c r="Y48" s="738"/>
      <c r="Z48" s="738"/>
      <c r="AA48" s="738"/>
      <c r="AB48" s="738"/>
      <c r="AC48" s="738"/>
    </row>
    <row r="49" spans="1:29" ht="15.75" thickBot="1">
      <c r="A49" s="473" t="s">
        <v>2382</v>
      </c>
      <c r="B49" s="474"/>
      <c r="C49" s="1510">
        <f>R49</f>
        <v>35242</v>
      </c>
      <c r="D49" s="1511"/>
      <c r="E49" s="1511"/>
      <c r="F49" s="1511"/>
      <c r="G49" s="1511"/>
      <c r="H49" s="1511"/>
      <c r="I49" s="1511"/>
      <c r="J49" s="1511"/>
      <c r="K49" s="2419"/>
      <c r="L49" s="1255"/>
      <c r="M49" s="1256"/>
      <c r="N49" s="1256"/>
      <c r="O49" s="1256"/>
      <c r="P49" s="3086" t="str">
        <f>A49</f>
        <v>估价对象XX用房的比较价值（楼面单价，元/平方米）</v>
      </c>
      <c r="Q49" s="3087"/>
      <c r="R49" s="3088">
        <f>IF(E1="售价",ROUND(AVERAGE(R48:V48),0),ROUND(AVERAGE(R48:V48),1))</f>
        <v>35242</v>
      </c>
      <c r="S49" s="3088"/>
      <c r="T49" s="3088"/>
      <c r="U49" s="3088"/>
      <c r="V49" s="3088"/>
      <c r="W49" s="308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5.1656552164697001E-2</v>
      </c>
      <c r="F52" s="481" t="str">
        <f>IF(OR(E52&gt;=0.3,E52&lt;=-0.3),"超过30%","")</f>
        <v/>
      </c>
      <c r="G52" s="480">
        <f>IF(G47&lt;G48,G48/G47-1,G47/G48-1)</f>
        <v>2.557706179370034E-2</v>
      </c>
      <c r="H52" s="481" t="str">
        <f>IF(OR(G52&gt;=0.3,G52&lt;=-0.3),"超过30%","")</f>
        <v/>
      </c>
      <c r="I52" s="480">
        <f>IF(I47&lt;I48,I48/I47-1,I47/I48-1)</f>
        <v>3.1121601538596E-2</v>
      </c>
      <c r="J52" s="481" t="str">
        <f>IF(OR(I52&gt;=0.3,I52&lt;=-0.3),"超过30%","")</f>
        <v/>
      </c>
      <c r="K52" s="1261"/>
      <c r="L52" s="1257"/>
      <c r="M52" s="1256"/>
      <c r="N52" s="1256"/>
      <c r="O52" s="1256"/>
    </row>
    <row r="53" spans="1:29" ht="13.5" customHeight="1">
      <c r="A53" s="1256"/>
      <c r="B53" s="1256"/>
      <c r="C53" s="478" t="s">
        <v>2384</v>
      </c>
      <c r="D53" s="482"/>
      <c r="E53" s="480">
        <f>IF(E48&lt;G48,G48/E48-1,E48/G48-1)</f>
        <v>6.1395539665328291E-2</v>
      </c>
      <c r="F53" s="481" t="str">
        <f>IF(OR(E53&gt;=0.2,E53&lt;=-0.2),"超过20%","")</f>
        <v/>
      </c>
      <c r="G53" s="480">
        <f>IF(G48&lt;I48,I48/G48-1,G48/I48-1)</f>
        <v>3.6983852533481798E-2</v>
      </c>
      <c r="H53" s="481" t="str">
        <f>IF(OR(G53&gt;=0.2,G53&lt;=-0.2),"超过20%","")</f>
        <v/>
      </c>
      <c r="I53" s="480">
        <f>IF(I48&lt;E48,E48/I48-1,I48/E48-1)</f>
        <v>2.3541048466864556E-2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2880</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2916</v>
      </c>
      <c r="E90" s="2777" t="s">
        <v>2915</v>
      </c>
      <c r="F90" s="2777" t="s">
        <v>2917</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2883</v>
      </c>
      <c r="D100" s="2773" t="s">
        <v>2884</v>
      </c>
      <c r="E100" s="2773" t="s">
        <v>2885</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2886</v>
      </c>
      <c r="D105" s="2774" t="s">
        <v>2887</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2888</v>
      </c>
      <c r="D109" s="2766" t="s">
        <v>2889</v>
      </c>
      <c r="E109" s="2766" t="s">
        <v>2890</v>
      </c>
      <c r="F109" s="2774" t="s">
        <v>2891</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2901</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2892</v>
      </c>
      <c r="D116" s="2772" t="s">
        <v>2893</v>
      </c>
      <c r="E116" s="2772" t="s">
        <v>2895</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2897</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2888</v>
      </c>
      <c r="D122" s="2766" t="s">
        <v>2889</v>
      </c>
      <c r="E122" s="2766" t="s">
        <v>2890</v>
      </c>
      <c r="F122" s="2774" t="s">
        <v>2891</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8" priority="15" stopIfTrue="1" operator="containsText" text="超过">
      <formula>NOT(ISERROR(SEARCH("超过",F52)))</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62"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62"/>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62"/>
      <c r="AC6" s="3045"/>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9"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9"/>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9"/>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9"/>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9"/>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9"/>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82" t="s">
        <v>2362</v>
      </c>
      <c r="Q15" s="1897" t="str">
        <f t="shared" si="6"/>
        <v>商业繁华度</v>
      </c>
      <c r="R15" s="753" t="s">
        <v>25</v>
      </c>
      <c r="S15" s="754">
        <f t="shared" si="0"/>
        <v>100</v>
      </c>
      <c r="T15" s="753" t="s">
        <v>25</v>
      </c>
      <c r="U15" s="754">
        <f t="shared" si="1"/>
        <v>100</v>
      </c>
      <c r="V15" s="753" t="s">
        <v>25</v>
      </c>
      <c r="W15" s="754">
        <f t="shared" si="2"/>
        <v>100</v>
      </c>
      <c r="X15" s="1898"/>
      <c r="Y15" s="3069"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83"/>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83"/>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83"/>
      <c r="Q18" s="1897"/>
      <c r="R18" s="753"/>
      <c r="S18" s="754"/>
      <c r="T18" s="753"/>
      <c r="U18" s="754"/>
      <c r="V18" s="753"/>
      <c r="W18" s="754"/>
      <c r="X18" s="1898"/>
      <c r="Y18" s="3070"/>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83"/>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83"/>
      <c r="Q20" s="1897"/>
      <c r="R20" s="753"/>
      <c r="S20" s="754"/>
      <c r="T20" s="753"/>
      <c r="U20" s="754"/>
      <c r="V20" s="753"/>
      <c r="W20" s="754"/>
      <c r="X20" s="1898"/>
      <c r="Y20" s="3070"/>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83"/>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83"/>
      <c r="Q22" s="1897"/>
      <c r="R22" s="753"/>
      <c r="S22" s="754"/>
      <c r="T22" s="753"/>
      <c r="U22" s="754"/>
      <c r="V22" s="753"/>
      <c r="W22" s="754"/>
      <c r="X22" s="1898"/>
      <c r="Y22" s="3070"/>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83"/>
      <c r="Q23" s="1897" t="str">
        <f>B23</f>
        <v>自然及人文环境</v>
      </c>
      <c r="R23" s="753" t="s">
        <v>25</v>
      </c>
      <c r="S23" s="754">
        <f>F23</f>
        <v>100</v>
      </c>
      <c r="T23" s="753" t="s">
        <v>25</v>
      </c>
      <c r="U23" s="754">
        <f>H23</f>
        <v>100</v>
      </c>
      <c r="V23" s="753" t="s">
        <v>25</v>
      </c>
      <c r="W23" s="754">
        <f>J23</f>
        <v>100</v>
      </c>
      <c r="X23" s="1898"/>
      <c r="Y23" s="3070"/>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83"/>
      <c r="Q24" s="1897"/>
      <c r="R24" s="753"/>
      <c r="S24" s="754"/>
      <c r="T24" s="753"/>
      <c r="U24" s="754"/>
      <c r="V24" s="753"/>
      <c r="W24" s="754"/>
      <c r="X24" s="1898"/>
      <c r="Y24" s="3070"/>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83"/>
      <c r="Q25" s="1897" t="str">
        <f t="shared" ref="Q25:Q46" si="11">B25</f>
        <v>临街状况</v>
      </c>
      <c r="R25" s="753" t="s">
        <v>25</v>
      </c>
      <c r="S25" s="754">
        <f>F25</f>
        <v>100</v>
      </c>
      <c r="T25" s="753" t="s">
        <v>25</v>
      </c>
      <c r="U25" s="754">
        <f>H25</f>
        <v>100</v>
      </c>
      <c r="V25" s="753" t="s">
        <v>25</v>
      </c>
      <c r="W25" s="754">
        <f>J25</f>
        <v>100</v>
      </c>
      <c r="X25" s="1898"/>
      <c r="Y25" s="3070"/>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83"/>
      <c r="Q26" s="1897" t="str">
        <f t="shared" si="11"/>
        <v>平面位置/可视性</v>
      </c>
      <c r="R26" s="753" t="s">
        <v>25</v>
      </c>
      <c r="S26" s="754">
        <f>F26</f>
        <v>100</v>
      </c>
      <c r="T26" s="753" t="s">
        <v>25</v>
      </c>
      <c r="U26" s="754">
        <f>H26</f>
        <v>100</v>
      </c>
      <c r="V26" s="753" t="s">
        <v>25</v>
      </c>
      <c r="W26" s="754">
        <f>J26</f>
        <v>100</v>
      </c>
      <c r="X26" s="1898"/>
      <c r="Y26" s="3070"/>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83"/>
      <c r="Q27" s="1885" t="str">
        <f t="shared" si="11"/>
        <v>人流量</v>
      </c>
      <c r="R27" s="749" t="s">
        <v>25</v>
      </c>
      <c r="S27" s="750">
        <f>F27</f>
        <v>100</v>
      </c>
      <c r="T27" s="749" t="s">
        <v>25</v>
      </c>
      <c r="U27" s="750">
        <f>H27</f>
        <v>100</v>
      </c>
      <c r="V27" s="749" t="s">
        <v>25</v>
      </c>
      <c r="W27" s="750">
        <f>J27</f>
        <v>100</v>
      </c>
      <c r="X27" s="751"/>
      <c r="Y27" s="3070"/>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83"/>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70"/>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83"/>
      <c r="Q29" s="1897">
        <f t="shared" si="11"/>
        <v>111</v>
      </c>
      <c r="R29" s="753" t="s">
        <v>25</v>
      </c>
      <c r="S29" s="754">
        <f t="shared" si="12"/>
        <v>100</v>
      </c>
      <c r="T29" s="753" t="s">
        <v>25</v>
      </c>
      <c r="U29" s="754">
        <f t="shared" si="13"/>
        <v>100</v>
      </c>
      <c r="V29" s="753" t="s">
        <v>25</v>
      </c>
      <c r="W29" s="754">
        <f t="shared" si="14"/>
        <v>100</v>
      </c>
      <c r="X29" s="1898"/>
      <c r="Y29" s="3070"/>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83"/>
      <c r="Q30" s="1897">
        <f t="shared" si="11"/>
        <v>111</v>
      </c>
      <c r="R30" s="753" t="s">
        <v>25</v>
      </c>
      <c r="S30" s="754">
        <f t="shared" si="12"/>
        <v>100</v>
      </c>
      <c r="T30" s="753" t="s">
        <v>25</v>
      </c>
      <c r="U30" s="754">
        <f t="shared" si="13"/>
        <v>100</v>
      </c>
      <c r="V30" s="753" t="s">
        <v>25</v>
      </c>
      <c r="W30" s="754">
        <f t="shared" si="14"/>
        <v>100</v>
      </c>
      <c r="X30" s="1898"/>
      <c r="Y30" s="3070"/>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83"/>
      <c r="Q31" s="1897">
        <f t="shared" si="11"/>
        <v>111</v>
      </c>
      <c r="R31" s="753" t="s">
        <v>25</v>
      </c>
      <c r="S31" s="754">
        <f t="shared" si="12"/>
        <v>100</v>
      </c>
      <c r="T31" s="753" t="s">
        <v>25</v>
      </c>
      <c r="U31" s="754">
        <f t="shared" si="13"/>
        <v>100</v>
      </c>
      <c r="V31" s="753" t="s">
        <v>25</v>
      </c>
      <c r="W31" s="754">
        <f t="shared" si="14"/>
        <v>100</v>
      </c>
      <c r="X31" s="1898"/>
      <c r="Y31" s="3070"/>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71" t="s">
        <v>2368</v>
      </c>
      <c r="Q32" s="1897" t="str">
        <f t="shared" si="11"/>
        <v>商业类型</v>
      </c>
      <c r="R32" s="753" t="s">
        <v>25</v>
      </c>
      <c r="S32" s="754">
        <f t="shared" si="12"/>
        <v>100</v>
      </c>
      <c r="T32" s="753" t="s">
        <v>25</v>
      </c>
      <c r="U32" s="754">
        <f t="shared" si="13"/>
        <v>100</v>
      </c>
      <c r="V32" s="753" t="s">
        <v>25</v>
      </c>
      <c r="W32" s="754">
        <f t="shared" si="14"/>
        <v>100</v>
      </c>
      <c r="X32" s="1898"/>
      <c r="Y32" s="3074"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72"/>
      <c r="Q33" s="755" t="str">
        <f t="shared" si="11"/>
        <v>项目建筑规模</v>
      </c>
      <c r="R33" s="756" t="s">
        <v>25</v>
      </c>
      <c r="S33" s="757" t="e">
        <f t="shared" si="12"/>
        <v>#N/A</v>
      </c>
      <c r="T33" s="756" t="s">
        <v>25</v>
      </c>
      <c r="U33" s="757" t="e">
        <f t="shared" si="13"/>
        <v>#N/A</v>
      </c>
      <c r="V33" s="756" t="s">
        <v>25</v>
      </c>
      <c r="W33" s="757" t="e">
        <f t="shared" si="14"/>
        <v>#N/A</v>
      </c>
      <c r="X33" s="758"/>
      <c r="Y33" s="3074"/>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72"/>
      <c r="Q34" s="1897" t="str">
        <f t="shared" si="11"/>
        <v>建筑结构</v>
      </c>
      <c r="R34" s="753" t="s">
        <v>25</v>
      </c>
      <c r="S34" s="754">
        <f t="shared" si="12"/>
        <v>100</v>
      </c>
      <c r="T34" s="753" t="s">
        <v>25</v>
      </c>
      <c r="U34" s="754">
        <f t="shared" si="13"/>
        <v>100</v>
      </c>
      <c r="V34" s="753" t="s">
        <v>25</v>
      </c>
      <c r="W34" s="754">
        <f t="shared" si="14"/>
        <v>100</v>
      </c>
      <c r="X34" s="1898"/>
      <c r="Y34" s="3074"/>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72"/>
      <c r="Q35" s="1897" t="str">
        <f t="shared" si="11"/>
        <v>公共部分装修</v>
      </c>
      <c r="R35" s="753" t="s">
        <v>25</v>
      </c>
      <c r="S35" s="754">
        <f t="shared" si="12"/>
        <v>100</v>
      </c>
      <c r="T35" s="753" t="s">
        <v>25</v>
      </c>
      <c r="U35" s="754">
        <f t="shared" si="13"/>
        <v>100</v>
      </c>
      <c r="V35" s="753" t="s">
        <v>25</v>
      </c>
      <c r="W35" s="754">
        <f t="shared" si="14"/>
        <v>100</v>
      </c>
      <c r="X35" s="1898"/>
      <c r="Y35" s="3074"/>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72"/>
      <c r="Q36" s="1897" t="str">
        <f t="shared" si="11"/>
        <v>成新度</v>
      </c>
      <c r="R36" s="753" t="s">
        <v>25</v>
      </c>
      <c r="S36" s="754" t="e">
        <f t="shared" si="12"/>
        <v>#N/A</v>
      </c>
      <c r="T36" s="753" t="s">
        <v>25</v>
      </c>
      <c r="U36" s="754" t="e">
        <f t="shared" si="13"/>
        <v>#N/A</v>
      </c>
      <c r="V36" s="753" t="s">
        <v>25</v>
      </c>
      <c r="W36" s="754" t="e">
        <f t="shared" si="14"/>
        <v>#N/A</v>
      </c>
      <c r="X36" s="1898"/>
      <c r="Y36" s="3074"/>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72"/>
      <c r="Q37" s="1885" t="str">
        <f t="shared" si="11"/>
        <v>市政基础设施</v>
      </c>
      <c r="R37" s="749" t="s">
        <v>25</v>
      </c>
      <c r="S37" s="750">
        <f t="shared" si="12"/>
        <v>100</v>
      </c>
      <c r="T37" s="749" t="s">
        <v>25</v>
      </c>
      <c r="U37" s="750">
        <f t="shared" si="13"/>
        <v>100</v>
      </c>
      <c r="V37" s="749" t="s">
        <v>25</v>
      </c>
      <c r="W37" s="750">
        <f t="shared" si="14"/>
        <v>100</v>
      </c>
      <c r="X37" s="751"/>
      <c r="Y37" s="3074"/>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72" t="s">
        <v>2368</v>
      </c>
      <c r="Q38" s="1897" t="str">
        <f t="shared" si="11"/>
        <v>业态</v>
      </c>
      <c r="R38" s="753" t="s">
        <v>25</v>
      </c>
      <c r="S38" s="754">
        <f t="shared" si="12"/>
        <v>100</v>
      </c>
      <c r="T38" s="753" t="s">
        <v>25</v>
      </c>
      <c r="U38" s="754">
        <f t="shared" si="13"/>
        <v>100</v>
      </c>
      <c r="V38" s="753" t="s">
        <v>25</v>
      </c>
      <c r="W38" s="754">
        <f t="shared" si="14"/>
        <v>100</v>
      </c>
      <c r="X38" s="1898"/>
      <c r="Y38" s="3074"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72"/>
      <c r="Q39" s="1897" t="str">
        <f t="shared" si="11"/>
        <v>层高</v>
      </c>
      <c r="R39" s="753" t="s">
        <v>25</v>
      </c>
      <c r="S39" s="754">
        <f t="shared" si="12"/>
        <v>100</v>
      </c>
      <c r="T39" s="753" t="s">
        <v>25</v>
      </c>
      <c r="U39" s="754">
        <f t="shared" si="13"/>
        <v>100</v>
      </c>
      <c r="V39" s="753" t="s">
        <v>25</v>
      </c>
      <c r="W39" s="754">
        <f t="shared" si="14"/>
        <v>100</v>
      </c>
      <c r="X39" s="1898"/>
      <c r="Y39" s="3074"/>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72"/>
      <c r="Q40" s="1897" t="str">
        <f t="shared" si="11"/>
        <v>单套建筑面积</v>
      </c>
      <c r="R40" s="753" t="s">
        <v>25</v>
      </c>
      <c r="S40" s="754">
        <f t="shared" si="12"/>
        <v>100</v>
      </c>
      <c r="T40" s="753" t="s">
        <v>25</v>
      </c>
      <c r="U40" s="754">
        <f t="shared" si="13"/>
        <v>100</v>
      </c>
      <c r="V40" s="753" t="s">
        <v>25</v>
      </c>
      <c r="W40" s="754">
        <f t="shared" si="14"/>
        <v>100</v>
      </c>
      <c r="X40" s="1898"/>
      <c r="Y40" s="3074"/>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72"/>
      <c r="Q41" s="755" t="str">
        <f t="shared" si="11"/>
        <v>进深比</v>
      </c>
      <c r="R41" s="756" t="s">
        <v>25</v>
      </c>
      <c r="S41" s="757">
        <f t="shared" si="12"/>
        <v>100</v>
      </c>
      <c r="T41" s="756" t="s">
        <v>25</v>
      </c>
      <c r="U41" s="757">
        <f t="shared" si="13"/>
        <v>100</v>
      </c>
      <c r="V41" s="756" t="s">
        <v>25</v>
      </c>
      <c r="W41" s="757">
        <f t="shared" si="14"/>
        <v>100</v>
      </c>
      <c r="X41" s="758"/>
      <c r="Y41" s="3074"/>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72"/>
      <c r="Q42" s="1897" t="str">
        <f t="shared" si="11"/>
        <v>内部装修</v>
      </c>
      <c r="R42" s="753" t="s">
        <v>25</v>
      </c>
      <c r="S42" s="754">
        <f t="shared" si="12"/>
        <v>100</v>
      </c>
      <c r="T42" s="753" t="s">
        <v>25</v>
      </c>
      <c r="U42" s="754">
        <f t="shared" si="13"/>
        <v>100</v>
      </c>
      <c r="V42" s="753" t="s">
        <v>25</v>
      </c>
      <c r="W42" s="754">
        <f t="shared" si="14"/>
        <v>100</v>
      </c>
      <c r="X42" s="1898"/>
      <c r="Y42" s="3074"/>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72"/>
      <c r="Q43" s="1897" t="str">
        <f t="shared" si="11"/>
        <v>内部装修维护情况</v>
      </c>
      <c r="R43" s="753" t="s">
        <v>25</v>
      </c>
      <c r="S43" s="754">
        <f t="shared" si="12"/>
        <v>100</v>
      </c>
      <c r="T43" s="753" t="s">
        <v>25</v>
      </c>
      <c r="U43" s="754">
        <f t="shared" si="13"/>
        <v>100</v>
      </c>
      <c r="V43" s="753" t="s">
        <v>25</v>
      </c>
      <c r="W43" s="754">
        <f t="shared" si="14"/>
        <v>100</v>
      </c>
      <c r="X43" s="1898"/>
      <c r="Y43" s="3074"/>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72"/>
      <c r="Q44" s="1885">
        <f t="shared" si="11"/>
        <v>111</v>
      </c>
      <c r="R44" s="749" t="s">
        <v>25</v>
      </c>
      <c r="S44" s="750">
        <f t="shared" si="12"/>
        <v>100</v>
      </c>
      <c r="T44" s="749" t="s">
        <v>25</v>
      </c>
      <c r="U44" s="750">
        <f t="shared" si="13"/>
        <v>100</v>
      </c>
      <c r="V44" s="749" t="s">
        <v>25</v>
      </c>
      <c r="W44" s="750">
        <f t="shared" si="14"/>
        <v>100</v>
      </c>
      <c r="X44" s="751"/>
      <c r="Y44" s="3074"/>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72"/>
      <c r="Q45" s="1897">
        <f t="shared" si="11"/>
        <v>111</v>
      </c>
      <c r="R45" s="753" t="s">
        <v>25</v>
      </c>
      <c r="S45" s="754">
        <f t="shared" si="12"/>
        <v>100</v>
      </c>
      <c r="T45" s="753" t="s">
        <v>25</v>
      </c>
      <c r="U45" s="754">
        <f t="shared" si="13"/>
        <v>100</v>
      </c>
      <c r="V45" s="753" t="s">
        <v>25</v>
      </c>
      <c r="W45" s="754">
        <f t="shared" si="14"/>
        <v>100</v>
      </c>
      <c r="X45" s="1898"/>
      <c r="Y45" s="3074"/>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73"/>
      <c r="Q46" s="1897">
        <f t="shared" si="11"/>
        <v>111</v>
      </c>
      <c r="R46" s="753" t="s">
        <v>25</v>
      </c>
      <c r="S46" s="754">
        <f t="shared" si="12"/>
        <v>100</v>
      </c>
      <c r="T46" s="753" t="s">
        <v>25</v>
      </c>
      <c r="U46" s="754">
        <f t="shared" si="13"/>
        <v>100</v>
      </c>
      <c r="V46" s="753" t="s">
        <v>25</v>
      </c>
      <c r="W46" s="754">
        <f t="shared" si="14"/>
        <v>100</v>
      </c>
      <c r="X46" s="1898"/>
      <c r="Y46" s="3075"/>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80" t="str">
        <f>A47</f>
        <v>成交单价（元/平方米）</v>
      </c>
      <c r="Q47" s="3080"/>
      <c r="R47" s="3081">
        <f>E47</f>
        <v>0</v>
      </c>
      <c r="S47" s="3081"/>
      <c r="T47" s="3081">
        <f>G47</f>
        <v>0</v>
      </c>
      <c r="U47" s="3081"/>
      <c r="V47" s="3081">
        <f>I47</f>
        <v>0</v>
      </c>
      <c r="W47" s="3081"/>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80" t="str">
        <f>A48</f>
        <v>比较价值（元/平方米）</v>
      </c>
      <c r="Q48" s="3080"/>
      <c r="R48" s="3081" t="e">
        <f>IF(E1="售价",ROUND(PRODUCT(R47,AA7:AA46),0),ROUND(PRODUCT(R47,AA7:AA46),1))</f>
        <v>#DIV/0!</v>
      </c>
      <c r="S48" s="3081"/>
      <c r="T48" s="3081" t="e">
        <f>IF(E1="售价",ROUND(PRODUCT(T47,AB7:AB46),0),ROUND(PRODUCT(T47,AB7:AB46),1))</f>
        <v>#DIV/0!</v>
      </c>
      <c r="U48" s="3081"/>
      <c r="V48" s="3081" t="e">
        <f>IF(E1="售价",ROUND(PRODUCT(V47,AC7:AC46),0),ROUND(PRODUCT(V47,AC7:AC46),1))</f>
        <v>#DIV/0!</v>
      </c>
      <c r="W48" s="3081"/>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86" t="str">
        <f>A49</f>
        <v>估价对象XX用房的比较价值（楼面单价，元/平方米）</v>
      </c>
      <c r="Q49" s="3087"/>
      <c r="R49" s="3088" t="e">
        <f>IF(E1="售价",ROUND(AVERAGE(R48:V48),0),ROUND(AVERAGE(R48:V48),1))</f>
        <v>#DIV/0!</v>
      </c>
      <c r="S49" s="3088"/>
      <c r="T49" s="3088"/>
      <c r="U49" s="3088"/>
      <c r="V49" s="3088"/>
      <c r="W49" s="308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94" t="s">
        <v>2343</v>
      </c>
      <c r="Q4" s="3051"/>
      <c r="R4" s="3056" t="s">
        <v>2339</v>
      </c>
      <c r="S4" s="3057"/>
      <c r="T4" s="3056" t="s">
        <v>2340</v>
      </c>
      <c r="U4" s="3057"/>
      <c r="V4" s="3062" t="s">
        <v>2341</v>
      </c>
      <c r="W4" s="3062"/>
      <c r="X4" s="1898"/>
      <c r="Y4" s="3056" t="s">
        <v>2343</v>
      </c>
      <c r="Z4" s="3057"/>
      <c r="AA4" s="3043" t="s">
        <v>2339</v>
      </c>
      <c r="AB4" s="3043"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95"/>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96"/>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8"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8" t="s">
        <v>2354</v>
      </c>
      <c r="Q8" s="3077"/>
      <c r="R8" s="749" t="s">
        <v>25</v>
      </c>
      <c r="S8" s="750">
        <f t="shared" si="0"/>
        <v>0</v>
      </c>
      <c r="T8" s="749" t="s">
        <v>25</v>
      </c>
      <c r="U8" s="750">
        <f t="shared" si="1"/>
        <v>0</v>
      </c>
      <c r="V8" s="749" t="s">
        <v>25</v>
      </c>
      <c r="W8" s="750">
        <f t="shared" si="2"/>
        <v>0</v>
      </c>
      <c r="X8" s="751"/>
      <c r="Y8" s="3076" t="s">
        <v>2354</v>
      </c>
      <c r="Z8" s="3077"/>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87"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87"/>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87"/>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87"/>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87"/>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87"/>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1" t="s">
        <v>2362</v>
      </c>
      <c r="Q15" s="1897" t="str">
        <f t="shared" si="6"/>
        <v>办公集聚程度</v>
      </c>
      <c r="R15" s="753" t="s">
        <v>25</v>
      </c>
      <c r="S15" s="754">
        <f t="shared" si="0"/>
        <v>100</v>
      </c>
      <c r="T15" s="753" t="s">
        <v>25</v>
      </c>
      <c r="U15" s="754">
        <f t="shared" si="1"/>
        <v>100</v>
      </c>
      <c r="V15" s="753" t="s">
        <v>25</v>
      </c>
      <c r="W15" s="754">
        <f t="shared" si="2"/>
        <v>100</v>
      </c>
      <c r="X15" s="1898"/>
      <c r="Y15" s="3069"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53"/>
      <c r="Q16" s="1897"/>
      <c r="R16" s="753"/>
      <c r="S16" s="754"/>
      <c r="T16" s="753"/>
      <c r="U16" s="754"/>
      <c r="V16" s="753"/>
      <c r="W16" s="754"/>
      <c r="X16" s="1898"/>
      <c r="Y16" s="3070"/>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3"/>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53"/>
      <c r="Q18" s="1897"/>
      <c r="R18" s="753"/>
      <c r="S18" s="754"/>
      <c r="T18" s="753"/>
      <c r="U18" s="754"/>
      <c r="V18" s="753"/>
      <c r="W18" s="754"/>
      <c r="X18" s="1898"/>
      <c r="Y18" s="3070"/>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3"/>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53"/>
      <c r="Q20" s="1897"/>
      <c r="R20" s="753"/>
      <c r="S20" s="754"/>
      <c r="T20" s="753"/>
      <c r="U20" s="754"/>
      <c r="V20" s="753"/>
      <c r="W20" s="754"/>
      <c r="X20" s="1898"/>
      <c r="Y20" s="3070"/>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3"/>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53"/>
      <c r="Q22" s="1897"/>
      <c r="R22" s="753"/>
      <c r="S22" s="754"/>
      <c r="T22" s="753"/>
      <c r="U22" s="754"/>
      <c r="V22" s="753"/>
      <c r="W22" s="754"/>
      <c r="X22" s="1898"/>
      <c r="Y22" s="3070"/>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3"/>
      <c r="Q23" s="1897" t="str">
        <f>B23</f>
        <v>环境质量</v>
      </c>
      <c r="R23" s="753" t="s">
        <v>25</v>
      </c>
      <c r="S23" s="754">
        <f>F23</f>
        <v>100</v>
      </c>
      <c r="T23" s="753" t="s">
        <v>25</v>
      </c>
      <c r="U23" s="754">
        <f>H23</f>
        <v>100</v>
      </c>
      <c r="V23" s="753" t="s">
        <v>25</v>
      </c>
      <c r="W23" s="754">
        <f>J23</f>
        <v>100</v>
      </c>
      <c r="X23" s="1898"/>
      <c r="Y23" s="3070"/>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53"/>
      <c r="Q24" s="1897"/>
      <c r="R24" s="753"/>
      <c r="S24" s="754"/>
      <c r="T24" s="753"/>
      <c r="U24" s="754"/>
      <c r="V24" s="753"/>
      <c r="W24" s="754"/>
      <c r="X24" s="1898"/>
      <c r="Y24" s="3070"/>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3"/>
      <c r="Q25" s="1897" t="str">
        <f>B25</f>
        <v>毗邻道路的类型与等级</v>
      </c>
      <c r="R25" s="753" t="s">
        <v>25</v>
      </c>
      <c r="S25" s="754">
        <f>F25</f>
        <v>100</v>
      </c>
      <c r="T25" s="753" t="s">
        <v>25</v>
      </c>
      <c r="U25" s="754">
        <f>H25</f>
        <v>100</v>
      </c>
      <c r="V25" s="753" t="s">
        <v>25</v>
      </c>
      <c r="W25" s="754">
        <f>J25</f>
        <v>100</v>
      </c>
      <c r="X25" s="1898"/>
      <c r="Y25" s="3070"/>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53"/>
      <c r="Q26" s="1897"/>
      <c r="R26" s="753"/>
      <c r="S26" s="754"/>
      <c r="T26" s="753"/>
      <c r="U26" s="754"/>
      <c r="V26" s="753"/>
      <c r="W26" s="754"/>
      <c r="X26" s="1898"/>
      <c r="Y26" s="3070"/>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3"/>
      <c r="Q27" s="1897" t="str">
        <f t="shared" ref="Q27:Q47" si="11">B27</f>
        <v>楼层</v>
      </c>
      <c r="R27" s="753" t="s">
        <v>25</v>
      </c>
      <c r="S27" s="754">
        <f>F27</f>
        <v>100</v>
      </c>
      <c r="T27" s="753" t="s">
        <v>25</v>
      </c>
      <c r="U27" s="754">
        <f>H27</f>
        <v>100</v>
      </c>
      <c r="V27" s="753" t="s">
        <v>25</v>
      </c>
      <c r="W27" s="754">
        <f>J27</f>
        <v>100</v>
      </c>
      <c r="X27" s="1898"/>
      <c r="Y27" s="3070"/>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3"/>
      <c r="Q28" s="1885" t="str">
        <f t="shared" si="11"/>
        <v>朝向</v>
      </c>
      <c r="R28" s="749" t="s">
        <v>25</v>
      </c>
      <c r="S28" s="750">
        <f>F28</f>
        <v>100</v>
      </c>
      <c r="T28" s="749" t="s">
        <v>25</v>
      </c>
      <c r="U28" s="750">
        <f>H28</f>
        <v>100</v>
      </c>
      <c r="V28" s="749" t="s">
        <v>25</v>
      </c>
      <c r="W28" s="750">
        <f>J28</f>
        <v>100</v>
      </c>
      <c r="X28" s="751"/>
      <c r="Y28" s="3070"/>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3"/>
      <c r="Q29" s="1897">
        <f t="shared" si="11"/>
        <v>111</v>
      </c>
      <c r="R29" s="753" t="s">
        <v>25</v>
      </c>
      <c r="S29" s="754">
        <f t="shared" ref="S29:S47" si="12">F29</f>
        <v>100</v>
      </c>
      <c r="T29" s="753" t="s">
        <v>25</v>
      </c>
      <c r="U29" s="754">
        <f t="shared" ref="U29:U47" si="13">H29</f>
        <v>100</v>
      </c>
      <c r="V29" s="753" t="s">
        <v>25</v>
      </c>
      <c r="W29" s="754">
        <f t="shared" ref="W29:W47" si="14">J29</f>
        <v>100</v>
      </c>
      <c r="X29" s="1898"/>
      <c r="Y29" s="3070"/>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3"/>
      <c r="Q30" s="1897">
        <f t="shared" si="11"/>
        <v>111</v>
      </c>
      <c r="R30" s="753" t="s">
        <v>25</v>
      </c>
      <c r="S30" s="754">
        <f t="shared" si="12"/>
        <v>100</v>
      </c>
      <c r="T30" s="753" t="s">
        <v>25</v>
      </c>
      <c r="U30" s="754">
        <f t="shared" si="13"/>
        <v>100</v>
      </c>
      <c r="V30" s="753" t="s">
        <v>25</v>
      </c>
      <c r="W30" s="754">
        <f t="shared" si="14"/>
        <v>100</v>
      </c>
      <c r="X30" s="1898"/>
      <c r="Y30" s="3070"/>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3"/>
      <c r="Q31" s="1897">
        <f t="shared" si="11"/>
        <v>111</v>
      </c>
      <c r="R31" s="753" t="s">
        <v>25</v>
      </c>
      <c r="S31" s="754">
        <f t="shared" si="12"/>
        <v>100</v>
      </c>
      <c r="T31" s="753" t="s">
        <v>25</v>
      </c>
      <c r="U31" s="754">
        <f t="shared" si="13"/>
        <v>100</v>
      </c>
      <c r="V31" s="753" t="s">
        <v>25</v>
      </c>
      <c r="W31" s="754">
        <f t="shared" si="14"/>
        <v>100</v>
      </c>
      <c r="X31" s="1898"/>
      <c r="Y31" s="3070"/>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3"/>
      <c r="Q32" s="1897">
        <f t="shared" si="11"/>
        <v>111</v>
      </c>
      <c r="R32" s="753" t="s">
        <v>25</v>
      </c>
      <c r="S32" s="754">
        <f t="shared" si="12"/>
        <v>100</v>
      </c>
      <c r="T32" s="753" t="s">
        <v>25</v>
      </c>
      <c r="U32" s="754">
        <f t="shared" si="13"/>
        <v>100</v>
      </c>
      <c r="V32" s="753" t="s">
        <v>25</v>
      </c>
      <c r="W32" s="754">
        <f t="shared" si="14"/>
        <v>100</v>
      </c>
      <c r="X32" s="1898"/>
      <c r="Y32" s="3070"/>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7" t="s">
        <v>2368</v>
      </c>
      <c r="Q33" s="1897" t="str">
        <f t="shared" si="11"/>
        <v>建筑类型</v>
      </c>
      <c r="R33" s="753" t="s">
        <v>25</v>
      </c>
      <c r="S33" s="754">
        <f t="shared" si="12"/>
        <v>100</v>
      </c>
      <c r="T33" s="753" t="s">
        <v>25</v>
      </c>
      <c r="U33" s="754">
        <f t="shared" si="13"/>
        <v>100</v>
      </c>
      <c r="V33" s="753" t="s">
        <v>25</v>
      </c>
      <c r="W33" s="754">
        <f t="shared" si="14"/>
        <v>100</v>
      </c>
      <c r="X33" s="1898"/>
      <c r="Y33" s="3074"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8"/>
      <c r="Q34" s="755" t="str">
        <f t="shared" si="11"/>
        <v>项目建筑规模</v>
      </c>
      <c r="R34" s="756" t="s">
        <v>25</v>
      </c>
      <c r="S34" s="757" t="e">
        <f t="shared" si="12"/>
        <v>#N/A</v>
      </c>
      <c r="T34" s="756" t="s">
        <v>25</v>
      </c>
      <c r="U34" s="757" t="e">
        <f t="shared" si="13"/>
        <v>#N/A</v>
      </c>
      <c r="V34" s="756" t="s">
        <v>25</v>
      </c>
      <c r="W34" s="757" t="e">
        <f t="shared" si="14"/>
        <v>#N/A</v>
      </c>
      <c r="X34" s="758"/>
      <c r="Y34" s="3074"/>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8"/>
      <c r="Q35" s="1897" t="str">
        <f t="shared" si="11"/>
        <v>建筑结构</v>
      </c>
      <c r="R35" s="753" t="s">
        <v>25</v>
      </c>
      <c r="S35" s="754">
        <f t="shared" si="12"/>
        <v>100</v>
      </c>
      <c r="T35" s="753" t="s">
        <v>25</v>
      </c>
      <c r="U35" s="754">
        <f t="shared" si="13"/>
        <v>100</v>
      </c>
      <c r="V35" s="753" t="s">
        <v>25</v>
      </c>
      <c r="W35" s="754">
        <f t="shared" si="14"/>
        <v>100</v>
      </c>
      <c r="X35" s="1898"/>
      <c r="Y35" s="3074"/>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8"/>
      <c r="Q36" s="1897" t="str">
        <f t="shared" si="11"/>
        <v>公共部分装修</v>
      </c>
      <c r="R36" s="753" t="s">
        <v>25</v>
      </c>
      <c r="S36" s="754">
        <f t="shared" si="12"/>
        <v>100</v>
      </c>
      <c r="T36" s="753" t="s">
        <v>25</v>
      </c>
      <c r="U36" s="754">
        <f t="shared" si="13"/>
        <v>100</v>
      </c>
      <c r="V36" s="753" t="s">
        <v>25</v>
      </c>
      <c r="W36" s="754">
        <f t="shared" si="14"/>
        <v>100</v>
      </c>
      <c r="X36" s="1898"/>
      <c r="Y36" s="3074"/>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8"/>
      <c r="Q37" s="1897" t="str">
        <f t="shared" si="11"/>
        <v>成新度</v>
      </c>
      <c r="R37" s="753" t="s">
        <v>25</v>
      </c>
      <c r="S37" s="754" t="e">
        <f t="shared" si="12"/>
        <v>#N/A</v>
      </c>
      <c r="T37" s="753" t="s">
        <v>25</v>
      </c>
      <c r="U37" s="754" t="e">
        <f t="shared" si="13"/>
        <v>#N/A</v>
      </c>
      <c r="V37" s="753" t="s">
        <v>25</v>
      </c>
      <c r="W37" s="754" t="e">
        <f t="shared" si="14"/>
        <v>#N/A</v>
      </c>
      <c r="X37" s="1898"/>
      <c r="Y37" s="3074"/>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8"/>
      <c r="Q38" s="1885" t="str">
        <f t="shared" si="11"/>
        <v>写字楼等级</v>
      </c>
      <c r="R38" s="749" t="s">
        <v>25</v>
      </c>
      <c r="S38" s="750">
        <f t="shared" si="12"/>
        <v>100</v>
      </c>
      <c r="T38" s="749" t="s">
        <v>25</v>
      </c>
      <c r="U38" s="750">
        <f t="shared" si="13"/>
        <v>100</v>
      </c>
      <c r="V38" s="749" t="s">
        <v>25</v>
      </c>
      <c r="W38" s="750">
        <f t="shared" si="14"/>
        <v>100</v>
      </c>
      <c r="X38" s="751"/>
      <c r="Y38" s="3074"/>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8" t="s">
        <v>2368</v>
      </c>
      <c r="Q39" s="1897" t="str">
        <f t="shared" si="11"/>
        <v>物业管理</v>
      </c>
      <c r="R39" s="753" t="s">
        <v>25</v>
      </c>
      <c r="S39" s="754">
        <f t="shared" si="12"/>
        <v>100</v>
      </c>
      <c r="T39" s="753" t="s">
        <v>25</v>
      </c>
      <c r="U39" s="754">
        <f t="shared" si="13"/>
        <v>100</v>
      </c>
      <c r="V39" s="753" t="s">
        <v>25</v>
      </c>
      <c r="W39" s="754">
        <f t="shared" si="14"/>
        <v>100</v>
      </c>
      <c r="X39" s="1898"/>
      <c r="Y39" s="3074"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8"/>
      <c r="Q40" s="1897" t="str">
        <f t="shared" si="11"/>
        <v>市政基础设施</v>
      </c>
      <c r="R40" s="753" t="s">
        <v>25</v>
      </c>
      <c r="S40" s="754">
        <f t="shared" si="12"/>
        <v>100</v>
      </c>
      <c r="T40" s="753" t="s">
        <v>25</v>
      </c>
      <c r="U40" s="754">
        <f t="shared" si="13"/>
        <v>100</v>
      </c>
      <c r="V40" s="753" t="s">
        <v>25</v>
      </c>
      <c r="W40" s="754">
        <f t="shared" si="14"/>
        <v>100</v>
      </c>
      <c r="X40" s="1898"/>
      <c r="Y40" s="3074"/>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8"/>
      <c r="Q41" s="1897" t="str">
        <f t="shared" si="11"/>
        <v>层高</v>
      </c>
      <c r="R41" s="753" t="s">
        <v>25</v>
      </c>
      <c r="S41" s="754">
        <f t="shared" si="12"/>
        <v>100</v>
      </c>
      <c r="T41" s="753" t="s">
        <v>25</v>
      </c>
      <c r="U41" s="754">
        <f t="shared" si="13"/>
        <v>100</v>
      </c>
      <c r="V41" s="753" t="s">
        <v>25</v>
      </c>
      <c r="W41" s="754">
        <f t="shared" si="14"/>
        <v>100</v>
      </c>
      <c r="X41" s="1898"/>
      <c r="Y41" s="3074"/>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8"/>
      <c r="Q42" s="755" t="str">
        <f t="shared" si="11"/>
        <v>单套建筑面积</v>
      </c>
      <c r="R42" s="756" t="s">
        <v>25</v>
      </c>
      <c r="S42" s="757">
        <f t="shared" si="12"/>
        <v>100</v>
      </c>
      <c r="T42" s="756" t="s">
        <v>25</v>
      </c>
      <c r="U42" s="757">
        <f t="shared" si="13"/>
        <v>100</v>
      </c>
      <c r="V42" s="756" t="s">
        <v>25</v>
      </c>
      <c r="W42" s="757">
        <f t="shared" si="14"/>
        <v>100</v>
      </c>
      <c r="X42" s="758"/>
      <c r="Y42" s="3074"/>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8"/>
      <c r="Q43" s="1897" t="str">
        <f t="shared" si="11"/>
        <v>内部装修</v>
      </c>
      <c r="R43" s="753" t="s">
        <v>25</v>
      </c>
      <c r="S43" s="754">
        <f t="shared" si="12"/>
        <v>100</v>
      </c>
      <c r="T43" s="753" t="s">
        <v>25</v>
      </c>
      <c r="U43" s="754">
        <f t="shared" si="13"/>
        <v>100</v>
      </c>
      <c r="V43" s="753" t="s">
        <v>25</v>
      </c>
      <c r="W43" s="754">
        <f t="shared" si="14"/>
        <v>100</v>
      </c>
      <c r="X43" s="1898"/>
      <c r="Y43" s="3074"/>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8"/>
      <c r="Q44" s="1897" t="str">
        <f t="shared" si="11"/>
        <v>内部装修维护情况</v>
      </c>
      <c r="R44" s="753" t="s">
        <v>25</v>
      </c>
      <c r="S44" s="754">
        <f t="shared" si="12"/>
        <v>100</v>
      </c>
      <c r="T44" s="753" t="s">
        <v>25</v>
      </c>
      <c r="U44" s="754">
        <f t="shared" si="13"/>
        <v>100</v>
      </c>
      <c r="V44" s="753" t="s">
        <v>25</v>
      </c>
      <c r="W44" s="754">
        <f t="shared" si="14"/>
        <v>100</v>
      </c>
      <c r="X44" s="1898"/>
      <c r="Y44" s="3074"/>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8"/>
      <c r="Q45" s="1885">
        <f t="shared" si="11"/>
        <v>111</v>
      </c>
      <c r="R45" s="749" t="s">
        <v>25</v>
      </c>
      <c r="S45" s="750">
        <f t="shared" si="12"/>
        <v>100</v>
      </c>
      <c r="T45" s="749" t="s">
        <v>25</v>
      </c>
      <c r="U45" s="750">
        <f t="shared" si="13"/>
        <v>100</v>
      </c>
      <c r="V45" s="749" t="s">
        <v>25</v>
      </c>
      <c r="W45" s="750">
        <f t="shared" si="14"/>
        <v>100</v>
      </c>
      <c r="X45" s="751"/>
      <c r="Y45" s="3074"/>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8"/>
      <c r="Q46" s="1897">
        <f t="shared" si="11"/>
        <v>111</v>
      </c>
      <c r="R46" s="753" t="s">
        <v>25</v>
      </c>
      <c r="S46" s="754">
        <f t="shared" si="12"/>
        <v>100</v>
      </c>
      <c r="T46" s="753" t="s">
        <v>25</v>
      </c>
      <c r="U46" s="754">
        <f t="shared" si="13"/>
        <v>100</v>
      </c>
      <c r="V46" s="753" t="s">
        <v>25</v>
      </c>
      <c r="W46" s="754">
        <f t="shared" si="14"/>
        <v>100</v>
      </c>
      <c r="X46" s="1898"/>
      <c r="Y46" s="3074"/>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9"/>
      <c r="Q47" s="1897">
        <f t="shared" si="11"/>
        <v>111</v>
      </c>
      <c r="R47" s="753" t="s">
        <v>25</v>
      </c>
      <c r="S47" s="754">
        <f t="shared" si="12"/>
        <v>100</v>
      </c>
      <c r="T47" s="753" t="s">
        <v>25</v>
      </c>
      <c r="U47" s="754">
        <f t="shared" si="13"/>
        <v>100</v>
      </c>
      <c r="V47" s="753" t="s">
        <v>25</v>
      </c>
      <c r="W47" s="754">
        <f t="shared" si="14"/>
        <v>100</v>
      </c>
      <c r="X47" s="1898"/>
      <c r="Y47" s="3075"/>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87" t="str">
        <f>A48</f>
        <v>成交单价（元/平方米）</v>
      </c>
      <c r="Q48" s="3080"/>
      <c r="R48" s="3081">
        <f>E48</f>
        <v>0</v>
      </c>
      <c r="S48" s="3081"/>
      <c r="T48" s="3081">
        <f>G48</f>
        <v>0</v>
      </c>
      <c r="U48" s="3081"/>
      <c r="V48" s="3081">
        <f>I48</f>
        <v>0</v>
      </c>
      <c r="W48" s="3081"/>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87" t="str">
        <f>A49</f>
        <v>比较价值（元/平方米）</v>
      </c>
      <c r="Q49" s="3080"/>
      <c r="R49" s="3081" t="e">
        <f>IF(E1="售价",ROUND(PRODUCT(R48,AA7:AA47),0),ROUND(PRODUCT(R48,AA7:AA47),1))</f>
        <v>#DIV/0!</v>
      </c>
      <c r="S49" s="3081"/>
      <c r="T49" s="3081" t="e">
        <f>IF(E1="售价",ROUND(PRODUCT(T48,AB7:AB47),0),ROUND(PRODUCT(T48,AB7:AB47),1))</f>
        <v>#DIV/0!</v>
      </c>
      <c r="U49" s="3081"/>
      <c r="V49" s="3081" t="e">
        <f>IF(E1="售价",ROUND(PRODUCT(V48,AC7:AC47),0),ROUND(PRODUCT(V48,AC7:AC47),1))</f>
        <v>#DIV/0!</v>
      </c>
      <c r="W49" s="3081"/>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00" t="str">
        <f>A50</f>
        <v>估价对象XX用房的比较价值（楼面单价，元/平方米）</v>
      </c>
      <c r="Q50" s="3087"/>
      <c r="R50" s="3088" t="e">
        <f>IF(E1="售价",ROUND(AVERAGE(R49:V49),0),ROUND(AVERAGE(R49:V49),1))</f>
        <v>#DIV/0!</v>
      </c>
      <c r="S50" s="3088"/>
      <c r="T50" s="3088"/>
      <c r="U50" s="3088"/>
      <c r="V50" s="3088"/>
      <c r="W50" s="3088"/>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76" t="s">
        <v>2354</v>
      </c>
      <c r="Q8" s="3077"/>
      <c r="R8" s="749" t="s">
        <v>25</v>
      </c>
      <c r="S8" s="750">
        <f t="shared" si="0"/>
        <v>100</v>
      </c>
      <c r="T8" s="749" t="s">
        <v>25</v>
      </c>
      <c r="U8" s="750">
        <f t="shared" si="1"/>
        <v>100</v>
      </c>
      <c r="V8" s="749" t="s">
        <v>25</v>
      </c>
      <c r="W8" s="750">
        <f t="shared" si="2"/>
        <v>100</v>
      </c>
      <c r="X8" s="751"/>
      <c r="Y8" s="3076" t="s">
        <v>2354</v>
      </c>
      <c r="Z8" s="3077"/>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80"/>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69" t="s">
        <v>2362</v>
      </c>
      <c r="Q15" s="1897" t="str">
        <f t="shared" si="6"/>
        <v>产业集聚程度</v>
      </c>
      <c r="R15" s="753" t="s">
        <v>25</v>
      </c>
      <c r="S15" s="754">
        <f t="shared" si="0"/>
        <v>100</v>
      </c>
      <c r="T15" s="753" t="s">
        <v>25</v>
      </c>
      <c r="U15" s="754">
        <f t="shared" si="1"/>
        <v>100</v>
      </c>
      <c r="V15" s="753" t="s">
        <v>25</v>
      </c>
      <c r="W15" s="754">
        <f t="shared" si="2"/>
        <v>100</v>
      </c>
      <c r="X15" s="1898"/>
      <c r="Y15" s="3069"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70"/>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70"/>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70"/>
      <c r="Q18" s="1897"/>
      <c r="R18" s="753"/>
      <c r="S18" s="754"/>
      <c r="T18" s="753"/>
      <c r="U18" s="754"/>
      <c r="V18" s="753"/>
      <c r="W18" s="754"/>
      <c r="X18" s="1898"/>
      <c r="Y18" s="3070"/>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70"/>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70"/>
      <c r="Q20" s="1897"/>
      <c r="R20" s="753"/>
      <c r="S20" s="754"/>
      <c r="T20" s="753"/>
      <c r="U20" s="754"/>
      <c r="V20" s="753"/>
      <c r="W20" s="754"/>
      <c r="X20" s="1898"/>
      <c r="Y20" s="3070"/>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70"/>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70"/>
      <c r="Q22" s="1897"/>
      <c r="R22" s="753"/>
      <c r="S22" s="754"/>
      <c r="T22" s="753"/>
      <c r="U22" s="754"/>
      <c r="V22" s="753"/>
      <c r="W22" s="754"/>
      <c r="X22" s="1898"/>
      <c r="Y22" s="3070"/>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70"/>
      <c r="Q23" s="1897" t="str">
        <f>B23</f>
        <v>环境质量</v>
      </c>
      <c r="R23" s="753" t="s">
        <v>25</v>
      </c>
      <c r="S23" s="754">
        <f>F23</f>
        <v>100</v>
      </c>
      <c r="T23" s="753" t="s">
        <v>25</v>
      </c>
      <c r="U23" s="754">
        <f>H23</f>
        <v>100</v>
      </c>
      <c r="V23" s="753" t="s">
        <v>25</v>
      </c>
      <c r="W23" s="754">
        <f>J23</f>
        <v>100</v>
      </c>
      <c r="X23" s="1898"/>
      <c r="Y23" s="3070"/>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70"/>
      <c r="Q24" s="1897"/>
      <c r="R24" s="753"/>
      <c r="S24" s="754"/>
      <c r="T24" s="753"/>
      <c r="U24" s="754"/>
      <c r="V24" s="753"/>
      <c r="W24" s="754"/>
      <c r="X24" s="1898"/>
      <c r="Y24" s="3070"/>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70"/>
      <c r="Q25" s="1897">
        <f>B25</f>
        <v>111</v>
      </c>
      <c r="R25" s="753" t="s">
        <v>25</v>
      </c>
      <c r="S25" s="754">
        <f>F25</f>
        <v>100</v>
      </c>
      <c r="T25" s="753" t="s">
        <v>25</v>
      </c>
      <c r="U25" s="754">
        <f>H25</f>
        <v>100</v>
      </c>
      <c r="V25" s="753" t="s">
        <v>25</v>
      </c>
      <c r="W25" s="754">
        <f>J25</f>
        <v>100</v>
      </c>
      <c r="X25" s="1898"/>
      <c r="Y25" s="3070"/>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70"/>
      <c r="Q26" s="1897">
        <f t="shared" ref="Q26:Q40" si="11">B26</f>
        <v>111</v>
      </c>
      <c r="R26" s="753" t="s">
        <v>25</v>
      </c>
      <c r="S26" s="754">
        <f>F26</f>
        <v>100</v>
      </c>
      <c r="T26" s="753" t="s">
        <v>25</v>
      </c>
      <c r="U26" s="754">
        <f>H26</f>
        <v>100</v>
      </c>
      <c r="V26" s="753" t="s">
        <v>25</v>
      </c>
      <c r="W26" s="754">
        <f>J26</f>
        <v>100</v>
      </c>
      <c r="X26" s="1898"/>
      <c r="Y26" s="3070"/>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70"/>
      <c r="Q27" s="1885">
        <f t="shared" si="11"/>
        <v>111</v>
      </c>
      <c r="R27" s="749" t="s">
        <v>25</v>
      </c>
      <c r="S27" s="750">
        <f>F27</f>
        <v>100</v>
      </c>
      <c r="T27" s="749" t="s">
        <v>25</v>
      </c>
      <c r="U27" s="750">
        <f>H27</f>
        <v>100</v>
      </c>
      <c r="V27" s="749" t="s">
        <v>25</v>
      </c>
      <c r="W27" s="750">
        <f>J27</f>
        <v>100</v>
      </c>
      <c r="X27" s="751"/>
      <c r="Y27" s="3070"/>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70"/>
      <c r="Q28" s="1897">
        <f t="shared" si="11"/>
        <v>111</v>
      </c>
      <c r="R28" s="753" t="s">
        <v>25</v>
      </c>
      <c r="S28" s="754">
        <f t="shared" ref="S28:S40" si="12">F28</f>
        <v>100</v>
      </c>
      <c r="T28" s="753" t="s">
        <v>25</v>
      </c>
      <c r="U28" s="754">
        <f t="shared" ref="U28:U40" si="13">H28</f>
        <v>100</v>
      </c>
      <c r="V28" s="753" t="s">
        <v>25</v>
      </c>
      <c r="W28" s="754">
        <f t="shared" ref="W28:W40" si="14">J28</f>
        <v>100</v>
      </c>
      <c r="X28" s="1898"/>
      <c r="Y28" s="3070"/>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1" t="s">
        <v>2368</v>
      </c>
      <c r="Q29" s="1897" t="str">
        <f t="shared" si="11"/>
        <v>建筑类型</v>
      </c>
      <c r="R29" s="753" t="s">
        <v>25</v>
      </c>
      <c r="S29" s="754">
        <f t="shared" si="12"/>
        <v>100</v>
      </c>
      <c r="T29" s="753" t="s">
        <v>25</v>
      </c>
      <c r="U29" s="754">
        <f t="shared" si="13"/>
        <v>100</v>
      </c>
      <c r="V29" s="753" t="s">
        <v>25</v>
      </c>
      <c r="W29" s="754">
        <f t="shared" si="14"/>
        <v>100</v>
      </c>
      <c r="X29" s="1898"/>
      <c r="Y29" s="3074"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74"/>
      <c r="Q30" s="755" t="str">
        <f t="shared" si="11"/>
        <v>项目建筑规模</v>
      </c>
      <c r="R30" s="756" t="s">
        <v>25</v>
      </c>
      <c r="S30" s="757" t="e">
        <f t="shared" si="12"/>
        <v>#N/A</v>
      </c>
      <c r="T30" s="756" t="s">
        <v>25</v>
      </c>
      <c r="U30" s="757" t="e">
        <f t="shared" si="13"/>
        <v>#N/A</v>
      </c>
      <c r="V30" s="756" t="s">
        <v>25</v>
      </c>
      <c r="W30" s="757" t="e">
        <f t="shared" si="14"/>
        <v>#N/A</v>
      </c>
      <c r="X30" s="758"/>
      <c r="Y30" s="3074"/>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74"/>
      <c r="Q31" s="1897" t="str">
        <f t="shared" si="11"/>
        <v>建筑结构</v>
      </c>
      <c r="R31" s="753" t="s">
        <v>25</v>
      </c>
      <c r="S31" s="754">
        <f t="shared" si="12"/>
        <v>100</v>
      </c>
      <c r="T31" s="753" t="s">
        <v>25</v>
      </c>
      <c r="U31" s="754">
        <f t="shared" si="13"/>
        <v>100</v>
      </c>
      <c r="V31" s="753" t="s">
        <v>25</v>
      </c>
      <c r="W31" s="754">
        <f t="shared" si="14"/>
        <v>100</v>
      </c>
      <c r="X31" s="1898"/>
      <c r="Y31" s="3074"/>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74"/>
      <c r="Q32" s="1897" t="str">
        <f t="shared" si="11"/>
        <v>公共部分装修</v>
      </c>
      <c r="R32" s="753" t="s">
        <v>25</v>
      </c>
      <c r="S32" s="754">
        <f t="shared" si="12"/>
        <v>100</v>
      </c>
      <c r="T32" s="753" t="s">
        <v>25</v>
      </c>
      <c r="U32" s="754">
        <f t="shared" si="13"/>
        <v>100</v>
      </c>
      <c r="V32" s="753" t="s">
        <v>25</v>
      </c>
      <c r="W32" s="754">
        <f t="shared" si="14"/>
        <v>100</v>
      </c>
      <c r="X32" s="1898"/>
      <c r="Y32" s="3074"/>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74"/>
      <c r="Q33" s="1897" t="str">
        <f t="shared" si="11"/>
        <v>成新度</v>
      </c>
      <c r="R33" s="753" t="s">
        <v>25</v>
      </c>
      <c r="S33" s="754" t="e">
        <f t="shared" si="12"/>
        <v>#N/A</v>
      </c>
      <c r="T33" s="753" t="s">
        <v>25</v>
      </c>
      <c r="U33" s="754" t="e">
        <f t="shared" si="13"/>
        <v>#N/A</v>
      </c>
      <c r="V33" s="753" t="s">
        <v>25</v>
      </c>
      <c r="W33" s="754" t="e">
        <f t="shared" si="14"/>
        <v>#N/A</v>
      </c>
      <c r="X33" s="1898"/>
      <c r="Y33" s="3074"/>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74"/>
      <c r="Q34" s="1885" t="str">
        <f t="shared" si="11"/>
        <v>物业管理</v>
      </c>
      <c r="R34" s="749" t="s">
        <v>25</v>
      </c>
      <c r="S34" s="750">
        <f t="shared" si="12"/>
        <v>100</v>
      </c>
      <c r="T34" s="749" t="s">
        <v>25</v>
      </c>
      <c r="U34" s="750">
        <f t="shared" si="13"/>
        <v>100</v>
      </c>
      <c r="V34" s="749" t="s">
        <v>25</v>
      </c>
      <c r="W34" s="750">
        <f t="shared" si="14"/>
        <v>100</v>
      </c>
      <c r="X34" s="751"/>
      <c r="Y34" s="3074"/>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74" t="s">
        <v>2368</v>
      </c>
      <c r="Q35" s="1897" t="str">
        <f t="shared" si="11"/>
        <v>市政基础设施</v>
      </c>
      <c r="R35" s="753" t="s">
        <v>25</v>
      </c>
      <c r="S35" s="754">
        <f t="shared" si="12"/>
        <v>100</v>
      </c>
      <c r="T35" s="753" t="s">
        <v>25</v>
      </c>
      <c r="U35" s="754">
        <f t="shared" si="13"/>
        <v>100</v>
      </c>
      <c r="V35" s="753" t="s">
        <v>25</v>
      </c>
      <c r="W35" s="754">
        <f t="shared" si="14"/>
        <v>100</v>
      </c>
      <c r="X35" s="1898"/>
      <c r="Y35" s="3074"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74"/>
      <c r="Q36" s="1897" t="str">
        <f t="shared" si="11"/>
        <v>内部装修</v>
      </c>
      <c r="R36" s="753" t="s">
        <v>25</v>
      </c>
      <c r="S36" s="754">
        <f t="shared" si="12"/>
        <v>100</v>
      </c>
      <c r="T36" s="753" t="s">
        <v>25</v>
      </c>
      <c r="U36" s="754">
        <f t="shared" si="13"/>
        <v>100</v>
      </c>
      <c r="V36" s="753" t="s">
        <v>25</v>
      </c>
      <c r="W36" s="754">
        <f t="shared" si="14"/>
        <v>100</v>
      </c>
      <c r="X36" s="1898"/>
      <c r="Y36" s="3074"/>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74"/>
      <c r="Q37" s="1897" t="str">
        <f t="shared" si="11"/>
        <v>内部装修状况</v>
      </c>
      <c r="R37" s="753" t="s">
        <v>25</v>
      </c>
      <c r="S37" s="754">
        <f t="shared" si="12"/>
        <v>0</v>
      </c>
      <c r="T37" s="753" t="s">
        <v>25</v>
      </c>
      <c r="U37" s="754">
        <f t="shared" si="13"/>
        <v>0</v>
      </c>
      <c r="V37" s="753" t="s">
        <v>25</v>
      </c>
      <c r="W37" s="754">
        <f t="shared" si="14"/>
        <v>0</v>
      </c>
      <c r="X37" s="1898"/>
      <c r="Y37" s="3074"/>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74"/>
      <c r="Q38" s="755">
        <f t="shared" si="11"/>
        <v>111</v>
      </c>
      <c r="R38" s="756" t="s">
        <v>25</v>
      </c>
      <c r="S38" s="757">
        <f t="shared" si="12"/>
        <v>100</v>
      </c>
      <c r="T38" s="756" t="s">
        <v>25</v>
      </c>
      <c r="U38" s="757">
        <f t="shared" si="13"/>
        <v>100</v>
      </c>
      <c r="V38" s="756" t="s">
        <v>25</v>
      </c>
      <c r="W38" s="757">
        <f t="shared" si="14"/>
        <v>100</v>
      </c>
      <c r="X38" s="758"/>
      <c r="Y38" s="3074"/>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74"/>
      <c r="Q39" s="1897">
        <f t="shared" si="11"/>
        <v>111</v>
      </c>
      <c r="R39" s="753" t="s">
        <v>25</v>
      </c>
      <c r="S39" s="754">
        <f t="shared" si="12"/>
        <v>100</v>
      </c>
      <c r="T39" s="753" t="s">
        <v>25</v>
      </c>
      <c r="U39" s="754">
        <f t="shared" si="13"/>
        <v>100</v>
      </c>
      <c r="V39" s="753" t="s">
        <v>25</v>
      </c>
      <c r="W39" s="754">
        <f t="shared" si="14"/>
        <v>100</v>
      </c>
      <c r="X39" s="1898"/>
      <c r="Y39" s="3074"/>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75"/>
      <c r="Q40" s="1897">
        <f t="shared" si="11"/>
        <v>111</v>
      </c>
      <c r="R40" s="753" t="s">
        <v>25</v>
      </c>
      <c r="S40" s="754">
        <f t="shared" si="12"/>
        <v>100</v>
      </c>
      <c r="T40" s="753" t="s">
        <v>25</v>
      </c>
      <c r="U40" s="754">
        <f t="shared" si="13"/>
        <v>100</v>
      </c>
      <c r="V40" s="753" t="s">
        <v>25</v>
      </c>
      <c r="W40" s="754">
        <f t="shared" si="14"/>
        <v>100</v>
      </c>
      <c r="X40" s="1898"/>
      <c r="Y40" s="3075"/>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80" t="str">
        <f>A41</f>
        <v>成交单价（元/平方米）</v>
      </c>
      <c r="Q41" s="3080"/>
      <c r="R41" s="3081">
        <f>E41</f>
        <v>0</v>
      </c>
      <c r="S41" s="3081"/>
      <c r="T41" s="3081">
        <f>G41</f>
        <v>0</v>
      </c>
      <c r="U41" s="3081"/>
      <c r="V41" s="3081">
        <f>I41</f>
        <v>0</v>
      </c>
      <c r="W41" s="3081"/>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80" t="str">
        <f>A42</f>
        <v>比较价值（元/平方米）</v>
      </c>
      <c r="Q42" s="3080"/>
      <c r="R42" s="3081" t="e">
        <f>IF(E1="售价",ROUND(PRODUCT(R41,AA7:AA40),0),ROUND(PRODUCT(R41,AA7:AA40),1))</f>
        <v>#DIV/0!</v>
      </c>
      <c r="S42" s="3081"/>
      <c r="T42" s="3081" t="e">
        <f>IF(E1="售价",ROUND(PRODUCT(T41,AB7:AB40),0),ROUND(PRODUCT(T41,AB7:AB40),1))</f>
        <v>#DIV/0!</v>
      </c>
      <c r="U42" s="3081"/>
      <c r="V42" s="3081" t="e">
        <f>IF(E1="售价",ROUND(PRODUCT(V41,AC7:AC40),0),ROUND(PRODUCT(V41,AC7:AC40),1))</f>
        <v>#DIV/0!</v>
      </c>
      <c r="W42" s="3081"/>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86" t="str">
        <f>A43</f>
        <v>估价对象XX用房的比较价值（楼面单价，元/平方米）</v>
      </c>
      <c r="Q43" s="3087"/>
      <c r="R43" s="3088" t="e">
        <f>IF(E1="售价",ROUND(AVERAGE(R42:V42),0),ROUND(AVERAGE(R42:V42),1))</f>
        <v>#DIV/0!</v>
      </c>
      <c r="S43" s="3088"/>
      <c r="T43" s="3088"/>
      <c r="U43" s="3088"/>
      <c r="V43" s="3088"/>
      <c r="W43" s="3088"/>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513"/>
      <c r="M4" s="425"/>
      <c r="N4" s="425"/>
      <c r="O4" s="425"/>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513"/>
      <c r="M5" s="425"/>
      <c r="N5" s="425"/>
      <c r="O5" s="425"/>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513"/>
      <c r="M6" s="425"/>
      <c r="N6" s="425"/>
      <c r="O6" s="425"/>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76" t="s">
        <v>2351</v>
      </c>
      <c r="Q7" s="3078"/>
      <c r="R7" s="749" t="s">
        <v>25</v>
      </c>
      <c r="S7" s="750">
        <f t="shared" ref="S7:S14" si="0">F7</f>
        <v>0</v>
      </c>
      <c r="T7" s="749" t="s">
        <v>25</v>
      </c>
      <c r="U7" s="750">
        <f t="shared" ref="U7:U14" si="1">H7</f>
        <v>0</v>
      </c>
      <c r="V7" s="749" t="s">
        <v>25</v>
      </c>
      <c r="W7" s="750">
        <f t="shared" ref="W7:W14"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76" t="s">
        <v>2354</v>
      </c>
      <c r="Q8" s="3077"/>
      <c r="R8" s="749" t="s">
        <v>25</v>
      </c>
      <c r="S8" s="750">
        <f t="shared" si="0"/>
        <v>0</v>
      </c>
      <c r="T8" s="749" t="s">
        <v>25</v>
      </c>
      <c r="U8" s="750">
        <f t="shared" si="1"/>
        <v>0</v>
      </c>
      <c r="V8" s="749" t="s">
        <v>25</v>
      </c>
      <c r="W8" s="750">
        <f t="shared" si="2"/>
        <v>0</v>
      </c>
      <c r="X8" s="751"/>
      <c r="Y8" s="3076" t="s">
        <v>2354</v>
      </c>
      <c r="Z8" s="3077"/>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80" t="s">
        <v>2357</v>
      </c>
      <c r="Q9" s="1885" t="str">
        <f t="shared" ref="Q9:Q14" si="6">B9</f>
        <v>用途</v>
      </c>
      <c r="R9" s="749" t="s">
        <v>25</v>
      </c>
      <c r="S9" s="750">
        <f t="shared" si="0"/>
        <v>100</v>
      </c>
      <c r="T9" s="749" t="s">
        <v>25</v>
      </c>
      <c r="U9" s="750">
        <f t="shared" si="1"/>
        <v>100</v>
      </c>
      <c r="V9" s="749" t="s">
        <v>25</v>
      </c>
      <c r="W9" s="750">
        <f t="shared" si="2"/>
        <v>100</v>
      </c>
      <c r="X9" s="751"/>
      <c r="Y9" s="289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80"/>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80"/>
      <c r="Q11" s="1885">
        <f t="shared" si="6"/>
        <v>111</v>
      </c>
      <c r="R11" s="749" t="s">
        <v>25</v>
      </c>
      <c r="S11" s="750">
        <f t="shared" si="0"/>
        <v>100</v>
      </c>
      <c r="T11" s="749" t="s">
        <v>25</v>
      </c>
      <c r="U11" s="750">
        <f t="shared" si="1"/>
        <v>100</v>
      </c>
      <c r="V11" s="749" t="s">
        <v>25</v>
      </c>
      <c r="W11" s="750">
        <f t="shared" si="2"/>
        <v>100</v>
      </c>
      <c r="X11" s="751"/>
      <c r="Y11" s="289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80"/>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80"/>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69" t="s">
        <v>2362</v>
      </c>
      <c r="Q14" s="1897" t="str">
        <f t="shared" si="6"/>
        <v>交通便捷度</v>
      </c>
      <c r="R14" s="753" t="s">
        <v>25</v>
      </c>
      <c r="S14" s="754">
        <f t="shared" si="0"/>
        <v>100</v>
      </c>
      <c r="T14" s="753" t="s">
        <v>25</v>
      </c>
      <c r="U14" s="754">
        <f t="shared" si="1"/>
        <v>100</v>
      </c>
      <c r="V14" s="753" t="s">
        <v>25</v>
      </c>
      <c r="W14" s="754">
        <f t="shared" si="2"/>
        <v>100</v>
      </c>
      <c r="X14" s="1898"/>
      <c r="Y14" s="3069"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70"/>
      <c r="Q15" s="1897"/>
      <c r="R15" s="753"/>
      <c r="S15" s="754"/>
      <c r="T15" s="753"/>
      <c r="U15" s="754"/>
      <c r="V15" s="753"/>
      <c r="W15" s="754"/>
      <c r="X15" s="1898"/>
      <c r="Y15" s="3070"/>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70"/>
      <c r="Q16" s="1897" t="str">
        <f>B16</f>
        <v>公共配套设施</v>
      </c>
      <c r="R16" s="753" t="s">
        <v>25</v>
      </c>
      <c r="S16" s="754">
        <f>F16</f>
        <v>100</v>
      </c>
      <c r="T16" s="753" t="s">
        <v>25</v>
      </c>
      <c r="U16" s="754">
        <f>H16</f>
        <v>100</v>
      </c>
      <c r="V16" s="753" t="s">
        <v>25</v>
      </c>
      <c r="W16" s="754">
        <f>J16</f>
        <v>100</v>
      </c>
      <c r="X16" s="1898"/>
      <c r="Y16" s="3070"/>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70"/>
      <c r="Q17" s="1897"/>
      <c r="R17" s="753"/>
      <c r="S17" s="754"/>
      <c r="T17" s="753"/>
      <c r="U17" s="754"/>
      <c r="V17" s="753"/>
      <c r="W17" s="754"/>
      <c r="X17" s="1898"/>
      <c r="Y17" s="3070"/>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70"/>
      <c r="Q18" s="1897" t="str">
        <f>B18</f>
        <v>基础设施水平</v>
      </c>
      <c r="R18" s="753" t="s">
        <v>25</v>
      </c>
      <c r="S18" s="754">
        <f>F18</f>
        <v>100</v>
      </c>
      <c r="T18" s="753" t="s">
        <v>25</v>
      </c>
      <c r="U18" s="754">
        <f>H18</f>
        <v>100</v>
      </c>
      <c r="V18" s="753" t="s">
        <v>25</v>
      </c>
      <c r="W18" s="754">
        <f>J18</f>
        <v>100</v>
      </c>
      <c r="X18" s="1898"/>
      <c r="Y18" s="3070"/>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70"/>
      <c r="Q19" s="1897"/>
      <c r="R19" s="753"/>
      <c r="S19" s="754"/>
      <c r="T19" s="753"/>
      <c r="U19" s="754"/>
      <c r="V19" s="753"/>
      <c r="W19" s="754"/>
      <c r="X19" s="1898"/>
      <c r="Y19" s="3070"/>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70"/>
      <c r="Q20" s="1897" t="str">
        <f>B20</f>
        <v>自然及人文环境</v>
      </c>
      <c r="R20" s="753" t="s">
        <v>25</v>
      </c>
      <c r="S20" s="754">
        <f>F20</f>
        <v>100</v>
      </c>
      <c r="T20" s="753" t="s">
        <v>25</v>
      </c>
      <c r="U20" s="754">
        <f>H20</f>
        <v>100</v>
      </c>
      <c r="V20" s="753" t="s">
        <v>25</v>
      </c>
      <c r="W20" s="754">
        <f>J20</f>
        <v>100</v>
      </c>
      <c r="X20" s="1898"/>
      <c r="Y20" s="3070"/>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70"/>
      <c r="Q21" s="1897"/>
      <c r="R21" s="753"/>
      <c r="S21" s="754"/>
      <c r="T21" s="753"/>
      <c r="U21" s="754"/>
      <c r="V21" s="753"/>
      <c r="W21" s="754"/>
      <c r="X21" s="1898"/>
      <c r="Y21" s="3070"/>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70"/>
      <c r="Q22" s="1897" t="str">
        <f>B22</f>
        <v>楼层</v>
      </c>
      <c r="R22" s="753" t="s">
        <v>25</v>
      </c>
      <c r="S22" s="754">
        <f>F22</f>
        <v>100</v>
      </c>
      <c r="T22" s="753" t="s">
        <v>25</v>
      </c>
      <c r="U22" s="754">
        <f>H22</f>
        <v>100</v>
      </c>
      <c r="V22" s="753" t="s">
        <v>25</v>
      </c>
      <c r="W22" s="754">
        <f>J22</f>
        <v>100</v>
      </c>
      <c r="X22" s="1898"/>
      <c r="Y22" s="3070"/>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70"/>
      <c r="Q23" s="1897">
        <f>B23</f>
        <v>111</v>
      </c>
      <c r="R23" s="753" t="s">
        <v>25</v>
      </c>
      <c r="S23" s="754">
        <f>F23</f>
        <v>100</v>
      </c>
      <c r="T23" s="753" t="s">
        <v>25</v>
      </c>
      <c r="U23" s="754">
        <f>H23</f>
        <v>100</v>
      </c>
      <c r="V23" s="753" t="s">
        <v>25</v>
      </c>
      <c r="W23" s="754">
        <f>J23</f>
        <v>100</v>
      </c>
      <c r="X23" s="1898"/>
      <c r="Y23" s="3070"/>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70"/>
      <c r="Q24" s="1897">
        <f t="shared" ref="Q24:Q36" si="11">B24</f>
        <v>111</v>
      </c>
      <c r="R24" s="753" t="s">
        <v>25</v>
      </c>
      <c r="S24" s="754">
        <f>F24</f>
        <v>100</v>
      </c>
      <c r="T24" s="753" t="s">
        <v>25</v>
      </c>
      <c r="U24" s="754">
        <f>H24</f>
        <v>100</v>
      </c>
      <c r="V24" s="753" t="s">
        <v>25</v>
      </c>
      <c r="W24" s="754">
        <f>J24</f>
        <v>100</v>
      </c>
      <c r="X24" s="1898"/>
      <c r="Y24" s="3070"/>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70"/>
      <c r="Q25" s="1885">
        <f t="shared" si="11"/>
        <v>111</v>
      </c>
      <c r="R25" s="749" t="s">
        <v>25</v>
      </c>
      <c r="S25" s="750">
        <f>F25</f>
        <v>100</v>
      </c>
      <c r="T25" s="749" t="s">
        <v>25</v>
      </c>
      <c r="U25" s="750">
        <f>H25</f>
        <v>100</v>
      </c>
      <c r="V25" s="749" t="s">
        <v>25</v>
      </c>
      <c r="W25" s="750">
        <f>J25</f>
        <v>100</v>
      </c>
      <c r="X25" s="751"/>
      <c r="Y25" s="3070"/>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1"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74"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74"/>
      <c r="Q27" s="755" t="str">
        <f t="shared" si="11"/>
        <v>项目停车位配比</v>
      </c>
      <c r="R27" s="756" t="s">
        <v>25</v>
      </c>
      <c r="S27" s="757">
        <f t="shared" si="12"/>
        <v>100</v>
      </c>
      <c r="T27" s="756" t="s">
        <v>25</v>
      </c>
      <c r="U27" s="757">
        <f t="shared" si="13"/>
        <v>100</v>
      </c>
      <c r="V27" s="756" t="s">
        <v>25</v>
      </c>
      <c r="W27" s="757">
        <f t="shared" si="14"/>
        <v>100</v>
      </c>
      <c r="X27" s="758"/>
      <c r="Y27" s="3074"/>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74"/>
      <c r="Q28" s="1897" t="str">
        <f t="shared" si="11"/>
        <v>公共部分装修</v>
      </c>
      <c r="R28" s="753" t="s">
        <v>25</v>
      </c>
      <c r="S28" s="754">
        <f t="shared" si="12"/>
        <v>100</v>
      </c>
      <c r="T28" s="753" t="s">
        <v>25</v>
      </c>
      <c r="U28" s="754">
        <f t="shared" si="13"/>
        <v>100</v>
      </c>
      <c r="V28" s="753" t="s">
        <v>25</v>
      </c>
      <c r="W28" s="754">
        <f t="shared" si="14"/>
        <v>100</v>
      </c>
      <c r="X28" s="1898"/>
      <c r="Y28" s="3074"/>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74"/>
      <c r="Q29" s="1897" t="str">
        <f t="shared" si="11"/>
        <v>成新率</v>
      </c>
      <c r="R29" s="753" t="s">
        <v>25</v>
      </c>
      <c r="S29" s="754" t="e">
        <f t="shared" si="12"/>
        <v>#N/A</v>
      </c>
      <c r="T29" s="753" t="s">
        <v>25</v>
      </c>
      <c r="U29" s="754" t="e">
        <f t="shared" si="13"/>
        <v>#N/A</v>
      </c>
      <c r="V29" s="753" t="s">
        <v>25</v>
      </c>
      <c r="W29" s="754" t="e">
        <f t="shared" si="14"/>
        <v>#N/A</v>
      </c>
      <c r="X29" s="1898"/>
      <c r="Y29" s="3074"/>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74"/>
      <c r="Q30" s="1897" t="str">
        <f t="shared" si="11"/>
        <v>物业等级</v>
      </c>
      <c r="R30" s="753" t="s">
        <v>25</v>
      </c>
      <c r="S30" s="754">
        <f t="shared" si="12"/>
        <v>100</v>
      </c>
      <c r="T30" s="753" t="s">
        <v>25</v>
      </c>
      <c r="U30" s="754">
        <f t="shared" si="13"/>
        <v>100</v>
      </c>
      <c r="V30" s="753" t="s">
        <v>25</v>
      </c>
      <c r="W30" s="754">
        <f t="shared" si="14"/>
        <v>100</v>
      </c>
      <c r="X30" s="1898"/>
      <c r="Y30" s="3074"/>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74"/>
      <c r="Q31" s="1885" t="str">
        <f t="shared" si="11"/>
        <v>停车位面积</v>
      </c>
      <c r="R31" s="749" t="s">
        <v>25</v>
      </c>
      <c r="S31" s="750" t="e">
        <f t="shared" si="12"/>
        <v>#N/A</v>
      </c>
      <c r="T31" s="749" t="s">
        <v>25</v>
      </c>
      <c r="U31" s="750" t="e">
        <f t="shared" si="13"/>
        <v>#N/A</v>
      </c>
      <c r="V31" s="749" t="s">
        <v>25</v>
      </c>
      <c r="W31" s="750" t="e">
        <f t="shared" si="14"/>
        <v>#N/A</v>
      </c>
      <c r="X31" s="751"/>
      <c r="Y31" s="3074"/>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74" t="s">
        <v>2368</v>
      </c>
      <c r="Q32" s="1897" t="str">
        <f t="shared" si="11"/>
        <v>车位类型</v>
      </c>
      <c r="R32" s="753" t="s">
        <v>25</v>
      </c>
      <c r="S32" s="754">
        <f t="shared" si="12"/>
        <v>100</v>
      </c>
      <c r="T32" s="753" t="s">
        <v>25</v>
      </c>
      <c r="U32" s="754">
        <f t="shared" si="13"/>
        <v>100</v>
      </c>
      <c r="V32" s="753" t="s">
        <v>25</v>
      </c>
      <c r="W32" s="754">
        <f t="shared" si="14"/>
        <v>100</v>
      </c>
      <c r="X32" s="1898"/>
      <c r="Y32" s="3074"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74"/>
      <c r="Q33" s="1897" t="str">
        <f t="shared" si="11"/>
        <v>是否直接入户</v>
      </c>
      <c r="R33" s="753" t="s">
        <v>25</v>
      </c>
      <c r="S33" s="754">
        <f t="shared" si="12"/>
        <v>100</v>
      </c>
      <c r="T33" s="753" t="s">
        <v>25</v>
      </c>
      <c r="U33" s="754">
        <f t="shared" si="13"/>
        <v>100</v>
      </c>
      <c r="V33" s="753" t="s">
        <v>25</v>
      </c>
      <c r="W33" s="754">
        <f t="shared" si="14"/>
        <v>100</v>
      </c>
      <c r="X33" s="1898"/>
      <c r="Y33" s="3074"/>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74"/>
      <c r="Q34" s="1897">
        <f t="shared" si="11"/>
        <v>111</v>
      </c>
      <c r="R34" s="753" t="s">
        <v>25</v>
      </c>
      <c r="S34" s="754">
        <f t="shared" si="12"/>
        <v>100</v>
      </c>
      <c r="T34" s="753" t="s">
        <v>25</v>
      </c>
      <c r="U34" s="754">
        <f t="shared" si="13"/>
        <v>100</v>
      </c>
      <c r="V34" s="753" t="s">
        <v>25</v>
      </c>
      <c r="W34" s="754">
        <f t="shared" si="14"/>
        <v>100</v>
      </c>
      <c r="X34" s="1898"/>
      <c r="Y34" s="3074"/>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74"/>
      <c r="Q35" s="755">
        <f t="shared" si="11"/>
        <v>111</v>
      </c>
      <c r="R35" s="756" t="s">
        <v>25</v>
      </c>
      <c r="S35" s="757">
        <f t="shared" si="12"/>
        <v>100</v>
      </c>
      <c r="T35" s="756" t="s">
        <v>25</v>
      </c>
      <c r="U35" s="757">
        <f t="shared" si="13"/>
        <v>100</v>
      </c>
      <c r="V35" s="756" t="s">
        <v>25</v>
      </c>
      <c r="W35" s="757">
        <f t="shared" si="14"/>
        <v>100</v>
      </c>
      <c r="X35" s="758"/>
      <c r="Y35" s="3074"/>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74"/>
      <c r="Q36" s="1897">
        <f t="shared" si="11"/>
        <v>111</v>
      </c>
      <c r="R36" s="753" t="s">
        <v>25</v>
      </c>
      <c r="S36" s="754">
        <f t="shared" si="12"/>
        <v>100</v>
      </c>
      <c r="T36" s="753" t="s">
        <v>25</v>
      </c>
      <c r="U36" s="754">
        <f t="shared" si="13"/>
        <v>100</v>
      </c>
      <c r="V36" s="753" t="s">
        <v>25</v>
      </c>
      <c r="W36" s="754">
        <f t="shared" si="14"/>
        <v>100</v>
      </c>
      <c r="X36" s="1898"/>
      <c r="Y36" s="3074"/>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80" t="str">
        <f>A37</f>
        <v>成交单价</v>
      </c>
      <c r="Q37" s="3080"/>
      <c r="R37" s="3081">
        <f>E37</f>
        <v>0</v>
      </c>
      <c r="S37" s="3081"/>
      <c r="T37" s="3081">
        <f>G37</f>
        <v>0</v>
      </c>
      <c r="U37" s="3081"/>
      <c r="V37" s="3081">
        <f>I37</f>
        <v>0</v>
      </c>
      <c r="W37" s="3081"/>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80" t="str">
        <f>A38</f>
        <v>比较价值</v>
      </c>
      <c r="Q38" s="3080"/>
      <c r="R38" s="3081" t="e">
        <f>IF(E1="售价",ROUND(PRODUCT(R37,AA7:AA36),0),ROUND(PRODUCT(R37,AA7:AA36),1))</f>
        <v>#DIV/0!</v>
      </c>
      <c r="S38" s="3081"/>
      <c r="T38" s="3081" t="e">
        <f>IF(E1="售价",ROUND(PRODUCT(T37,AB7:AB36),0),ROUND(PRODUCT(T37,AB7:AB36),1))</f>
        <v>#DIV/0!</v>
      </c>
      <c r="U38" s="3081"/>
      <c r="V38" s="3081" t="e">
        <f>IF(E1="售价",ROUND(PRODUCT(V37,AC7:AC36),0),ROUND(PRODUCT(V37,AC7:AC36),1))</f>
        <v>#DIV/0!</v>
      </c>
      <c r="W38" s="3081"/>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86" t="str">
        <f>A39</f>
        <v>估价对象XX用房的比较价值（楼面单价，元/平方米）</v>
      </c>
      <c r="Q39" s="3087"/>
      <c r="R39" s="3088" t="e">
        <f>IF(E1="售价",ROUND(AVERAGE(R38:V38),0),ROUND(AVERAGE(R38:V38),1))</f>
        <v>#DIV/0!</v>
      </c>
      <c r="S39" s="3088"/>
      <c r="T39" s="3088"/>
      <c r="U39" s="3088"/>
      <c r="V39" s="3088"/>
      <c r="W39" s="3088"/>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76" t="s">
        <v>2351</v>
      </c>
      <c r="Q7" s="3078"/>
      <c r="R7" s="749" t="s">
        <v>25</v>
      </c>
      <c r="S7" s="750">
        <f t="shared" ref="S7:S14" si="0">F7</f>
        <v>0</v>
      </c>
      <c r="T7" s="749" t="s">
        <v>25</v>
      </c>
      <c r="U7" s="750">
        <f t="shared" ref="U7:U14" si="1">H7</f>
        <v>0</v>
      </c>
      <c r="V7" s="749" t="s">
        <v>25</v>
      </c>
      <c r="W7" s="750">
        <f t="shared" ref="W7:W14"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80" t="s">
        <v>2357</v>
      </c>
      <c r="Q9" s="1885" t="str">
        <f t="shared" ref="Q9:Q14" si="6">B9</f>
        <v>用途</v>
      </c>
      <c r="R9" s="749" t="s">
        <v>25</v>
      </c>
      <c r="S9" s="750">
        <f t="shared" si="0"/>
        <v>100</v>
      </c>
      <c r="T9" s="749" t="s">
        <v>25</v>
      </c>
      <c r="U9" s="750">
        <f t="shared" si="1"/>
        <v>100</v>
      </c>
      <c r="V9" s="749" t="s">
        <v>25</v>
      </c>
      <c r="W9" s="750">
        <f t="shared" si="2"/>
        <v>100</v>
      </c>
      <c r="X9" s="751"/>
      <c r="Y9" s="289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80"/>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80"/>
      <c r="Q11" s="1885">
        <f t="shared" si="6"/>
        <v>111</v>
      </c>
      <c r="R11" s="749" t="s">
        <v>25</v>
      </c>
      <c r="S11" s="750">
        <f t="shared" si="0"/>
        <v>100</v>
      </c>
      <c r="T11" s="749" t="s">
        <v>25</v>
      </c>
      <c r="U11" s="750">
        <f t="shared" si="1"/>
        <v>100</v>
      </c>
      <c r="V11" s="749" t="s">
        <v>25</v>
      </c>
      <c r="W11" s="750">
        <f t="shared" si="2"/>
        <v>100</v>
      </c>
      <c r="X11" s="751"/>
      <c r="Y11" s="289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69" t="s">
        <v>2362</v>
      </c>
      <c r="Q14" s="1897" t="str">
        <f t="shared" si="6"/>
        <v>交通便捷度</v>
      </c>
      <c r="R14" s="753" t="s">
        <v>25</v>
      </c>
      <c r="S14" s="754">
        <f t="shared" si="0"/>
        <v>100</v>
      </c>
      <c r="T14" s="753" t="s">
        <v>25</v>
      </c>
      <c r="U14" s="754">
        <f t="shared" si="1"/>
        <v>100</v>
      </c>
      <c r="V14" s="753" t="s">
        <v>25</v>
      </c>
      <c r="W14" s="754">
        <f t="shared" si="2"/>
        <v>100</v>
      </c>
      <c r="X14" s="1898"/>
      <c r="Y14" s="3069"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70"/>
      <c r="Q15" s="1897"/>
      <c r="R15" s="753"/>
      <c r="S15" s="754"/>
      <c r="T15" s="753"/>
      <c r="U15" s="754"/>
      <c r="V15" s="753"/>
      <c r="W15" s="754"/>
      <c r="X15" s="1898"/>
      <c r="Y15" s="3070"/>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70"/>
      <c r="Q16" s="1897" t="str">
        <f>B16</f>
        <v>公共配套设施</v>
      </c>
      <c r="R16" s="753" t="s">
        <v>25</v>
      </c>
      <c r="S16" s="754">
        <f>F16</f>
        <v>100</v>
      </c>
      <c r="T16" s="753" t="s">
        <v>25</v>
      </c>
      <c r="U16" s="754">
        <f>H16</f>
        <v>100</v>
      </c>
      <c r="V16" s="753" t="s">
        <v>25</v>
      </c>
      <c r="W16" s="754">
        <f>J16</f>
        <v>100</v>
      </c>
      <c r="X16" s="1898"/>
      <c r="Y16" s="3070"/>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70"/>
      <c r="Q17" s="1897"/>
      <c r="R17" s="753"/>
      <c r="S17" s="754"/>
      <c r="T17" s="753"/>
      <c r="U17" s="754"/>
      <c r="V17" s="753"/>
      <c r="W17" s="754"/>
      <c r="X17" s="1898"/>
      <c r="Y17" s="3070"/>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70"/>
      <c r="Q18" s="1897" t="str">
        <f>B18</f>
        <v>基础设施水平</v>
      </c>
      <c r="R18" s="753" t="s">
        <v>25</v>
      </c>
      <c r="S18" s="754">
        <f>F18</f>
        <v>100</v>
      </c>
      <c r="T18" s="753" t="s">
        <v>25</v>
      </c>
      <c r="U18" s="754">
        <f>H18</f>
        <v>100</v>
      </c>
      <c r="V18" s="753" t="s">
        <v>25</v>
      </c>
      <c r="W18" s="754">
        <f>J18</f>
        <v>100</v>
      </c>
      <c r="X18" s="1898"/>
      <c r="Y18" s="3070"/>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70"/>
      <c r="Q19" s="1897"/>
      <c r="R19" s="753"/>
      <c r="S19" s="754"/>
      <c r="T19" s="753"/>
      <c r="U19" s="754"/>
      <c r="V19" s="753"/>
      <c r="W19" s="754"/>
      <c r="X19" s="1898"/>
      <c r="Y19" s="3070"/>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70"/>
      <c r="Q20" s="1897" t="str">
        <f>B20</f>
        <v>自然及人文环境</v>
      </c>
      <c r="R20" s="753" t="s">
        <v>25</v>
      </c>
      <c r="S20" s="754">
        <f>F20</f>
        <v>100</v>
      </c>
      <c r="T20" s="753" t="s">
        <v>25</v>
      </c>
      <c r="U20" s="754">
        <f>H20</f>
        <v>100</v>
      </c>
      <c r="V20" s="753" t="s">
        <v>25</v>
      </c>
      <c r="W20" s="754">
        <f>J20</f>
        <v>100</v>
      </c>
      <c r="X20" s="1898"/>
      <c r="Y20" s="3070"/>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70"/>
      <c r="Q21" s="1897"/>
      <c r="R21" s="753"/>
      <c r="S21" s="754"/>
      <c r="T21" s="753"/>
      <c r="U21" s="754"/>
      <c r="V21" s="753"/>
      <c r="W21" s="754"/>
      <c r="X21" s="1898"/>
      <c r="Y21" s="3070"/>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70"/>
      <c r="Q22" s="1897" t="str">
        <f>B22</f>
        <v>楼层</v>
      </c>
      <c r="R22" s="753" t="s">
        <v>25</v>
      </c>
      <c r="S22" s="754">
        <f>F22</f>
        <v>100</v>
      </c>
      <c r="T22" s="753" t="s">
        <v>25</v>
      </c>
      <c r="U22" s="754">
        <f>H22</f>
        <v>100</v>
      </c>
      <c r="V22" s="753" t="s">
        <v>25</v>
      </c>
      <c r="W22" s="754">
        <f>J22</f>
        <v>100</v>
      </c>
      <c r="X22" s="1898"/>
      <c r="Y22" s="3070"/>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70"/>
      <c r="Q23" s="1897">
        <f>B23</f>
        <v>111</v>
      </c>
      <c r="R23" s="753" t="s">
        <v>25</v>
      </c>
      <c r="S23" s="754">
        <f>F23</f>
        <v>100</v>
      </c>
      <c r="T23" s="753" t="s">
        <v>25</v>
      </c>
      <c r="U23" s="754">
        <f>H23</f>
        <v>100</v>
      </c>
      <c r="V23" s="753" t="s">
        <v>25</v>
      </c>
      <c r="W23" s="754">
        <f>J23</f>
        <v>100</v>
      </c>
      <c r="X23" s="1898"/>
      <c r="Y23" s="3070"/>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70"/>
      <c r="Q24" s="1897">
        <f t="shared" ref="Q24:Q34" si="11">B24</f>
        <v>111</v>
      </c>
      <c r="R24" s="753" t="s">
        <v>25</v>
      </c>
      <c r="S24" s="754">
        <f>F24</f>
        <v>100</v>
      </c>
      <c r="T24" s="753" t="s">
        <v>25</v>
      </c>
      <c r="U24" s="754">
        <f>H24</f>
        <v>100</v>
      </c>
      <c r="V24" s="753" t="s">
        <v>25</v>
      </c>
      <c r="W24" s="754">
        <f>J24</f>
        <v>100</v>
      </c>
      <c r="X24" s="1898"/>
      <c r="Y24" s="3070"/>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70"/>
      <c r="Q25" s="1885">
        <f t="shared" si="11"/>
        <v>111</v>
      </c>
      <c r="R25" s="749" t="s">
        <v>25</v>
      </c>
      <c r="S25" s="750">
        <f>F25</f>
        <v>100</v>
      </c>
      <c r="T25" s="749" t="s">
        <v>25</v>
      </c>
      <c r="U25" s="750">
        <f>H25</f>
        <v>100</v>
      </c>
      <c r="V25" s="749" t="s">
        <v>25</v>
      </c>
      <c r="W25" s="750">
        <f>J25</f>
        <v>100</v>
      </c>
      <c r="X25" s="751"/>
      <c r="Y25" s="3070"/>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1"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74"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74"/>
      <c r="Q27" s="755" t="str">
        <f t="shared" si="11"/>
        <v>成新率</v>
      </c>
      <c r="R27" s="756" t="s">
        <v>25</v>
      </c>
      <c r="S27" s="757" t="e">
        <f t="shared" si="12"/>
        <v>#N/A</v>
      </c>
      <c r="T27" s="756" t="s">
        <v>25</v>
      </c>
      <c r="U27" s="757" t="e">
        <f t="shared" si="13"/>
        <v>#N/A</v>
      </c>
      <c r="V27" s="756" t="s">
        <v>25</v>
      </c>
      <c r="W27" s="757" t="e">
        <f t="shared" si="14"/>
        <v>#N/A</v>
      </c>
      <c r="X27" s="758"/>
      <c r="Y27" s="3074"/>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74"/>
      <c r="Q28" s="1897" t="str">
        <f t="shared" si="11"/>
        <v>物业等级</v>
      </c>
      <c r="R28" s="753" t="s">
        <v>25</v>
      </c>
      <c r="S28" s="754">
        <f t="shared" si="12"/>
        <v>100</v>
      </c>
      <c r="T28" s="753" t="s">
        <v>25</v>
      </c>
      <c r="U28" s="754">
        <f t="shared" si="13"/>
        <v>100</v>
      </c>
      <c r="V28" s="753" t="s">
        <v>25</v>
      </c>
      <c r="W28" s="754">
        <f t="shared" si="14"/>
        <v>100</v>
      </c>
      <c r="X28" s="1898"/>
      <c r="Y28" s="3074"/>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74"/>
      <c r="Q29" s="1897" t="str">
        <f t="shared" si="11"/>
        <v>有无电梯</v>
      </c>
      <c r="R29" s="753" t="s">
        <v>25</v>
      </c>
      <c r="S29" s="754">
        <f t="shared" si="12"/>
        <v>100</v>
      </c>
      <c r="T29" s="753" t="s">
        <v>25</v>
      </c>
      <c r="U29" s="754">
        <f t="shared" si="13"/>
        <v>100</v>
      </c>
      <c r="V29" s="753" t="s">
        <v>25</v>
      </c>
      <c r="W29" s="754">
        <f t="shared" si="14"/>
        <v>100</v>
      </c>
      <c r="X29" s="1898"/>
      <c r="Y29" s="3074"/>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74"/>
      <c r="Q30" s="1897" t="str">
        <f t="shared" si="11"/>
        <v>建筑面积</v>
      </c>
      <c r="R30" s="753" t="s">
        <v>25</v>
      </c>
      <c r="S30" s="754" t="e">
        <f t="shared" si="12"/>
        <v>#N/A</v>
      </c>
      <c r="T30" s="753" t="s">
        <v>25</v>
      </c>
      <c r="U30" s="754" t="e">
        <f t="shared" si="13"/>
        <v>#N/A</v>
      </c>
      <c r="V30" s="753" t="s">
        <v>25</v>
      </c>
      <c r="W30" s="754" t="e">
        <f t="shared" si="14"/>
        <v>#N/A</v>
      </c>
      <c r="X30" s="1898"/>
      <c r="Y30" s="3074"/>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74"/>
      <c r="Q31" s="1885" t="str">
        <f t="shared" si="11"/>
        <v>是否封闭</v>
      </c>
      <c r="R31" s="749" t="s">
        <v>25</v>
      </c>
      <c r="S31" s="750">
        <f t="shared" si="12"/>
        <v>100</v>
      </c>
      <c r="T31" s="749" t="s">
        <v>25</v>
      </c>
      <c r="U31" s="750">
        <f t="shared" si="13"/>
        <v>100</v>
      </c>
      <c r="V31" s="749" t="s">
        <v>25</v>
      </c>
      <c r="W31" s="750">
        <f t="shared" si="14"/>
        <v>100</v>
      </c>
      <c r="X31" s="751"/>
      <c r="Y31" s="3074"/>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74" t="s">
        <v>2368</v>
      </c>
      <c r="Q32" s="1897">
        <f t="shared" si="11"/>
        <v>111</v>
      </c>
      <c r="R32" s="753" t="s">
        <v>25</v>
      </c>
      <c r="S32" s="754">
        <f t="shared" si="12"/>
        <v>100</v>
      </c>
      <c r="T32" s="753" t="s">
        <v>25</v>
      </c>
      <c r="U32" s="754">
        <f t="shared" si="13"/>
        <v>100</v>
      </c>
      <c r="V32" s="753" t="s">
        <v>25</v>
      </c>
      <c r="W32" s="754">
        <f t="shared" si="14"/>
        <v>100</v>
      </c>
      <c r="X32" s="1898"/>
      <c r="Y32" s="3074"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74"/>
      <c r="Q33" s="1897">
        <f t="shared" si="11"/>
        <v>111</v>
      </c>
      <c r="R33" s="753" t="s">
        <v>25</v>
      </c>
      <c r="S33" s="754">
        <f t="shared" si="12"/>
        <v>100</v>
      </c>
      <c r="T33" s="753" t="s">
        <v>25</v>
      </c>
      <c r="U33" s="754">
        <f t="shared" si="13"/>
        <v>100</v>
      </c>
      <c r="V33" s="753" t="s">
        <v>25</v>
      </c>
      <c r="W33" s="754">
        <f t="shared" si="14"/>
        <v>100</v>
      </c>
      <c r="X33" s="1898"/>
      <c r="Y33" s="3074"/>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74"/>
      <c r="Q34" s="1897">
        <f t="shared" si="11"/>
        <v>111</v>
      </c>
      <c r="R34" s="753" t="s">
        <v>25</v>
      </c>
      <c r="S34" s="754">
        <f t="shared" si="12"/>
        <v>100</v>
      </c>
      <c r="T34" s="753" t="s">
        <v>25</v>
      </c>
      <c r="U34" s="754">
        <f t="shared" si="13"/>
        <v>100</v>
      </c>
      <c r="V34" s="753" t="s">
        <v>25</v>
      </c>
      <c r="W34" s="754">
        <f t="shared" si="14"/>
        <v>100</v>
      </c>
      <c r="X34" s="1898"/>
      <c r="Y34" s="3074"/>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80" t="str">
        <f>A35</f>
        <v>成交单价（元/平方米）</v>
      </c>
      <c r="Q35" s="3080"/>
      <c r="R35" s="3081">
        <f>E35</f>
        <v>0</v>
      </c>
      <c r="S35" s="3081"/>
      <c r="T35" s="3081">
        <f>G35</f>
        <v>0</v>
      </c>
      <c r="U35" s="3081"/>
      <c r="V35" s="3081">
        <f>I35</f>
        <v>0</v>
      </c>
      <c r="W35" s="3081"/>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80" t="str">
        <f>A36</f>
        <v>比较价值（元/平方米）</v>
      </c>
      <c r="Q36" s="3080"/>
      <c r="R36" s="3081" t="e">
        <f>IF(E1="售价",ROUND(PRODUCT(R35,AA7:AA34),0),ROUND(PRODUCT(R35,AA7:AA34),1))</f>
        <v>#DIV/0!</v>
      </c>
      <c r="S36" s="3081"/>
      <c r="T36" s="3081" t="e">
        <f>IF(E1="售价",ROUND(PRODUCT(T35,AB7:AB34),0),ROUND(PRODUCT(T35,AB7:AB34),1))</f>
        <v>#DIV/0!</v>
      </c>
      <c r="U36" s="3081"/>
      <c r="V36" s="3081" t="e">
        <f>IF(E1="售价",ROUND(PRODUCT(V35,AC7:AC34),0),ROUND(PRODUCT(V35,AC7:AC34),1))</f>
        <v>#DIV/0!</v>
      </c>
      <c r="W36" s="3081"/>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86" t="str">
        <f>A37</f>
        <v>估价对象XX用房的比较价值（楼面单价，元/平方米）</v>
      </c>
      <c r="Q37" s="3087"/>
      <c r="R37" s="3088" t="e">
        <f>IF(E1="售价",ROUND(AVERAGE(R36:V36),0),ROUND(AVERAGE(R36:V36),1))</f>
        <v>#DIV/0!</v>
      </c>
      <c r="S37" s="3088"/>
      <c r="T37" s="3088"/>
      <c r="U37" s="3088"/>
      <c r="V37" s="3088"/>
      <c r="W37" s="3088"/>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30"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30"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80"/>
      <c r="Q10" s="1885" t="str">
        <f t="shared" si="6"/>
        <v>土地使用年限（年）</v>
      </c>
      <c r="R10" s="749" t="s">
        <v>25</v>
      </c>
      <c r="S10" s="750">
        <f t="shared" si="0"/>
        <v>104</v>
      </c>
      <c r="T10" s="749" t="s">
        <v>25</v>
      </c>
      <c r="U10" s="750">
        <f t="shared" si="1"/>
        <v>104</v>
      </c>
      <c r="V10" s="749" t="s">
        <v>25</v>
      </c>
      <c r="W10" s="750">
        <f t="shared" si="2"/>
        <v>104</v>
      </c>
      <c r="X10" s="751"/>
      <c r="Y10" s="2896"/>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80"/>
      <c r="Q12" s="1885" t="str">
        <f t="shared" si="6"/>
        <v>配建</v>
      </c>
      <c r="R12" s="749" t="s">
        <v>25</v>
      </c>
      <c r="S12" s="750">
        <f t="shared" si="0"/>
        <v>100</v>
      </c>
      <c r="T12" s="749" t="s">
        <v>25</v>
      </c>
      <c r="U12" s="750">
        <f t="shared" si="1"/>
        <v>100</v>
      </c>
      <c r="V12" s="749" t="s">
        <v>25</v>
      </c>
      <c r="W12" s="750">
        <f t="shared" si="2"/>
        <v>100</v>
      </c>
      <c r="X12" s="751"/>
      <c r="Y12" s="289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6"/>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69" t="s">
        <v>2362</v>
      </c>
      <c r="Q15" s="1897" t="str">
        <f t="shared" si="6"/>
        <v>居住社区成熟度</v>
      </c>
      <c r="R15" s="753" t="s">
        <v>25</v>
      </c>
      <c r="S15" s="754">
        <f t="shared" si="0"/>
        <v>100</v>
      </c>
      <c r="T15" s="753" t="s">
        <v>25</v>
      </c>
      <c r="U15" s="754">
        <f t="shared" si="1"/>
        <v>100</v>
      </c>
      <c r="V15" s="753" t="s">
        <v>25</v>
      </c>
      <c r="W15" s="754">
        <f t="shared" si="2"/>
        <v>100</v>
      </c>
      <c r="X15" s="1898"/>
      <c r="Y15" s="3069"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70"/>
      <c r="Q16" s="1897"/>
      <c r="R16" s="753"/>
      <c r="S16" s="754"/>
      <c r="T16" s="753"/>
      <c r="U16" s="754"/>
      <c r="V16" s="753"/>
      <c r="W16" s="754"/>
      <c r="X16" s="1898"/>
      <c r="Y16" s="3070"/>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70"/>
      <c r="Q17" s="1897" t="str">
        <f>B17</f>
        <v>商业繁华度</v>
      </c>
      <c r="R17" s="753" t="s">
        <v>25</v>
      </c>
      <c r="S17" s="754">
        <f>F17</f>
        <v>100</v>
      </c>
      <c r="T17" s="753" t="s">
        <v>25</v>
      </c>
      <c r="U17" s="754">
        <f>H17</f>
        <v>100</v>
      </c>
      <c r="V17" s="753" t="s">
        <v>25</v>
      </c>
      <c r="W17" s="754">
        <f>J17</f>
        <v>100</v>
      </c>
      <c r="X17" s="1898"/>
      <c r="Y17" s="3070"/>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70"/>
      <c r="Q18" s="1897"/>
      <c r="R18" s="753"/>
      <c r="S18" s="754"/>
      <c r="T18" s="753"/>
      <c r="U18" s="754"/>
      <c r="V18" s="753"/>
      <c r="W18" s="754"/>
      <c r="X18" s="1898"/>
      <c r="Y18" s="3070"/>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70"/>
      <c r="Q19" s="1897" t="str">
        <f>B19</f>
        <v>办公集聚程度</v>
      </c>
      <c r="R19" s="753" t="s">
        <v>25</v>
      </c>
      <c r="S19" s="754">
        <f>F19</f>
        <v>100</v>
      </c>
      <c r="T19" s="753" t="s">
        <v>25</v>
      </c>
      <c r="U19" s="754">
        <f>H19</f>
        <v>100</v>
      </c>
      <c r="V19" s="753" t="s">
        <v>25</v>
      </c>
      <c r="W19" s="754">
        <f>J19</f>
        <v>100</v>
      </c>
      <c r="X19" s="1898"/>
      <c r="Y19" s="3070"/>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70"/>
      <c r="Q20" s="1897"/>
      <c r="R20" s="753"/>
      <c r="S20" s="754"/>
      <c r="T20" s="753"/>
      <c r="U20" s="754"/>
      <c r="V20" s="753"/>
      <c r="W20" s="754"/>
      <c r="X20" s="1898"/>
      <c r="Y20" s="3070"/>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70"/>
      <c r="Q21" s="1897" t="str">
        <f>B21</f>
        <v>交通便捷度</v>
      </c>
      <c r="R21" s="753" t="s">
        <v>25</v>
      </c>
      <c r="S21" s="754">
        <f>F21</f>
        <v>100</v>
      </c>
      <c r="T21" s="753" t="s">
        <v>25</v>
      </c>
      <c r="U21" s="754">
        <f>H21</f>
        <v>100</v>
      </c>
      <c r="V21" s="753" t="s">
        <v>25</v>
      </c>
      <c r="W21" s="754">
        <f>J21</f>
        <v>100</v>
      </c>
      <c r="X21" s="1898"/>
      <c r="Y21" s="3070"/>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70"/>
      <c r="Q22" s="1897"/>
      <c r="R22" s="753"/>
      <c r="S22" s="754"/>
      <c r="T22" s="753"/>
      <c r="U22" s="754"/>
      <c r="V22" s="753"/>
      <c r="W22" s="754"/>
      <c r="X22" s="1898"/>
      <c r="Y22" s="3070"/>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70"/>
      <c r="Q23" s="1897" t="str">
        <f t="shared" ref="Q23:Q37" si="8">B23</f>
        <v>区域土地利用方向</v>
      </c>
      <c r="R23" s="753" t="s">
        <v>25</v>
      </c>
      <c r="S23" s="754">
        <f>F23</f>
        <v>100</v>
      </c>
      <c r="T23" s="753" t="s">
        <v>25</v>
      </c>
      <c r="U23" s="754">
        <f>H23</f>
        <v>100</v>
      </c>
      <c r="V23" s="753" t="s">
        <v>25</v>
      </c>
      <c r="W23" s="754">
        <f>J23</f>
        <v>100</v>
      </c>
      <c r="X23" s="1898"/>
      <c r="Y23" s="3070"/>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70"/>
      <c r="Q24" s="1897"/>
      <c r="R24" s="753"/>
      <c r="S24" s="754"/>
      <c r="T24" s="753"/>
      <c r="U24" s="754"/>
      <c r="V24" s="753"/>
      <c r="W24" s="754"/>
      <c r="X24" s="1898"/>
      <c r="Y24" s="3070"/>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70"/>
      <c r="Q25" s="1897" t="str">
        <f t="shared" si="8"/>
        <v>自然及人文环境状况</v>
      </c>
      <c r="R25" s="753" t="s">
        <v>25</v>
      </c>
      <c r="S25" s="754">
        <f>F25</f>
        <v>100</v>
      </c>
      <c r="T25" s="753" t="s">
        <v>25</v>
      </c>
      <c r="U25" s="754">
        <f>H25</f>
        <v>100</v>
      </c>
      <c r="V25" s="753" t="s">
        <v>25</v>
      </c>
      <c r="W25" s="754">
        <f>J25</f>
        <v>100</v>
      </c>
      <c r="X25" s="1898"/>
      <c r="Y25" s="3070"/>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70"/>
      <c r="Q26" s="1897"/>
      <c r="R26" s="753"/>
      <c r="S26" s="754"/>
      <c r="T26" s="753"/>
      <c r="U26" s="754"/>
      <c r="V26" s="753"/>
      <c r="W26" s="754"/>
      <c r="X26" s="1898"/>
      <c r="Y26" s="3070"/>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70"/>
      <c r="Q27" s="1885" t="str">
        <f t="shared" ref="Q27" si="9">B27</f>
        <v>公共配套设施</v>
      </c>
      <c r="R27" s="749" t="s">
        <v>25</v>
      </c>
      <c r="S27" s="750">
        <f>F27</f>
        <v>100</v>
      </c>
      <c r="T27" s="749" t="s">
        <v>25</v>
      </c>
      <c r="U27" s="750">
        <f>H27</f>
        <v>100</v>
      </c>
      <c r="V27" s="749" t="s">
        <v>25</v>
      </c>
      <c r="W27" s="750">
        <f>J27</f>
        <v>100</v>
      </c>
      <c r="X27" s="1898"/>
      <c r="Y27" s="3070"/>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70"/>
      <c r="Q28" s="1897"/>
      <c r="R28" s="753"/>
      <c r="S28" s="754"/>
      <c r="T28" s="753"/>
      <c r="U28" s="754"/>
      <c r="V28" s="753"/>
      <c r="W28" s="754"/>
      <c r="X28" s="1898"/>
      <c r="Y28" s="3070"/>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70"/>
      <c r="Q29" s="1885" t="str">
        <f t="shared" si="8"/>
        <v>基础设施水平</v>
      </c>
      <c r="R29" s="749" t="s">
        <v>25</v>
      </c>
      <c r="S29" s="750">
        <f>F29</f>
        <v>100</v>
      </c>
      <c r="T29" s="749" t="s">
        <v>25</v>
      </c>
      <c r="U29" s="750">
        <f>H29</f>
        <v>100</v>
      </c>
      <c r="V29" s="749" t="s">
        <v>25</v>
      </c>
      <c r="W29" s="750">
        <f>J29</f>
        <v>100</v>
      </c>
      <c r="X29" s="751"/>
      <c r="Y29" s="3070"/>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70"/>
      <c r="Q30" s="1885"/>
      <c r="R30" s="749"/>
      <c r="S30" s="750"/>
      <c r="T30" s="749"/>
      <c r="U30" s="750"/>
      <c r="V30" s="749"/>
      <c r="W30" s="750"/>
      <c r="X30" s="751"/>
      <c r="Y30" s="3070"/>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70"/>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70"/>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70"/>
      <c r="Q32" s="1897" t="str">
        <f t="shared" si="8"/>
        <v>毗邻道路的类型与等级</v>
      </c>
      <c r="R32" s="753" t="s">
        <v>25</v>
      </c>
      <c r="S32" s="754">
        <f t="shared" si="10"/>
        <v>100</v>
      </c>
      <c r="T32" s="753" t="s">
        <v>25</v>
      </c>
      <c r="U32" s="754">
        <f t="shared" si="11"/>
        <v>100</v>
      </c>
      <c r="V32" s="753" t="s">
        <v>25</v>
      </c>
      <c r="W32" s="754">
        <f t="shared" si="12"/>
        <v>100</v>
      </c>
      <c r="X32" s="1898"/>
      <c r="Y32" s="3070"/>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70"/>
      <c r="Q33" s="1897"/>
      <c r="R33" s="753"/>
      <c r="S33" s="754"/>
      <c r="T33" s="753"/>
      <c r="U33" s="754"/>
      <c r="V33" s="753"/>
      <c r="W33" s="754"/>
      <c r="X33" s="1898"/>
      <c r="Y33" s="3070"/>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70"/>
      <c r="Q34" s="1897" t="str">
        <f t="shared" si="8"/>
        <v>土地级别</v>
      </c>
      <c r="R34" s="753" t="s">
        <v>25</v>
      </c>
      <c r="S34" s="754">
        <f t="shared" si="10"/>
        <v>100</v>
      </c>
      <c r="T34" s="753" t="s">
        <v>25</v>
      </c>
      <c r="U34" s="754">
        <f t="shared" si="11"/>
        <v>100</v>
      </c>
      <c r="V34" s="753" t="s">
        <v>25</v>
      </c>
      <c r="W34" s="754">
        <f t="shared" si="12"/>
        <v>100</v>
      </c>
      <c r="X34" s="1898"/>
      <c r="Y34" s="3070"/>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70"/>
      <c r="Q35" s="1897">
        <f t="shared" si="8"/>
        <v>111</v>
      </c>
      <c r="R35" s="753" t="s">
        <v>25</v>
      </c>
      <c r="S35" s="754">
        <f t="shared" si="10"/>
        <v>100</v>
      </c>
      <c r="T35" s="753" t="s">
        <v>25</v>
      </c>
      <c r="U35" s="754">
        <f t="shared" si="11"/>
        <v>100</v>
      </c>
      <c r="V35" s="753" t="s">
        <v>25</v>
      </c>
      <c r="W35" s="754">
        <f t="shared" si="12"/>
        <v>100</v>
      </c>
      <c r="X35" s="1898"/>
      <c r="Y35" s="3070"/>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1" t="s">
        <v>2368</v>
      </c>
      <c r="Q36" s="1897">
        <f t="shared" si="8"/>
        <v>111</v>
      </c>
      <c r="R36" s="753" t="s">
        <v>25</v>
      </c>
      <c r="S36" s="754">
        <f t="shared" si="10"/>
        <v>100</v>
      </c>
      <c r="T36" s="753" t="s">
        <v>25</v>
      </c>
      <c r="U36" s="754">
        <f t="shared" si="11"/>
        <v>100</v>
      </c>
      <c r="V36" s="753" t="s">
        <v>25</v>
      </c>
      <c r="W36" s="754">
        <f t="shared" si="12"/>
        <v>100</v>
      </c>
      <c r="X36" s="1898"/>
      <c r="Y36" s="3074"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74"/>
      <c r="Q37" s="1897">
        <f t="shared" si="8"/>
        <v>111</v>
      </c>
      <c r="R37" s="756" t="s">
        <v>25</v>
      </c>
      <c r="S37" s="757">
        <f t="shared" si="10"/>
        <v>100</v>
      </c>
      <c r="T37" s="756" t="s">
        <v>25</v>
      </c>
      <c r="U37" s="757">
        <f t="shared" si="11"/>
        <v>100</v>
      </c>
      <c r="V37" s="756" t="s">
        <v>25</v>
      </c>
      <c r="W37" s="757">
        <f t="shared" si="12"/>
        <v>100</v>
      </c>
      <c r="X37" s="758"/>
      <c r="Y37" s="3074"/>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74"/>
      <c r="Q38" s="1897" t="str">
        <f>B38</f>
        <v>宗地面积</v>
      </c>
      <c r="R38" s="753" t="s">
        <v>25</v>
      </c>
      <c r="S38" s="754" t="e">
        <f t="shared" si="10"/>
        <v>#N/A</v>
      </c>
      <c r="T38" s="753" t="s">
        <v>25</v>
      </c>
      <c r="U38" s="754" t="e">
        <f t="shared" si="11"/>
        <v>#N/A</v>
      </c>
      <c r="V38" s="753" t="s">
        <v>25</v>
      </c>
      <c r="W38" s="754" t="e">
        <f t="shared" si="12"/>
        <v>#N/A</v>
      </c>
      <c r="X38" s="1898"/>
      <c r="Y38" s="3074"/>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74"/>
      <c r="Q39" s="1897" t="str">
        <f t="shared" ref="Q39:Q45" si="14">B39</f>
        <v>宗地形状</v>
      </c>
      <c r="R39" s="753" t="s">
        <v>25</v>
      </c>
      <c r="S39" s="754">
        <f t="shared" si="10"/>
        <v>100</v>
      </c>
      <c r="T39" s="753" t="s">
        <v>25</v>
      </c>
      <c r="U39" s="754">
        <f t="shared" si="11"/>
        <v>100</v>
      </c>
      <c r="V39" s="753" t="s">
        <v>25</v>
      </c>
      <c r="W39" s="754">
        <f t="shared" si="12"/>
        <v>100</v>
      </c>
      <c r="X39" s="1898"/>
      <c r="Y39" s="3074"/>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74"/>
      <c r="Q40" s="1897" t="str">
        <f t="shared" si="14"/>
        <v>临街宽度及深度</v>
      </c>
      <c r="R40" s="753" t="s">
        <v>25</v>
      </c>
      <c r="S40" s="754">
        <f t="shared" si="10"/>
        <v>100</v>
      </c>
      <c r="T40" s="753" t="s">
        <v>25</v>
      </c>
      <c r="U40" s="754">
        <f t="shared" si="11"/>
        <v>100</v>
      </c>
      <c r="V40" s="753" t="s">
        <v>25</v>
      </c>
      <c r="W40" s="754">
        <f t="shared" si="12"/>
        <v>100</v>
      </c>
      <c r="X40" s="1898"/>
      <c r="Y40" s="3074"/>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74"/>
      <c r="Q41" s="1897" t="str">
        <f t="shared" si="14"/>
        <v>宗地开发程度</v>
      </c>
      <c r="R41" s="749" t="s">
        <v>25</v>
      </c>
      <c r="S41" s="750">
        <f t="shared" si="10"/>
        <v>100</v>
      </c>
      <c r="T41" s="749" t="s">
        <v>25</v>
      </c>
      <c r="U41" s="750">
        <f t="shared" si="11"/>
        <v>100</v>
      </c>
      <c r="V41" s="749" t="s">
        <v>25</v>
      </c>
      <c r="W41" s="750">
        <f t="shared" si="12"/>
        <v>100</v>
      </c>
      <c r="X41" s="751"/>
      <c r="Y41" s="3074"/>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74" t="s">
        <v>2368</v>
      </c>
      <c r="Q42" s="1897" t="str">
        <f t="shared" si="14"/>
        <v>工程地质条件</v>
      </c>
      <c r="R42" s="753" t="s">
        <v>25</v>
      </c>
      <c r="S42" s="754">
        <f t="shared" si="10"/>
        <v>100</v>
      </c>
      <c r="T42" s="753" t="s">
        <v>25</v>
      </c>
      <c r="U42" s="754">
        <f t="shared" si="11"/>
        <v>100</v>
      </c>
      <c r="V42" s="753" t="s">
        <v>25</v>
      </c>
      <c r="W42" s="754">
        <f t="shared" si="12"/>
        <v>100</v>
      </c>
      <c r="X42" s="1898"/>
      <c r="Y42" s="3074"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74"/>
      <c r="Q43" s="1897">
        <f t="shared" si="14"/>
        <v>111</v>
      </c>
      <c r="R43" s="753" t="s">
        <v>25</v>
      </c>
      <c r="S43" s="754">
        <f t="shared" si="10"/>
        <v>100</v>
      </c>
      <c r="T43" s="753" t="s">
        <v>25</v>
      </c>
      <c r="U43" s="754">
        <f t="shared" si="11"/>
        <v>100</v>
      </c>
      <c r="V43" s="753" t="s">
        <v>25</v>
      </c>
      <c r="W43" s="754">
        <f t="shared" si="12"/>
        <v>100</v>
      </c>
      <c r="X43" s="1898"/>
      <c r="Y43" s="3074"/>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74"/>
      <c r="Q44" s="1897">
        <f t="shared" si="14"/>
        <v>111</v>
      </c>
      <c r="R44" s="753" t="s">
        <v>25</v>
      </c>
      <c r="S44" s="754">
        <f t="shared" si="10"/>
        <v>100</v>
      </c>
      <c r="T44" s="753" t="s">
        <v>25</v>
      </c>
      <c r="U44" s="754">
        <f t="shared" si="11"/>
        <v>100</v>
      </c>
      <c r="V44" s="753" t="s">
        <v>25</v>
      </c>
      <c r="W44" s="754">
        <f t="shared" si="12"/>
        <v>100</v>
      </c>
      <c r="X44" s="1898"/>
      <c r="Y44" s="3074"/>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74"/>
      <c r="Q45" s="1897">
        <f t="shared" si="14"/>
        <v>111</v>
      </c>
      <c r="R45" s="756" t="s">
        <v>25</v>
      </c>
      <c r="S45" s="757">
        <f t="shared" si="10"/>
        <v>100</v>
      </c>
      <c r="T45" s="756" t="s">
        <v>25</v>
      </c>
      <c r="U45" s="757">
        <f t="shared" si="11"/>
        <v>100</v>
      </c>
      <c r="V45" s="756" t="s">
        <v>25</v>
      </c>
      <c r="W45" s="757">
        <f t="shared" si="12"/>
        <v>100</v>
      </c>
      <c r="X45" s="758"/>
      <c r="Y45" s="3074"/>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80" t="str">
        <f>A46</f>
        <v>成交单价</v>
      </c>
      <c r="Q46" s="3080"/>
      <c r="R46" s="3062">
        <f>E46</f>
        <v>0</v>
      </c>
      <c r="S46" s="3062"/>
      <c r="T46" s="3062">
        <f>G46</f>
        <v>0</v>
      </c>
      <c r="U46" s="3062"/>
      <c r="V46" s="3062">
        <f>I46</f>
        <v>0</v>
      </c>
      <c r="W46" s="306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80" t="str">
        <f>A47</f>
        <v>比较价值（元/平方米）</v>
      </c>
      <c r="Q47" s="3080"/>
      <c r="R47" s="3102" t="e">
        <f>ROUND(PRODUCT(R46,AA7:AA45),0)</f>
        <v>#DIV/0!</v>
      </c>
      <c r="S47" s="3102"/>
      <c r="T47" s="3102" t="e">
        <f>ROUND(PRODUCT(T46,AB7:AB45),0)</f>
        <v>#DIV/0!</v>
      </c>
      <c r="U47" s="3102"/>
      <c r="V47" s="3102" t="e">
        <f>ROUND(PRODUCT(V46,AC7:AC45),0)</f>
        <v>#DIV/0!</v>
      </c>
      <c r="W47" s="310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86" t="str">
        <f>A48</f>
        <v>估价对象XX用房的比较价值（楼面单价，元/平方米）</v>
      </c>
      <c r="Q48" s="3087"/>
      <c r="R48" s="3103" t="e">
        <f>ROUND(AVERAGE(R47:V47),0)</f>
        <v>#DIV/0!</v>
      </c>
      <c r="S48" s="3103"/>
      <c r="T48" s="3103"/>
      <c r="U48" s="3103"/>
      <c r="V48" s="3103"/>
      <c r="W48" s="310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80"/>
      <c r="Q10" s="1885" t="str">
        <f t="shared" si="6"/>
        <v>土地使用年限（年）</v>
      </c>
      <c r="R10" s="749" t="s">
        <v>25</v>
      </c>
      <c r="S10" s="750">
        <f t="shared" si="0"/>
        <v>104</v>
      </c>
      <c r="T10" s="749" t="s">
        <v>25</v>
      </c>
      <c r="U10" s="750">
        <f t="shared" si="1"/>
        <v>104</v>
      </c>
      <c r="V10" s="749" t="s">
        <v>25</v>
      </c>
      <c r="W10" s="750">
        <f t="shared" si="2"/>
        <v>104</v>
      </c>
      <c r="X10" s="751"/>
      <c r="Y10" s="2896"/>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69" t="s">
        <v>2362</v>
      </c>
      <c r="Q15" s="1897" t="str">
        <f t="shared" si="6"/>
        <v>产业集聚程度</v>
      </c>
      <c r="R15" s="753" t="s">
        <v>25</v>
      </c>
      <c r="S15" s="754">
        <f t="shared" si="0"/>
        <v>100</v>
      </c>
      <c r="T15" s="753" t="s">
        <v>25</v>
      </c>
      <c r="U15" s="754">
        <f t="shared" si="1"/>
        <v>100</v>
      </c>
      <c r="V15" s="753" t="s">
        <v>25</v>
      </c>
      <c r="W15" s="754">
        <f t="shared" si="2"/>
        <v>100</v>
      </c>
      <c r="X15" s="1898"/>
      <c r="Y15" s="3069"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70"/>
      <c r="Q16" s="1897"/>
      <c r="R16" s="753"/>
      <c r="S16" s="754"/>
      <c r="T16" s="753"/>
      <c r="U16" s="754"/>
      <c r="V16" s="753"/>
      <c r="W16" s="754"/>
      <c r="X16" s="1898"/>
      <c r="Y16" s="3070"/>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70"/>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70"/>
      <c r="Q18" s="1897"/>
      <c r="R18" s="753"/>
      <c r="S18" s="754"/>
      <c r="T18" s="753"/>
      <c r="U18" s="754"/>
      <c r="V18" s="753"/>
      <c r="W18" s="754"/>
      <c r="X18" s="1898"/>
      <c r="Y18" s="3070"/>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70"/>
      <c r="Q19" s="1897" t="str">
        <f t="shared" ref="Q19:Q33" si="8">B19</f>
        <v>区域土地利用方向</v>
      </c>
      <c r="R19" s="753" t="s">
        <v>25</v>
      </c>
      <c r="S19" s="754">
        <f>F19</f>
        <v>100</v>
      </c>
      <c r="T19" s="753" t="s">
        <v>25</v>
      </c>
      <c r="U19" s="754">
        <f>H19</f>
        <v>100</v>
      </c>
      <c r="V19" s="753" t="s">
        <v>25</v>
      </c>
      <c r="W19" s="754">
        <f>J19</f>
        <v>100</v>
      </c>
      <c r="X19" s="1898"/>
      <c r="Y19" s="3070"/>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70"/>
      <c r="Q20" s="1897"/>
      <c r="R20" s="753"/>
      <c r="S20" s="754"/>
      <c r="T20" s="753"/>
      <c r="U20" s="754"/>
      <c r="V20" s="753"/>
      <c r="W20" s="754"/>
      <c r="X20" s="1898"/>
      <c r="Y20" s="3070"/>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70"/>
      <c r="Q21" s="1897" t="str">
        <f t="shared" si="8"/>
        <v>环境状况</v>
      </c>
      <c r="R21" s="753" t="s">
        <v>25</v>
      </c>
      <c r="S21" s="754">
        <f>F21</f>
        <v>100</v>
      </c>
      <c r="T21" s="753" t="s">
        <v>25</v>
      </c>
      <c r="U21" s="754">
        <f>H21</f>
        <v>100</v>
      </c>
      <c r="V21" s="753" t="s">
        <v>25</v>
      </c>
      <c r="W21" s="754">
        <f>J21</f>
        <v>100</v>
      </c>
      <c r="X21" s="1898"/>
      <c r="Y21" s="3070"/>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70"/>
      <c r="Q22" s="1897"/>
      <c r="R22" s="753"/>
      <c r="S22" s="754"/>
      <c r="T22" s="753"/>
      <c r="U22" s="754"/>
      <c r="V22" s="753"/>
      <c r="W22" s="754"/>
      <c r="X22" s="1898"/>
      <c r="Y22" s="3070"/>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70"/>
      <c r="Q23" s="1885" t="str">
        <f t="shared" si="8"/>
        <v>公共配套设施</v>
      </c>
      <c r="R23" s="749" t="s">
        <v>25</v>
      </c>
      <c r="S23" s="750">
        <f>F23</f>
        <v>100</v>
      </c>
      <c r="T23" s="749" t="s">
        <v>25</v>
      </c>
      <c r="U23" s="750">
        <f>H23</f>
        <v>100</v>
      </c>
      <c r="V23" s="749" t="s">
        <v>25</v>
      </c>
      <c r="W23" s="750">
        <f>J23</f>
        <v>100</v>
      </c>
      <c r="X23" s="751"/>
      <c r="Y23" s="3070"/>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70"/>
      <c r="Q24" s="1885"/>
      <c r="R24" s="749"/>
      <c r="S24" s="750"/>
      <c r="T24" s="749"/>
      <c r="U24" s="750"/>
      <c r="V24" s="749"/>
      <c r="W24" s="750"/>
      <c r="X24" s="751"/>
      <c r="Y24" s="3070"/>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70"/>
      <c r="Q25" s="1885" t="str">
        <f t="shared" ref="Q25" si="9">B25</f>
        <v>基础设施水平</v>
      </c>
      <c r="R25" s="749" t="s">
        <v>25</v>
      </c>
      <c r="S25" s="750">
        <f>F25</f>
        <v>100</v>
      </c>
      <c r="T25" s="749" t="s">
        <v>25</v>
      </c>
      <c r="U25" s="750">
        <f>H25</f>
        <v>100</v>
      </c>
      <c r="V25" s="749" t="s">
        <v>25</v>
      </c>
      <c r="W25" s="750">
        <f>J25</f>
        <v>100</v>
      </c>
      <c r="X25" s="751"/>
      <c r="Y25" s="3070"/>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70"/>
      <c r="Q26" s="1885"/>
      <c r="R26" s="749"/>
      <c r="S26" s="750"/>
      <c r="T26" s="749"/>
      <c r="U26" s="750"/>
      <c r="V26" s="749"/>
      <c r="W26" s="750"/>
      <c r="X26" s="751"/>
      <c r="Y26" s="3070"/>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70"/>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70"/>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70"/>
      <c r="Q28" s="1897" t="str">
        <f t="shared" si="8"/>
        <v>毗邻道路的类型与等级</v>
      </c>
      <c r="R28" s="753" t="s">
        <v>25</v>
      </c>
      <c r="S28" s="754">
        <f t="shared" si="10"/>
        <v>100</v>
      </c>
      <c r="T28" s="753" t="s">
        <v>25</v>
      </c>
      <c r="U28" s="754">
        <f t="shared" si="11"/>
        <v>100</v>
      </c>
      <c r="V28" s="753" t="s">
        <v>25</v>
      </c>
      <c r="W28" s="754">
        <f t="shared" si="12"/>
        <v>100</v>
      </c>
      <c r="X28" s="1898"/>
      <c r="Y28" s="3070"/>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70"/>
      <c r="Q29" s="1897"/>
      <c r="R29" s="753"/>
      <c r="S29" s="754"/>
      <c r="T29" s="753"/>
      <c r="U29" s="754"/>
      <c r="V29" s="753"/>
      <c r="W29" s="754"/>
      <c r="X29" s="1898"/>
      <c r="Y29" s="3070"/>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70"/>
      <c r="Q30" s="1897" t="str">
        <f t="shared" si="8"/>
        <v>土地级别</v>
      </c>
      <c r="R30" s="753" t="s">
        <v>25</v>
      </c>
      <c r="S30" s="754">
        <f t="shared" si="10"/>
        <v>100</v>
      </c>
      <c r="T30" s="753" t="s">
        <v>25</v>
      </c>
      <c r="U30" s="754">
        <f t="shared" si="11"/>
        <v>100</v>
      </c>
      <c r="V30" s="753" t="s">
        <v>25</v>
      </c>
      <c r="W30" s="754">
        <f t="shared" si="12"/>
        <v>100</v>
      </c>
      <c r="X30" s="1898"/>
      <c r="Y30" s="3070"/>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70"/>
      <c r="Q31" s="1897">
        <f t="shared" si="8"/>
        <v>111</v>
      </c>
      <c r="R31" s="753" t="s">
        <v>25</v>
      </c>
      <c r="S31" s="754">
        <f t="shared" si="10"/>
        <v>100</v>
      </c>
      <c r="T31" s="753" t="s">
        <v>25</v>
      </c>
      <c r="U31" s="754">
        <f t="shared" si="11"/>
        <v>100</v>
      </c>
      <c r="V31" s="753" t="s">
        <v>25</v>
      </c>
      <c r="W31" s="754">
        <f t="shared" si="12"/>
        <v>100</v>
      </c>
      <c r="X31" s="1898"/>
      <c r="Y31" s="3070"/>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1" t="s">
        <v>2368</v>
      </c>
      <c r="Q32" s="1897">
        <f t="shared" si="8"/>
        <v>111</v>
      </c>
      <c r="R32" s="753" t="s">
        <v>25</v>
      </c>
      <c r="S32" s="754">
        <f t="shared" si="10"/>
        <v>100</v>
      </c>
      <c r="T32" s="753" t="s">
        <v>25</v>
      </c>
      <c r="U32" s="754">
        <f t="shared" si="11"/>
        <v>100</v>
      </c>
      <c r="V32" s="753" t="s">
        <v>25</v>
      </c>
      <c r="W32" s="754">
        <f t="shared" si="12"/>
        <v>100</v>
      </c>
      <c r="X32" s="1898"/>
      <c r="Y32" s="3074"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74"/>
      <c r="Q33" s="1897">
        <f t="shared" si="8"/>
        <v>111</v>
      </c>
      <c r="R33" s="756" t="s">
        <v>25</v>
      </c>
      <c r="S33" s="757">
        <f t="shared" si="10"/>
        <v>100</v>
      </c>
      <c r="T33" s="756" t="s">
        <v>25</v>
      </c>
      <c r="U33" s="757">
        <f t="shared" si="11"/>
        <v>100</v>
      </c>
      <c r="V33" s="756" t="s">
        <v>25</v>
      </c>
      <c r="W33" s="757">
        <f t="shared" si="12"/>
        <v>100</v>
      </c>
      <c r="X33" s="758"/>
      <c r="Y33" s="3074"/>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74"/>
      <c r="Q34" s="1897" t="str">
        <f>B34</f>
        <v>宗地面积</v>
      </c>
      <c r="R34" s="753" t="s">
        <v>25</v>
      </c>
      <c r="S34" s="754" t="e">
        <f t="shared" si="10"/>
        <v>#N/A</v>
      </c>
      <c r="T34" s="753" t="s">
        <v>25</v>
      </c>
      <c r="U34" s="754" t="e">
        <f t="shared" si="11"/>
        <v>#N/A</v>
      </c>
      <c r="V34" s="753" t="s">
        <v>25</v>
      </c>
      <c r="W34" s="754" t="e">
        <f t="shared" si="12"/>
        <v>#N/A</v>
      </c>
      <c r="X34" s="1898"/>
      <c r="Y34" s="3074"/>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74"/>
      <c r="Q35" s="1897" t="str">
        <f t="shared" ref="Q35:Q40" si="14">B35</f>
        <v>宗地形状</v>
      </c>
      <c r="R35" s="753" t="s">
        <v>25</v>
      </c>
      <c r="S35" s="754">
        <f t="shared" si="10"/>
        <v>100</v>
      </c>
      <c r="T35" s="753" t="s">
        <v>25</v>
      </c>
      <c r="U35" s="754">
        <f t="shared" si="11"/>
        <v>100</v>
      </c>
      <c r="V35" s="753" t="s">
        <v>25</v>
      </c>
      <c r="W35" s="754">
        <f t="shared" si="12"/>
        <v>100</v>
      </c>
      <c r="X35" s="1898"/>
      <c r="Y35" s="3074"/>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74"/>
      <c r="Q36" s="1897" t="str">
        <f t="shared" si="14"/>
        <v>宗地开发程度</v>
      </c>
      <c r="R36" s="749" t="s">
        <v>25</v>
      </c>
      <c r="S36" s="750">
        <f t="shared" si="10"/>
        <v>100</v>
      </c>
      <c r="T36" s="749" t="s">
        <v>25</v>
      </c>
      <c r="U36" s="750">
        <f t="shared" si="11"/>
        <v>100</v>
      </c>
      <c r="V36" s="749" t="s">
        <v>25</v>
      </c>
      <c r="W36" s="750">
        <f t="shared" si="12"/>
        <v>100</v>
      </c>
      <c r="X36" s="751"/>
      <c r="Y36" s="3074"/>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74" t="s">
        <v>2368</v>
      </c>
      <c r="Q37" s="1897" t="str">
        <f t="shared" si="14"/>
        <v>工程地质条件</v>
      </c>
      <c r="R37" s="753" t="s">
        <v>25</v>
      </c>
      <c r="S37" s="754">
        <f t="shared" si="10"/>
        <v>100</v>
      </c>
      <c r="T37" s="753" t="s">
        <v>25</v>
      </c>
      <c r="U37" s="754">
        <f t="shared" si="11"/>
        <v>100</v>
      </c>
      <c r="V37" s="753" t="s">
        <v>25</v>
      </c>
      <c r="W37" s="754">
        <f t="shared" si="12"/>
        <v>100</v>
      </c>
      <c r="X37" s="1898"/>
      <c r="Y37" s="3074"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74"/>
      <c r="Q38" s="1897">
        <f t="shared" si="14"/>
        <v>111</v>
      </c>
      <c r="R38" s="753" t="s">
        <v>25</v>
      </c>
      <c r="S38" s="754">
        <f t="shared" si="10"/>
        <v>100</v>
      </c>
      <c r="T38" s="753" t="s">
        <v>25</v>
      </c>
      <c r="U38" s="754">
        <f t="shared" si="11"/>
        <v>100</v>
      </c>
      <c r="V38" s="753" t="s">
        <v>25</v>
      </c>
      <c r="W38" s="754">
        <f t="shared" si="12"/>
        <v>100</v>
      </c>
      <c r="X38" s="1898"/>
      <c r="Y38" s="3074"/>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74"/>
      <c r="Q39" s="1897">
        <f t="shared" si="14"/>
        <v>111</v>
      </c>
      <c r="R39" s="753" t="s">
        <v>25</v>
      </c>
      <c r="S39" s="754">
        <f t="shared" si="10"/>
        <v>100</v>
      </c>
      <c r="T39" s="753" t="s">
        <v>25</v>
      </c>
      <c r="U39" s="754">
        <f t="shared" si="11"/>
        <v>100</v>
      </c>
      <c r="V39" s="753" t="s">
        <v>25</v>
      </c>
      <c r="W39" s="754">
        <f t="shared" si="12"/>
        <v>100</v>
      </c>
      <c r="X39" s="1898"/>
      <c r="Y39" s="3074"/>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74"/>
      <c r="Q40" s="1897">
        <f t="shared" si="14"/>
        <v>111</v>
      </c>
      <c r="R40" s="756" t="s">
        <v>25</v>
      </c>
      <c r="S40" s="757">
        <f t="shared" si="10"/>
        <v>100</v>
      </c>
      <c r="T40" s="756" t="s">
        <v>25</v>
      </c>
      <c r="U40" s="757">
        <f t="shared" si="11"/>
        <v>100</v>
      </c>
      <c r="V40" s="756" t="s">
        <v>25</v>
      </c>
      <c r="W40" s="757">
        <f t="shared" si="12"/>
        <v>100</v>
      </c>
      <c r="X40" s="758"/>
      <c r="Y40" s="3074"/>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80" t="str">
        <f>A41</f>
        <v>成交单价</v>
      </c>
      <c r="Q41" s="3080"/>
      <c r="R41" s="3062">
        <f>E41</f>
        <v>0</v>
      </c>
      <c r="S41" s="3062"/>
      <c r="T41" s="3062">
        <f>G41</f>
        <v>0</v>
      </c>
      <c r="U41" s="3062"/>
      <c r="V41" s="3062">
        <f>I41</f>
        <v>0</v>
      </c>
      <c r="W41" s="306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80" t="str">
        <f>A42</f>
        <v>比较价值（元/平方米）</v>
      </c>
      <c r="Q42" s="3080"/>
      <c r="R42" s="3102" t="e">
        <f>ROUND(PRODUCT(R41,AA7:AA40),0)</f>
        <v>#DIV/0!</v>
      </c>
      <c r="S42" s="3102"/>
      <c r="T42" s="3102" t="e">
        <f>ROUND(PRODUCT(T41,AB7:AB40),0)</f>
        <v>#DIV/0!</v>
      </c>
      <c r="U42" s="3102"/>
      <c r="V42" s="3102" t="e">
        <f>ROUND(PRODUCT(V41,AC7:AC40),0)</f>
        <v>#DIV/0!</v>
      </c>
      <c r="W42" s="310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86" t="str">
        <f>A43</f>
        <v>估价对象XX用房的比较价值（楼面单价，元/平方米）</v>
      </c>
      <c r="Q43" s="3087"/>
      <c r="R43" s="3103" t="e">
        <f>ROUND(AVERAGE(R42:V42),0)</f>
        <v>#DIV/0!</v>
      </c>
      <c r="S43" s="3103"/>
      <c r="T43" s="3103"/>
      <c r="U43" s="3103"/>
      <c r="V43" s="3103"/>
      <c r="W43" s="310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tabColor rgb="FF92D050"/>
  </sheetPr>
  <dimension ref="A1:AK118"/>
  <sheetViews>
    <sheetView view="pageBreakPreview" topLeftCell="A16" zoomScale="90" zoomScaleNormal="90" zoomScaleSheetLayoutView="90" workbookViewId="0">
      <selection activeCell="F21" sqref="F21"/>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29719</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55364</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29719</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39741</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20"/>
      <c r="B4" s="3121"/>
      <c r="C4" s="3121"/>
      <c r="D4" s="3122"/>
      <c r="E4" s="3122"/>
      <c r="F4" s="3122"/>
      <c r="G4" s="3122"/>
      <c r="H4" s="3122"/>
      <c r="I4" s="3122"/>
      <c r="J4" s="3123"/>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32061</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25725</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21906</v>
      </c>
      <c r="U6" s="1709"/>
      <c r="V6" s="1708">
        <f t="shared" ca="1" si="1"/>
        <v>0</v>
      </c>
      <c r="W6" s="1712"/>
      <c r="X6" s="1712"/>
      <c r="Y6" s="1712"/>
      <c r="Z6" s="1712"/>
      <c r="AA6" s="1712"/>
      <c r="AB6" s="1712"/>
      <c r="AC6" s="2522"/>
      <c r="AD6" s="2523"/>
      <c r="AE6" s="2523"/>
      <c r="AF6" s="2523"/>
      <c r="AG6" s="2523"/>
      <c r="AH6" s="2523"/>
      <c r="AI6" s="2523"/>
      <c r="AJ6" s="2524"/>
    </row>
    <row r="7" spans="1:36" ht="24">
      <c r="A7" s="3104"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19264</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05"/>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17" t="s">
        <v>2630</v>
      </c>
      <c r="X8" s="3118"/>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05"/>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19"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5"/>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1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5"/>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19"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04">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19"/>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24"/>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19"/>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24"/>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25"/>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04">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05"/>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0.9667</v>
      </c>
      <c r="D20" s="2590" t="s">
        <v>2690</v>
      </c>
      <c r="E20" s="1855">
        <f ca="1">存贷款利率!D4/100</f>
        <v>4.3499999999999997E-2</v>
      </c>
      <c r="F20" s="2590" t="s">
        <v>2679</v>
      </c>
      <c r="G20" s="962">
        <f ca="1">SUMIF(M15:P15,E2,M17:P17)</f>
        <v>0.05</v>
      </c>
      <c r="H20" s="2590" t="s">
        <v>2691</v>
      </c>
      <c r="I20" s="963">
        <f>'数据-取费表'!B13</f>
        <v>56</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29719</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29719</v>
      </c>
      <c r="D29" s="2631">
        <f>项目基本情况!C12</f>
        <v>1</v>
      </c>
      <c r="E29" s="971">
        <f ca="1">ROUND(C29*D29,0)</f>
        <v>29719</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7430</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14" t="s">
        <v>2724</v>
      </c>
      <c r="B33" s="2646" t="s">
        <v>2725</v>
      </c>
      <c r="C33" s="123">
        <f ca="1">ROUND(D5*C19*C20*C24*F33,0)</f>
        <v>17186</v>
      </c>
      <c r="D33" s="2631"/>
      <c r="E33" s="117">
        <f t="shared" ref="E33:E39" ca="1" si="6">ROUND(C33*D33,0)</f>
        <v>0</v>
      </c>
      <c r="F33" s="117">
        <f>SUMIF(修正!A45:A56,G2,修正!B45:B56)</f>
        <v>0.7</v>
      </c>
      <c r="G33" s="117">
        <f t="shared" ref="G33" ca="1" si="7">ROUND(IF(E2="工业",C33*$M$39,C33*$M$38),0)</f>
        <v>4297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5"/>
      <c r="B34" s="2553" t="s">
        <v>2726</v>
      </c>
      <c r="C34" s="123">
        <f ca="1">ROUND(D5*C19*C20*C24*F34,0)</f>
        <v>9821</v>
      </c>
      <c r="D34" s="2631"/>
      <c r="E34" s="117">
        <f t="shared" ca="1" si="6"/>
        <v>0</v>
      </c>
      <c r="F34" s="117">
        <f>SUMIF(修正!A45:A56,G2,修正!C45:C56)</f>
        <v>0.4</v>
      </c>
      <c r="G34" s="117">
        <f ca="1">ROUND(IF(E2="工业",C34*$M$39,C34*$M$38),0)</f>
        <v>2455</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5"/>
      <c r="B35" s="2553" t="s">
        <v>2727</v>
      </c>
      <c r="C35" s="123">
        <f ca="1">ROUND(D5*C19*C20*C24*F35,0)</f>
        <v>6875</v>
      </c>
      <c r="D35" s="2631"/>
      <c r="E35" s="117">
        <f t="shared" ca="1" si="6"/>
        <v>0</v>
      </c>
      <c r="F35" s="117">
        <f>SUMIF(修正!A45:A56,G2,修正!D45:D56)</f>
        <v>0.28000000000000003</v>
      </c>
      <c r="G35" s="117">
        <f ca="1">ROUND(IF(E2="工业",C35*$M$39,C35*$M$38),0)</f>
        <v>1719</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6"/>
      <c r="B36" s="2553" t="s">
        <v>2728</v>
      </c>
      <c r="C36" s="123">
        <f ca="1">ROUND(D5*C19*C20*C24*F36,0)</f>
        <v>6138</v>
      </c>
      <c r="D36" s="2631"/>
      <c r="E36" s="117">
        <f t="shared" ca="1" si="6"/>
        <v>0</v>
      </c>
      <c r="F36" s="117">
        <f>SUMIF(修正!A45:A56,G2,修正!E45:E56)</f>
        <v>0.25</v>
      </c>
      <c r="G36" s="117">
        <f ca="1">ROUND(IF(E2="工业",C36*$M$39,C36*$M$38),0)</f>
        <v>1535</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6138</v>
      </c>
      <c r="D37" s="2631"/>
      <c r="E37" s="117">
        <f t="shared" ca="1" si="6"/>
        <v>0</v>
      </c>
      <c r="F37" s="123">
        <f>SUMIF(修正!A45:A56,G2,修正!F45:F56)</f>
        <v>0.25</v>
      </c>
      <c r="G37" s="117">
        <f ca="1">ROUND(IF(E2="工业",C37*$M$39,C37*$M$38),0)</f>
        <v>1535</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06" t="s">
        <v>2773</v>
      </c>
      <c r="B90" s="3106"/>
      <c r="C90" s="3106"/>
      <c r="D90" s="3106"/>
      <c r="E90" s="3106"/>
      <c r="F90" s="3106"/>
      <c r="G90" s="3106"/>
      <c r="H90" s="3106"/>
      <c r="I90" s="3106"/>
      <c r="J90" s="3106"/>
      <c r="K90" s="2684"/>
      <c r="L90" s="2684"/>
      <c r="M90" s="2684"/>
      <c r="N90" s="2684"/>
    </row>
    <row r="91" spans="1:37">
      <c r="A91" s="3108" t="s">
        <v>2774</v>
      </c>
      <c r="B91" s="3108" t="s">
        <v>2775</v>
      </c>
      <c r="C91" s="2632" t="s">
        <v>2776</v>
      </c>
      <c r="D91" s="2633"/>
      <c r="E91" s="2633"/>
      <c r="F91" s="2633"/>
      <c r="G91" s="2633"/>
      <c r="H91" s="2633"/>
      <c r="I91" s="2633"/>
      <c r="J91" s="2685"/>
      <c r="K91" s="2686"/>
      <c r="L91" s="2686"/>
      <c r="M91" s="2686"/>
      <c r="N91" s="2686"/>
    </row>
    <row r="92" spans="1:37">
      <c r="A92" s="3108"/>
      <c r="B92" s="3108"/>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09"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0"/>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09"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10"/>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10"/>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10"/>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10"/>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10"/>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10"/>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10"/>
      <c r="B108" s="3112"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1"/>
      <c r="B109" s="3113"/>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07" t="s">
        <v>2781</v>
      </c>
      <c r="B110" s="3107"/>
      <c r="C110" s="3107"/>
      <c r="D110" s="3107"/>
      <c r="E110" s="3107"/>
      <c r="F110" s="3107"/>
      <c r="G110" s="3107"/>
      <c r="H110" s="3107"/>
      <c r="I110" s="3107"/>
      <c r="J110" s="3107"/>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2.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31388</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31388</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1318</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1313</v>
      </c>
      <c r="D6" s="80" t="s">
        <v>2797</v>
      </c>
      <c r="E6" s="319" t="s">
        <v>2107</v>
      </c>
      <c r="F6" s="320">
        <f>'数据-取费表'!B29</f>
        <v>3.91</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5</v>
      </c>
      <c r="D10" s="2339" t="s">
        <v>2805</v>
      </c>
      <c r="E10" s="330" t="s">
        <v>2114</v>
      </c>
      <c r="F10" s="2340" t="s">
        <v>2909</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145</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65.900000000000006</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13</v>
      </c>
      <c r="D38" s="1432" t="s">
        <v>2177</v>
      </c>
      <c r="E38" s="1430" t="s">
        <v>2173</v>
      </c>
      <c r="F38" s="1425">
        <f>'数据-取费表'!B46</f>
        <v>0.01</v>
      </c>
      <c r="G38" s="791"/>
      <c r="H38" s="1229"/>
      <c r="I38" s="365" t="s">
        <v>2215</v>
      </c>
      <c r="J38" s="220">
        <f ca="1">ROUND(J34/C39,3)</f>
        <v>0.223</v>
      </c>
      <c r="K38" s="1234"/>
      <c r="L38" s="1229"/>
      <c r="M38" s="1229"/>
    </row>
    <row r="39" spans="1:18" ht="18" customHeight="1" thickTop="1">
      <c r="A39" s="1419" t="s">
        <v>22</v>
      </c>
      <c r="B39" s="1434" t="s">
        <v>2216</v>
      </c>
      <c r="C39" s="327">
        <f ca="1">C5-C30</f>
        <v>1173</v>
      </c>
      <c r="D39" s="1435" t="s">
        <v>2217</v>
      </c>
      <c r="E39" s="1436"/>
      <c r="F39" s="1437"/>
      <c r="G39" s="791"/>
      <c r="H39" s="1229"/>
      <c r="I39" s="365" t="s">
        <v>2218</v>
      </c>
      <c r="J39" s="220">
        <f ca="1">1-J38</f>
        <v>0.77700000000000002</v>
      </c>
      <c r="K39" s="1234"/>
      <c r="L39" s="1229"/>
      <c r="M39" s="1229"/>
    </row>
    <row r="40" spans="1:18" s="791" customFormat="1" ht="18" customHeight="1">
      <c r="A40" s="316" t="s">
        <v>23</v>
      </c>
      <c r="B40" s="317" t="s">
        <v>2219</v>
      </c>
      <c r="C40" s="318">
        <f ca="1">ROUND(C39*(1-((1+F42)/(1+F40))^F41)/(F40-F42),0)</f>
        <v>31388</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56</v>
      </c>
      <c r="H41" s="1236"/>
      <c r="I41" s="219" t="s">
        <v>2093</v>
      </c>
      <c r="J41" s="220">
        <f ca="1">ROUND(C13/C40,3)</f>
        <v>0.104</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0.89600000000000002</v>
      </c>
      <c r="K42" s="1233"/>
      <c r="L42" s="1236"/>
      <c r="M42" s="1236"/>
      <c r="Q42" s="795"/>
    </row>
    <row r="43" spans="1:18" s="791" customFormat="1" ht="18" customHeight="1" thickBot="1">
      <c r="A43" s="356" t="s">
        <v>24</v>
      </c>
      <c r="B43" s="357" t="s">
        <v>2222</v>
      </c>
      <c r="C43" s="358">
        <f ca="1">ROUND(C40/F43,0)</f>
        <v>31388</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31388</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-32622</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2898</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2907</v>
      </c>
      <c r="K49" s="2352" t="s">
        <v>2247</v>
      </c>
      <c r="L49" s="1127">
        <f>'数据-取费表'!B13</f>
        <v>56</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56</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31388</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632883</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56</v>
      </c>
      <c r="K54" s="3131" t="s">
        <v>2796</v>
      </c>
      <c r="L54" s="3132"/>
      <c r="O54" s="1366" t="s">
        <v>955</v>
      </c>
      <c r="P54" s="1367" t="s">
        <v>2230</v>
      </c>
      <c r="Q54" s="1368">
        <f ca="1">C40+J29</f>
        <v>31388</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2908</v>
      </c>
      <c r="K57" s="2350" t="s">
        <v>2268</v>
      </c>
      <c r="L57" s="1127">
        <f>IF(L49&lt;J52,"——",L49-J52)</f>
        <v>8</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632883</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31388</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31388</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632883</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911</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1173</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-1234</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56</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-1234</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31388</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8" t="s">
        <v>1030</v>
      </c>
      <c r="C1" s="3138"/>
      <c r="D1" s="3138"/>
      <c r="E1" s="3138"/>
      <c r="F1" s="3138"/>
      <c r="G1" s="3137" t="s">
        <v>1031</v>
      </c>
      <c r="H1" s="3137"/>
      <c r="I1" s="3137"/>
      <c r="J1" s="3137"/>
      <c r="K1" s="3137"/>
      <c r="L1" s="3137"/>
      <c r="N1" s="3137" t="s">
        <v>1032</v>
      </c>
      <c r="O1" s="3137"/>
      <c r="P1" s="3137"/>
      <c r="Q1" s="3137"/>
      <c r="R1" s="1547"/>
      <c r="S1" s="3137" t="s">
        <v>1033</v>
      </c>
      <c r="T1" s="3137"/>
      <c r="U1" s="3137"/>
      <c r="V1" s="3137"/>
      <c r="X1" s="3136" t="s">
        <v>1034</v>
      </c>
      <c r="Y1" s="3137"/>
      <c r="Z1" s="3137"/>
      <c r="AA1" s="3137"/>
      <c r="AB1" s="3137"/>
      <c r="AD1" s="3136" t="s">
        <v>1035</v>
      </c>
      <c r="AE1" s="3137"/>
      <c r="AF1" s="3137"/>
      <c r="AG1" s="3137"/>
      <c r="AH1" s="3137"/>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4">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4"/>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4"/>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3"/>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9">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4"/>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4"/>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3"/>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9">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4"/>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4"/>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5"/>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3">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4"/>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4"/>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5"/>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3">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4"/>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4"/>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5"/>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0">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1"/>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1"/>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2"/>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3">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4"/>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4"/>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5"/>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3">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4">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4">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5">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3">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4">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4">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5">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3">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4">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4">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5">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3">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4">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4">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5">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3">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4">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4">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5">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3">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4">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4">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5">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3">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4">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4">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5">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3">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4">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4">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5">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3">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4">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4">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5">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3">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4">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4">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5">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19"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3"/>
      <c r="C2" s="2783"/>
      <c r="D2" s="2783"/>
      <c r="E2" s="2783"/>
    </row>
    <row r="3" spans="1:5" ht="13.5" customHeight="1">
      <c r="A3" s="1928"/>
      <c r="B3" s="1928"/>
      <c r="C3" s="1928"/>
      <c r="D3" s="1928"/>
      <c r="E3" s="1928"/>
    </row>
    <row r="4" spans="1:5" ht="19.5" thickBot="1">
      <c r="A4" s="2784" t="str">
        <f>IF(项目基本情况!D5="房地产市场价值","估价结果一览表（市场价值不需本页表格)","估价结果一览表")</f>
        <v>估价结果一览表（市场价值不需本页表格)</v>
      </c>
      <c r="B4" s="2784"/>
      <c r="C4" s="2784"/>
      <c r="D4" s="2784"/>
      <c r="E4" s="2784"/>
    </row>
    <row r="5" spans="1:5" ht="14.25" customHeight="1" thickTop="1">
      <c r="A5" s="1925"/>
      <c r="B5" s="1929" t="s">
        <v>742</v>
      </c>
      <c r="C5" s="2785" t="s">
        <v>781</v>
      </c>
      <c r="D5" s="2786"/>
      <c r="E5" s="1925"/>
    </row>
    <row r="6" spans="1:5" ht="14.25">
      <c r="A6" s="1925"/>
      <c r="B6" s="1930" t="str">
        <f>项目基本情况!I1</f>
        <v>北京市房地产</v>
      </c>
      <c r="C6" s="2787">
        <f>项目基本情况!C12</f>
        <v>1</v>
      </c>
      <c r="D6" s="2787"/>
      <c r="E6" s="1925"/>
    </row>
    <row r="7" spans="1:5" ht="14.25">
      <c r="A7" s="1925"/>
      <c r="B7" s="2781" t="s">
        <v>782</v>
      </c>
      <c r="C7" s="1931" t="str">
        <f>IF('数据-取费表'!B3="万元","总价（万元）","总价（元）")</f>
        <v>总价（元）</v>
      </c>
      <c r="D7" s="1932">
        <f ca="1">IF('数据-取费表'!E3="否",结果表!I102,'结果表 (1修多)'!I103)</f>
        <v>36203</v>
      </c>
      <c r="E7" s="1925"/>
    </row>
    <row r="8" spans="1:5" ht="14.25">
      <c r="A8" s="1925"/>
      <c r="B8" s="2781"/>
      <c r="C8" s="1933" t="s">
        <v>1172</v>
      </c>
      <c r="D8" s="1934" t="str">
        <f ca="1">IF('数据-取费表'!B3="万元",NUMBERSTRING(INT(D7*10000),2)&amp;"元整",NUMBERSTRING(INT(D7),2)&amp;"元整")</f>
        <v>叁万陆仟贰佰零叁元整</v>
      </c>
      <c r="E8" s="1925"/>
    </row>
    <row r="9" spans="1:5" ht="14.25">
      <c r="A9" s="1925"/>
      <c r="B9" s="2781"/>
      <c r="C9" s="1935" t="s">
        <v>1270</v>
      </c>
      <c r="D9" s="1932">
        <f ca="1">IF('数据-取费表'!E3="否",结果表!I103,'结果表 (1修多)'!I104)</f>
        <v>36203</v>
      </c>
      <c r="E9" s="1925"/>
    </row>
    <row r="10" spans="1:5" ht="14.25">
      <c r="A10" s="1925"/>
      <c r="B10" s="2788"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8"/>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8" t="str">
        <f>IF('数据-取费表'!E3="否",结果表!F110,'结果表 (1修多)'!F111)</f>
        <v>3.房地产抵押价值</v>
      </c>
      <c r="C15" s="1926" t="str">
        <f>C7</f>
        <v>总价（元）</v>
      </c>
      <c r="D15" s="1932">
        <f ca="1">IF('数据-取费表'!E3="否",结果表!I110,'结果表 (1修多)'!I111)</f>
        <v>36203</v>
      </c>
      <c r="E15" s="1925"/>
    </row>
    <row r="16" spans="1:5" ht="14.25">
      <c r="A16" s="1925"/>
      <c r="B16" s="2788"/>
      <c r="C16" s="1933" t="s">
        <v>1172</v>
      </c>
      <c r="D16" s="1932" t="str">
        <f ca="1">IF('数据-取费表'!B3="万元",NUMBERSTRING(INT(D15*10000),2)&amp;"元整",NUMBERSTRING(INT(D15),2)&amp;"元整")</f>
        <v>叁万陆仟贰佰零叁元整</v>
      </c>
      <c r="E16" s="1925"/>
    </row>
    <row r="17" spans="1:5" ht="14.25">
      <c r="A17" s="1925"/>
      <c r="B17" s="2788"/>
      <c r="C17" s="1935" t="s">
        <v>1270</v>
      </c>
      <c r="D17" s="1932">
        <f ca="1">IF('数据-取费表'!E3="否",结果表!I111,'结果表 (1修多)'!I112)</f>
        <v>36203</v>
      </c>
      <c r="E17" s="1925"/>
    </row>
    <row r="18" spans="1:5" ht="14.25">
      <c r="A18" s="1925"/>
      <c r="B18" s="2788" t="str">
        <f>IF('数据-取费表'!E3="否",结果表!F112,'结果表 (1修多)'!F113)</f>
        <v>——</v>
      </c>
      <c r="C18" s="1926" t="str">
        <f>C7</f>
        <v>总价（元）</v>
      </c>
      <c r="D18" s="1932" t="str">
        <f>IF('数据-取费表'!E3="否",结果表!I112,'结果表 (1修多)'!I113)</f>
        <v>——</v>
      </c>
      <c r="E18" s="1925"/>
    </row>
    <row r="19" spans="1:5" ht="14.25">
      <c r="A19" s="1925"/>
      <c r="B19" s="2788"/>
      <c r="C19" s="1933" t="s">
        <v>1172</v>
      </c>
      <c r="D19" s="1932" t="e">
        <f>IF('数据-取费表'!B3="万元",NUMBERSTRING(INT(D18*10000),2)&amp;"元整",NUMBERSTRING(INT(D18),2)&amp;"元整")</f>
        <v>#VALUE!</v>
      </c>
      <c r="E19" s="1925"/>
    </row>
    <row r="20" spans="1:5" ht="14.25">
      <c r="A20" s="1925"/>
      <c r="B20" s="2788"/>
      <c r="C20" s="1935" t="s">
        <v>1270</v>
      </c>
      <c r="D20" s="1932" t="str">
        <f>IF('数据-取费表'!E3="否",结果表!I113,'结果表 (1修多)'!I114)</f>
        <v>——</v>
      </c>
      <c r="E20" s="1925"/>
    </row>
    <row r="21" spans="1:5" ht="14.25">
      <c r="A21" s="1925"/>
      <c r="B21" s="2781" t="str">
        <f>IF('数据-取费表'!E3="否",结果表!F114,'结果表 (1修多)'!F115)</f>
        <v>——</v>
      </c>
      <c r="C21" s="1931" t="str">
        <f>C7</f>
        <v>总价（元）</v>
      </c>
      <c r="D21" s="1932" t="str">
        <f>IF('数据-取费表'!E3="否",结果表!I114,'结果表 (1修多)'!I115)</f>
        <v>——</v>
      </c>
      <c r="E21" s="1925"/>
    </row>
    <row r="22" spans="1:5" ht="14.25">
      <c r="A22" s="1925"/>
      <c r="B22" s="2781"/>
      <c r="C22" s="1933" t="s">
        <v>1172</v>
      </c>
      <c r="D22" s="1934" t="e">
        <f>IF('数据-取费表'!B3="万元",NUMBERSTRING(INT(D21*10000),2)&amp;"元整",NUMBERSTRING(INT(D21),2)&amp;"元整")</f>
        <v>#VALUE!</v>
      </c>
      <c r="E22" s="1925"/>
    </row>
    <row r="23" spans="1:5" ht="15" thickBot="1">
      <c r="A23" s="1925"/>
      <c r="B23" s="2782"/>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6" t="s">
        <v>1271</v>
      </c>
      <c r="C25" s="2796"/>
      <c r="D25" s="2796"/>
      <c r="E25" s="1925"/>
    </row>
    <row r="26" spans="1:5" ht="18.75" customHeight="1" thickTop="1">
      <c r="A26" s="1925"/>
      <c r="B26" s="2799" t="s">
        <v>1171</v>
      </c>
      <c r="C26" s="2800"/>
      <c r="D26" s="2797" t="s">
        <v>1170</v>
      </c>
      <c r="E26" s="1925"/>
    </row>
    <row r="27" spans="1:5" ht="18.75" customHeight="1">
      <c r="A27" s="1925"/>
      <c r="B27" s="2801"/>
      <c r="C27" s="2802"/>
      <c r="D27" s="2798"/>
      <c r="E27" s="1925"/>
    </row>
    <row r="28" spans="1:5" ht="14.25">
      <c r="A28" s="1925"/>
      <c r="B28" s="2789" t="s">
        <v>782</v>
      </c>
      <c r="C28" s="1942" t="s">
        <v>1173</v>
      </c>
      <c r="D28" s="1943">
        <f ca="1">IF('数据-取费表'!E3="否",结果表!I102,'结果表 (1修多)'!I103)</f>
        <v>36203</v>
      </c>
      <c r="E28" s="1925"/>
    </row>
    <row r="29" spans="1:5" ht="14.25">
      <c r="A29" s="1925"/>
      <c r="B29" s="2790"/>
      <c r="C29" s="1944" t="s">
        <v>1172</v>
      </c>
      <c r="D29" s="1945" t="str">
        <f ca="1">IF('数据-取费表'!B3="万元",NUMBERSTRING(INT(D28*10000),2)&amp;"元整",NUMBERSTRING(INT(D28),2)&amp;"元整")</f>
        <v>叁万陆仟贰佰零叁元整</v>
      </c>
      <c r="E29" s="1925"/>
    </row>
    <row r="30" spans="1:5" ht="14.25">
      <c r="A30" s="1925"/>
      <c r="B30" s="2791"/>
      <c r="C30" s="1935" t="s">
        <v>1175</v>
      </c>
      <c r="D30" s="1946">
        <f ca="1">IF('数据-取费表'!E3="否",结果表!I103,'结果表 (1修多)'!I104)</f>
        <v>36203</v>
      </c>
      <c r="E30" s="1925"/>
    </row>
    <row r="31" spans="1:5" ht="14.25">
      <c r="A31" s="1925"/>
      <c r="B31" s="2794" t="str">
        <f>B10</f>
        <v>2.估价师所知悉的法定优先受偿款</v>
      </c>
      <c r="C31" s="1947" t="s">
        <v>1174</v>
      </c>
      <c r="D31" s="1948">
        <f>IF('数据-取费表'!E3="否",结果表!I105,'结果表 (1修多)'!I106)</f>
        <v>0</v>
      </c>
      <c r="E31" s="1925"/>
    </row>
    <row r="32" spans="1:5" ht="14.25">
      <c r="A32" s="1925"/>
      <c r="B32" s="2803"/>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92" t="str">
        <f>B15</f>
        <v>3.房地产抵押价值</v>
      </c>
      <c r="C36" s="1947" t="str">
        <f>C28</f>
        <v>总价</v>
      </c>
      <c r="D36" s="1948">
        <f ca="1">IF('数据-取费表'!E3="否",结果表!I110,'结果表 (1修多)'!I111)</f>
        <v>36203</v>
      </c>
      <c r="E36" s="1925"/>
    </row>
    <row r="37" spans="1:5" ht="14.25">
      <c r="A37" s="1925"/>
      <c r="B37" s="2792"/>
      <c r="C37" s="1944" t="s">
        <v>1172</v>
      </c>
      <c r="D37" s="1949" t="str">
        <f ca="1">IF('数据-取费表'!B3="万元",NUMBERSTRING(INT(D36*10000),2)&amp;"元整",NUMBERSTRING(INT(D36),2)&amp;"元整")</f>
        <v>叁万陆仟贰佰零叁元整</v>
      </c>
      <c r="E37" s="1925"/>
    </row>
    <row r="38" spans="1:5" ht="14.25">
      <c r="A38" s="1925"/>
      <c r="B38" s="2792"/>
      <c r="C38" s="1935" t="s">
        <v>1176</v>
      </c>
      <c r="D38" s="1946">
        <f ca="1">IF('数据-取费表'!E3="否",结果表!D113,'结果表 (1修多)'!D116)</f>
        <v>36203</v>
      </c>
      <c r="E38" s="1925"/>
    </row>
    <row r="39" spans="1:5" ht="14.25">
      <c r="A39" s="1925"/>
      <c r="B39" s="2793" t="str">
        <f>B18</f>
        <v>——</v>
      </c>
      <c r="C39" s="1947" t="str">
        <f>C28</f>
        <v>总价</v>
      </c>
      <c r="D39" s="1948" t="str">
        <f>IF('数据-取费表'!E3="否",结果表!I112,'结果表 (1修多)'!I113)</f>
        <v>——</v>
      </c>
      <c r="E39" s="1925"/>
    </row>
    <row r="40" spans="1:5" ht="14.25">
      <c r="A40" s="1925"/>
      <c r="B40" s="2793"/>
      <c r="C40" s="1944" t="s">
        <v>1172</v>
      </c>
      <c r="D40" s="1949" t="e">
        <f>IF('数据-取费表'!B3="万元",NUMBERSTRING(INT(D39*10000),2)&amp;"元整",NUMBERSTRING(INT(D39),2)&amp;"元整")</f>
        <v>#VALUE!</v>
      </c>
      <c r="E40" s="1925"/>
    </row>
    <row r="41" spans="1:5" ht="14.25">
      <c r="A41" s="1925"/>
      <c r="B41" s="2793"/>
      <c r="C41" s="1935" t="s">
        <v>1176</v>
      </c>
      <c r="D41" s="1946" t="str">
        <f>IF('数据-取费表'!E3="否",结果表!D115,'结果表 (1修多)'!D118)</f>
        <v>——</v>
      </c>
      <c r="E41" s="1925"/>
    </row>
    <row r="42" spans="1:5" ht="14.25">
      <c r="A42" s="1925"/>
      <c r="B42" s="2792" t="str">
        <f>B21</f>
        <v>——</v>
      </c>
      <c r="C42" s="1947" t="str">
        <f>C28</f>
        <v>总价</v>
      </c>
      <c r="D42" s="1948" t="str">
        <f>IF('数据-取费表'!E3="否",结果表!I114,'结果表 (1修多)'!I115)</f>
        <v>——</v>
      </c>
      <c r="E42" s="1925"/>
    </row>
    <row r="43" spans="1:5" ht="14.25">
      <c r="A43" s="1925"/>
      <c r="B43" s="2794"/>
      <c r="C43" s="1944" t="s">
        <v>1172</v>
      </c>
      <c r="D43" s="1950" t="e">
        <f>IF('数据-取费表'!B3="万元",NUMBERSTRING(INT(D42*10000),2)&amp;"元整",NUMBERSTRING(INT(D42),2)&amp;"元整")</f>
        <v>#VALUE!</v>
      </c>
      <c r="E43" s="1925"/>
    </row>
    <row r="44" spans="1:5" ht="15" thickBot="1">
      <c r="A44" s="1925"/>
      <c r="B44" s="2795"/>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0" t="str">
        <f>IF(项目基本情况!D5="房地产市场价值","估价结果一览表","结果表-2")</f>
        <v>估价结果一览表</v>
      </c>
      <c r="B1" s="2810"/>
      <c r="C1" s="2810"/>
      <c r="D1" s="2810"/>
      <c r="E1" s="2810"/>
      <c r="F1" s="2810"/>
      <c r="G1" s="2810"/>
      <c r="H1" s="2810"/>
      <c r="I1" s="2810"/>
    </row>
    <row r="2" spans="1:9" ht="30" customHeight="1" thickTop="1">
      <c r="A2" s="2811" t="s">
        <v>1272</v>
      </c>
      <c r="B2" s="2811" t="s">
        <v>1273</v>
      </c>
      <c r="C2" s="2811" t="s">
        <v>1274</v>
      </c>
      <c r="D2" s="2811" t="str">
        <f>IF('数据-取费表'!E3="否",结果表!D119,'结果表 (1修多)'!D122)</f>
        <v>出让国有建设用地使用权价值</v>
      </c>
      <c r="E2" s="2811"/>
      <c r="F2" s="2811" t="s">
        <v>1275</v>
      </c>
      <c r="G2" s="2811"/>
      <c r="H2" s="2811" t="s">
        <v>1276</v>
      </c>
      <c r="I2" s="2811"/>
    </row>
    <row r="3" spans="1:9" ht="15">
      <c r="A3" s="2806"/>
      <c r="B3" s="2806"/>
      <c r="C3" s="2806"/>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32438</v>
      </c>
      <c r="E4" s="1048">
        <f ca="1">IF('数据-取费表'!E3="否",结果表!E121,'结果表 (1修多)'!E124)</f>
        <v>32438</v>
      </c>
      <c r="F4" s="1048">
        <f ca="1">IF('数据-取费表'!E3="否",结果表!F121,'结果表 (1修多)'!F124)</f>
        <v>3765</v>
      </c>
      <c r="G4" s="1048">
        <f ca="1">IF('数据-取费表'!E3="否",结果表!G121,'结果表 (1修多)'!G124)</f>
        <v>3765</v>
      </c>
      <c r="H4" s="1048">
        <f ca="1">IF('数据-取费表'!E3="否",结果表!H121,'结果表 (1修多)'!H124)</f>
        <v>36203</v>
      </c>
      <c r="I4" s="1048">
        <f ca="1">IF('数据-取费表'!E3="否",结果表!I121,'结果表 (1修多)'!I124)</f>
        <v>36203</v>
      </c>
    </row>
    <row r="5" spans="1:9" ht="15">
      <c r="A5" s="2806" t="s">
        <v>1280</v>
      </c>
      <c r="B5" s="2806"/>
      <c r="C5" s="2806"/>
      <c r="D5" s="2804" t="str">
        <f ca="1">IF('数据-取费表'!E3="否",结果表!D122,'结果表 (1修多)'!D125)</f>
        <v>叁万贰仟肆佰叁拾捌元整</v>
      </c>
      <c r="E5" s="2804"/>
      <c r="F5" s="2804" t="str">
        <f ca="1">IF('数据-取费表'!E3="否",结果表!F122,'结果表 (1修多)'!F125)</f>
        <v>叁仟柒佰陆拾伍元整</v>
      </c>
      <c r="G5" s="2804"/>
      <c r="H5" s="2804" t="str">
        <f ca="1">IF('数据-取费表'!E3="否",结果表!H122,'结果表 (1修多)'!H125)</f>
        <v>叁万陆仟贰佰零叁元整</v>
      </c>
      <c r="I5" s="2804"/>
    </row>
    <row r="6" spans="1:9" ht="15.75">
      <c r="A6" s="2805" t="str">
        <f>IF('数据-取费表'!E3="否",结果表!A123,'结果表 (1修多)'!A126)</f>
        <v>——</v>
      </c>
      <c r="B6" s="2805"/>
      <c r="C6" s="2805"/>
      <c r="D6" s="2805">
        <f>IF('数据-取费表'!E3="否",结果表!D123,'结果表 (1修多)'!D126)</f>
        <v>0</v>
      </c>
      <c r="E6" s="2805"/>
      <c r="F6" s="2805"/>
      <c r="G6" s="2805"/>
      <c r="H6" s="2805"/>
      <c r="I6" s="2805"/>
    </row>
    <row r="7" spans="1:9" ht="15">
      <c r="A7" s="2806" t="s">
        <v>1280</v>
      </c>
      <c r="B7" s="2806"/>
      <c r="C7" s="2806"/>
      <c r="D7" s="2807">
        <f>IF('数据-取费表'!E3="否",结果表!D124,'结果表 (1修多)'!D127)</f>
        <v>0</v>
      </c>
      <c r="E7" s="2808"/>
      <c r="F7" s="2808"/>
      <c r="G7" s="2808"/>
      <c r="H7" s="2808"/>
      <c r="I7" s="2809"/>
    </row>
    <row r="8" spans="1:9" ht="15.75">
      <c r="A8" s="2805" t="str">
        <f>IF('数据-取费表'!E3="否",结果表!A125,'结果表 (1修多)'!A128)</f>
        <v>——</v>
      </c>
      <c r="B8" s="2805"/>
      <c r="C8" s="2805"/>
      <c r="D8" s="2805">
        <f ca="1">IF('数据-取费表'!E3="否",结果表!D125,'结果表 (1修多)'!D128)</f>
        <v>36203</v>
      </c>
      <c r="E8" s="2805"/>
      <c r="F8" s="2805"/>
      <c r="G8" s="2805"/>
      <c r="H8" s="2805"/>
      <c r="I8" s="2805"/>
    </row>
    <row r="9" spans="1:9" ht="15">
      <c r="A9" s="2806" t="s">
        <v>1280</v>
      </c>
      <c r="B9" s="2806"/>
      <c r="C9" s="2806"/>
      <c r="D9" s="2804">
        <f ca="1">IF('数据-取费表'!E3="否",结果表!D126,'结果表 (1修多)'!D129)</f>
        <v>36203</v>
      </c>
      <c r="E9" s="2804"/>
      <c r="F9" s="2804"/>
      <c r="G9" s="2804"/>
      <c r="H9" s="2804"/>
      <c r="I9" s="2804"/>
    </row>
    <row r="10" spans="1:9" ht="15.75">
      <c r="A10" s="2805" t="str">
        <f>IF('数据-取费表'!E3="否",结果表!A127,'结果表 (1修多)'!A130)</f>
        <v>——</v>
      </c>
      <c r="B10" s="2805"/>
      <c r="C10" s="2805"/>
      <c r="D10" s="2805" t="str">
        <f>IF('数据-取费表'!E3="否",结果表!D127,'结果表 (1修多)'!D129)</f>
        <v>——</v>
      </c>
      <c r="E10" s="2805"/>
      <c r="F10" s="2805"/>
      <c r="G10" s="2805"/>
      <c r="H10" s="2805"/>
      <c r="I10" s="2805"/>
    </row>
    <row r="11" spans="1:9" ht="15">
      <c r="A11" s="2806" t="s">
        <v>1280</v>
      </c>
      <c r="B11" s="2806"/>
      <c r="C11" s="2806"/>
      <c r="D11" s="2804" t="str">
        <f>IF('数据-取费表'!E3="否",结果表!D128,'结果表 (1修多)'!D131)</f>
        <v>——</v>
      </c>
      <c r="E11" s="2804"/>
      <c r="F11" s="2804"/>
      <c r="G11" s="2804"/>
      <c r="H11" s="2804"/>
      <c r="I11" s="2804"/>
    </row>
    <row r="12" spans="1:9" ht="15.75">
      <c r="A12" s="2805" t="str">
        <f>IF('数据-取费表'!E3="否",结果表!A129,'结果表 (1修多)'!A132)</f>
        <v>——</v>
      </c>
      <c r="B12" s="2805"/>
      <c r="C12" s="2805"/>
      <c r="D12" s="2805" t="str">
        <f>IF('数据-取费表'!E3="否",结果表!D129,'结果表 (1修多)'!D132)</f>
        <v>——</v>
      </c>
      <c r="E12" s="2805"/>
      <c r="F12" s="2805"/>
      <c r="G12" s="2805"/>
      <c r="H12" s="2805"/>
      <c r="I12" s="2805"/>
    </row>
    <row r="13" spans="1:9" ht="15.75" thickBot="1">
      <c r="A13" s="2812" t="s">
        <v>1280</v>
      </c>
      <c r="B13" s="2812"/>
      <c r="C13" s="2812"/>
      <c r="D13" s="2813">
        <f>IF('数据-取费表'!E3="否",结果表!D130,'结果表 (1修多)'!D133)</f>
        <v>0</v>
      </c>
      <c r="E13" s="2813"/>
      <c r="F13" s="2813"/>
      <c r="G13" s="2813"/>
      <c r="H13" s="2813"/>
      <c r="I13" s="2813"/>
    </row>
    <row r="14" spans="1:9" ht="15" thickTop="1">
      <c r="A14" s="2814" t="str">
        <f>IF('数据-取费表'!E3="否",结果表!A131,'结果表 (1修多)'!A134)</f>
        <v>单位：平方米、元、元/平方米（币种：人民币）</v>
      </c>
      <c r="B14" s="2814"/>
      <c r="C14" s="2814"/>
      <c r="D14" s="2814"/>
      <c r="E14" s="2814"/>
      <c r="F14" s="2814"/>
      <c r="G14" s="2814"/>
      <c r="H14" s="2814"/>
      <c r="I14" s="2814"/>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9" t="s">
        <v>1294</v>
      </c>
      <c r="B1" s="2819"/>
      <c r="C1" s="2819"/>
      <c r="D1" s="2819"/>
    </row>
    <row r="2" spans="1:4" ht="18">
      <c r="A2" s="2818" t="s">
        <v>1282</v>
      </c>
      <c r="B2" s="2818"/>
      <c r="C2" s="2818"/>
      <c r="D2" s="2818"/>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8" t="s">
        <v>1287</v>
      </c>
      <c r="B7" s="2818"/>
      <c r="C7" s="2818"/>
      <c r="D7" s="2818"/>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5" t="s">
        <v>1296</v>
      </c>
      <c r="B12" s="2817"/>
      <c r="C12" s="2817"/>
      <c r="D12" s="2817"/>
    </row>
    <row r="13" spans="1:4" ht="15.75">
      <c r="A13" s="28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7"/>
      <c r="C13" s="2817"/>
      <c r="D13" s="2817"/>
    </row>
    <row r="14" spans="1:4" ht="30" customHeight="1">
      <c r="A14" s="2815" t="str">
        <f>IF(项目基本情况!D4="抵押","3.抵押双方在办理抵押登记手续时，应使用本公司出具的正式《房地产评估报告》，特提醒报告使用者注意。","——")</f>
        <v>——</v>
      </c>
      <c r="B14" s="2817"/>
      <c r="C14" s="2817"/>
      <c r="D14" s="2817"/>
    </row>
    <row r="15" spans="1:4" ht="15.75" customHeight="1">
      <c r="A15" s="2815" t="str">
        <f>IF(项目基本情况!D4="抵押","4.本次评估估价师所知悉的法定优先受偿款情况说明如下：","——")</f>
        <v>——</v>
      </c>
      <c r="B15" s="2817"/>
      <c r="C15" s="2817"/>
      <c r="D15" s="2817"/>
    </row>
    <row r="16" spans="1:4" ht="75" customHeight="1">
      <c r="A16" s="2815" t="str">
        <f>IF(项目基本情况!D4="抵押",CONCATENATE(项目基本情况!J13,项目基本情况!J14,项目基本情况!J15),"——")</f>
        <v>——</v>
      </c>
      <c r="B16" s="2815"/>
      <c r="C16" s="2815"/>
      <c r="D16" s="2815"/>
    </row>
    <row r="17" spans="1:4" ht="63.75" customHeight="1">
      <c r="A17" s="2816" t="s">
        <v>1297</v>
      </c>
      <c r="B17" s="2816"/>
      <c r="C17" s="2816"/>
      <c r="D17" s="2816"/>
    </row>
    <row r="18" spans="1:4" ht="15.75" customHeight="1">
      <c r="A18" s="2815" t="str">
        <f>IF(项目基本情况!D4="抵押",结果表!K106,"——")</f>
        <v>——</v>
      </c>
      <c r="B18" s="2815"/>
      <c r="C18" s="2815"/>
      <c r="D18" s="2815"/>
    </row>
    <row r="19" spans="1:4" ht="46.5" customHeight="1">
      <c r="A19" s="28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5"/>
      <c r="C19" s="2815"/>
      <c r="D19" s="2815"/>
    </row>
    <row r="20" spans="1:4" ht="15">
      <c r="A20" s="2816" t="s">
        <v>1290</v>
      </c>
      <c r="B20" s="2816"/>
      <c r="C20" s="2816"/>
      <c r="D20" s="2816"/>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5" t="s">
        <v>1376</v>
      </c>
      <c r="B15" s="2820" t="s">
        <v>1377</v>
      </c>
      <c r="C15" s="2821"/>
    </row>
    <row r="16" spans="1:7" ht="14.25">
      <c r="A16" s="2826"/>
      <c r="B16" s="2820" t="s">
        <v>1378</v>
      </c>
      <c r="C16" s="2821"/>
    </row>
    <row r="17" spans="1:3" ht="14.25">
      <c r="A17" s="2826"/>
      <c r="B17" s="2820" t="s">
        <v>1379</v>
      </c>
      <c r="C17" s="2821"/>
    </row>
    <row r="18" spans="1:3" ht="14.25">
      <c r="A18" s="2827"/>
      <c r="B18" s="2822" t="s">
        <v>1380</v>
      </c>
      <c r="C18" s="2821"/>
    </row>
    <row r="19" spans="1:3" ht="14.25">
      <c r="A19" s="1978" t="s">
        <v>1381</v>
      </c>
      <c r="B19" s="1979"/>
      <c r="C19" s="1980"/>
    </row>
    <row r="20" spans="1:3" ht="14.25">
      <c r="A20" s="2823" t="s">
        <v>1382</v>
      </c>
      <c r="B20" s="2822" t="s">
        <v>1383</v>
      </c>
      <c r="C20" s="2821"/>
    </row>
    <row r="21" spans="1:3" ht="14.25">
      <c r="A21" s="2823"/>
      <c r="B21" s="2822" t="s">
        <v>1384</v>
      </c>
      <c r="C21" s="2821"/>
    </row>
    <row r="22" spans="1:3" ht="14.25">
      <c r="A22" s="2823"/>
      <c r="B22" s="2822" t="s">
        <v>1385</v>
      </c>
      <c r="C22" s="2821"/>
    </row>
    <row r="23" spans="1:3" ht="14.25">
      <c r="A23" s="2823"/>
      <c r="B23" s="2824" t="s">
        <v>1386</v>
      </c>
      <c r="C23" s="1981" t="s">
        <v>1387</v>
      </c>
    </row>
    <row r="24" spans="1:3" ht="14.25">
      <c r="A24" s="2823"/>
      <c r="B24" s="2824"/>
      <c r="C24" s="1981" t="s">
        <v>1388</v>
      </c>
    </row>
    <row r="25" spans="1:3" ht="14.25">
      <c r="A25" s="2823"/>
      <c r="B25" s="2824"/>
      <c r="C25" s="1981" t="s">
        <v>1389</v>
      </c>
    </row>
    <row r="26" spans="1:3" ht="14.25">
      <c r="A26" s="2823"/>
      <c r="B26" s="2824"/>
      <c r="C26" s="1981" t="s">
        <v>1390</v>
      </c>
    </row>
    <row r="27" spans="1:3" ht="14.25">
      <c r="A27" s="2823"/>
      <c r="B27" s="2824"/>
      <c r="C27" s="1981" t="s">
        <v>1391</v>
      </c>
    </row>
    <row r="28" spans="1:3" ht="14.25">
      <c r="A28" s="2823"/>
      <c r="B28" s="2824"/>
      <c r="C28" s="1981" t="s">
        <v>1392</v>
      </c>
    </row>
    <row r="29" spans="1:3" ht="14.25">
      <c r="A29" s="2823"/>
      <c r="B29" s="2824"/>
      <c r="C29" s="1981" t="s">
        <v>1393</v>
      </c>
    </row>
    <row r="30" spans="1:3" ht="14.25">
      <c r="A30" s="2823"/>
      <c r="B30" s="2824"/>
      <c r="C30" s="1981" t="s">
        <v>1394</v>
      </c>
    </row>
    <row r="31" spans="1:3" ht="14.25">
      <c r="A31" s="2823"/>
      <c r="B31" s="2824"/>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8" t="s">
        <v>766</v>
      </c>
      <c r="B25" s="2828"/>
      <c r="C25" s="2828"/>
      <c r="D25" s="2828"/>
      <c r="E25" s="2828"/>
      <c r="F25" s="2828"/>
      <c r="G25" s="2828"/>
      <c r="H25" s="2828"/>
    </row>
    <row r="26" spans="1:8" s="1033" customFormat="1" ht="24" customHeight="1">
      <c r="A26" s="2829" t="s">
        <v>767</v>
      </c>
      <c r="B26" s="2829"/>
      <c r="C26" s="2829"/>
      <c r="D26" s="1061"/>
      <c r="E26" s="1061"/>
      <c r="F26" s="2829" t="s">
        <v>768</v>
      </c>
      <c r="G26" s="2829"/>
      <c r="H26" s="2829"/>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0"/>
      <c r="B54" s="9" t="s">
        <v>1532</v>
      </c>
      <c r="C54" s="9" t="s">
        <v>1533</v>
      </c>
    </row>
    <row r="55" spans="1:4">
      <c r="A55" s="2830"/>
      <c r="B55" s="9" t="s">
        <v>1534</v>
      </c>
      <c r="C55" s="9" t="s">
        <v>1535</v>
      </c>
    </row>
    <row r="56" spans="1:4">
      <c r="A56" s="2830"/>
      <c r="B56" s="9" t="s">
        <v>1536</v>
      </c>
      <c r="C56" s="9" t="s">
        <v>1537</v>
      </c>
    </row>
    <row r="57" spans="1:4">
      <c r="A57" s="2830"/>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收益法</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2019-03-15T07:46:30Z</dcterms:modified>
</cp:coreProperties>
</file>