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1" i="66" l="1"/>
  <c r="D21" i="66"/>
  <c r="B21" i="66"/>
  <c r="G20" i="66"/>
  <c r="D20" i="66"/>
  <c r="B20" i="66"/>
  <c r="G19" i="66"/>
  <c r="D19" i="66"/>
  <c r="B19" i="66"/>
  <c r="G18" i="66"/>
  <c r="D18" i="66"/>
  <c r="B18" i="66"/>
  <c r="G17" i="66"/>
  <c r="D17" i="66"/>
  <c r="B17" i="66"/>
  <c r="G16" i="66"/>
  <c r="D16" i="66"/>
  <c r="B16" i="66"/>
  <c r="G15" i="66"/>
  <c r="D15" i="66"/>
  <c r="B15"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<sst xmlns="http://schemas.openxmlformats.org/spreadsheetml/2006/main" count="6894" uniqueCount="3037">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</sst>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150;&#20844;&#27004;-&#36793;&#36828;20190402-154140-&#21016;&#26757;20190403-105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6446;&#23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9532;&#3008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69;&#26420;&#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B22">
            <v>14583.990000000002</v>
          </cell>
          <cell r="S22">
            <v>6947</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117447</v>
          </cell>
        </row>
        <row r="5">
          <cell r="B5">
            <v>19770</v>
          </cell>
        </row>
        <row r="6">
          <cell r="B6">
            <v>19770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52009.1</v>
          </cell>
        </row>
        <row r="5">
          <cell r="B5">
            <v>7100</v>
          </cell>
        </row>
        <row r="6">
          <cell r="B6">
            <v>7100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82138.100000000006</v>
          </cell>
        </row>
        <row r="5">
          <cell r="B5">
            <v>6508</v>
          </cell>
        </row>
        <row r="6">
          <cell r="B6">
            <v>6508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118305.1</v>
          </cell>
        </row>
        <row r="5">
          <cell r="B5">
            <v>9688</v>
          </cell>
        </row>
        <row r="6">
          <cell r="B6">
            <v>9688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31226.100000000002</v>
          </cell>
        </row>
        <row r="5">
          <cell r="B5">
            <v>2141</v>
          </cell>
        </row>
        <row r="6">
          <cell r="B6">
            <v>2141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59580.009999999995</v>
          </cell>
        </row>
        <row r="5">
          <cell r="B5">
            <v>4726</v>
          </cell>
        </row>
        <row r="6">
          <cell r="B6">
            <v>4726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714</v>
      </c>
    </row>
    <row r="47" spans="1:2">
      <c r="A47" s="2856" t="s">
        <v>2725</v>
      </c>
      <c r="B47" s="2857">
        <f ca="1">'预评函-2'!Q5</f>
        <v>943</v>
      </c>
    </row>
    <row r="48" spans="1:2">
      <c r="A48" s="2856" t="s">
        <v>2726</v>
      </c>
      <c r="B48" s="2857">
        <f ca="1">'预评函-2'!R5</f>
        <v>1167</v>
      </c>
    </row>
    <row r="49" spans="1:2">
      <c r="A49" s="2856" t="s">
        <v>2742</v>
      </c>
      <c r="B49" s="2857" t="str">
        <f>'预评函-2'!A6</f>
        <v>抵押价格</v>
      </c>
    </row>
    <row r="50" spans="1:2">
      <c r="A50" s="2856" t="s">
        <v>2727</v>
      </c>
      <c r="B50" s="2857">
        <f ca="1">'预评函-2'!R6</f>
        <v>1167</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1" t="str">
        <f>IF(B10="北京市","北京市",C10)&amp;F10&amp;B16&amp;"国有建设用地使用权"&amp;B9&amp;"预评估"</f>
        <v>出让国有建设用地使用权抵押价格预评估</v>
      </c>
      <c r="C1" s="3212"/>
      <c r="D1" s="3212"/>
      <c r="E1" s="3212"/>
      <c r="F1" s="3212"/>
      <c r="G1" s="3212"/>
      <c r="H1" s="3212"/>
      <c r="I1" s="3213"/>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17"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18"/>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4"/>
      <c r="C12" s="3215"/>
      <c r="D12" s="3216"/>
      <c r="E12" s="1698" t="s">
        <v>2062</v>
      </c>
      <c r="F12" s="3232" t="s">
        <v>2890</v>
      </c>
      <c r="G12" s="3233"/>
      <c r="H12" s="3233"/>
      <c r="I12" s="3234"/>
      <c r="J12" s="1693"/>
      <c r="K12" s="1773"/>
      <c r="L12" s="1722"/>
      <c r="M12" s="1722"/>
      <c r="N12" s="1693"/>
      <c r="O12" s="1694"/>
      <c r="P12" s="1693"/>
      <c r="Q12" s="1693"/>
      <c r="R12" s="1693"/>
      <c r="S12" s="1693"/>
      <c r="T12" s="1693"/>
      <c r="U12" s="1693"/>
    </row>
    <row r="13" spans="1:21">
      <c r="A13" s="1686" t="s">
        <v>2060</v>
      </c>
      <c r="B13" s="3214"/>
      <c r="C13" s="3215"/>
      <c r="D13" s="3216"/>
      <c r="E13" s="1698" t="s">
        <v>2062</v>
      </c>
      <c r="F13" s="3232" t="s">
        <v>2891</v>
      </c>
      <c r="G13" s="3233"/>
      <c r="H13" s="3233"/>
      <c r="I13" s="3234"/>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9"/>
      <c r="E20" s="3230"/>
      <c r="F20" s="3230"/>
      <c r="G20" s="3230"/>
      <c r="H20" s="3230"/>
      <c r="I20" s="3231"/>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19" t="s">
        <v>1999</v>
      </c>
      <c r="F21" s="3220"/>
      <c r="G21" s="3220"/>
      <c r="H21" s="3220"/>
      <c r="I21" s="3221"/>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19" t="s">
        <v>2892</v>
      </c>
      <c r="F22" s="3220"/>
      <c r="G22" s="3220"/>
      <c r="H22" s="3220"/>
      <c r="I22" s="3221"/>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2" t="s">
        <v>1967</v>
      </c>
      <c r="C24" s="3223"/>
      <c r="D24" s="3224" t="s">
        <v>1968</v>
      </c>
      <c r="E24" s="3225"/>
      <c r="F24" s="1707" t="s">
        <v>1969</v>
      </c>
      <c r="G24" s="1693"/>
      <c r="H24" s="1693"/>
      <c r="I24" s="1706"/>
      <c r="J24" s="1693"/>
      <c r="K24" s="321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7" t="s">
        <v>2002</v>
      </c>
      <c r="B31" s="1763" t="s">
        <v>2003</v>
      </c>
      <c r="C31" s="3235"/>
      <c r="D31" s="3236"/>
      <c r="E31" s="1693"/>
      <c r="F31" s="1693"/>
      <c r="G31" s="1693"/>
      <c r="H31" s="1693"/>
      <c r="I31" s="1706"/>
      <c r="J31" s="1693"/>
      <c r="K31" s="2437"/>
      <c r="L31" s="1693"/>
      <c r="M31" s="1693"/>
      <c r="N31" s="1693"/>
      <c r="O31" s="1693"/>
      <c r="P31" s="1693"/>
      <c r="Q31" s="1693"/>
      <c r="R31" s="1693"/>
      <c r="S31" s="1693"/>
      <c r="T31" s="1693"/>
      <c r="U31" s="1693"/>
    </row>
    <row r="32" spans="1:21">
      <c r="A32" s="3237"/>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7"/>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8"/>
      <c r="B34" s="1660" t="s">
        <v>2006</v>
      </c>
      <c r="C34" s="3239"/>
      <c r="D34" s="3240"/>
      <c r="E34" s="1693"/>
      <c r="F34" s="1693"/>
      <c r="G34" s="1693"/>
      <c r="H34" s="1693"/>
      <c r="I34" s="1706"/>
      <c r="J34" s="1693"/>
      <c r="K34" s="2437"/>
      <c r="L34" s="1693"/>
      <c r="M34" s="1693"/>
      <c r="N34" s="1693"/>
      <c r="O34" s="1693"/>
      <c r="P34" s="1693"/>
      <c r="Q34" s="1693"/>
      <c r="R34" s="1693"/>
      <c r="S34" s="1693"/>
      <c r="T34" s="1693"/>
      <c r="U34" s="1693"/>
    </row>
    <row r="35" spans="1:21">
      <c r="A35" s="3241" t="s">
        <v>847</v>
      </c>
      <c r="B35" s="1721"/>
      <c r="C35" s="1775" t="str">
        <f>IF(B35="场地平整","——","具体情况：")</f>
        <v>具体情况：</v>
      </c>
      <c r="D35" s="3243"/>
      <c r="E35" s="3244"/>
      <c r="F35" s="3244"/>
      <c r="G35" s="3244"/>
      <c r="H35" s="3244"/>
      <c r="I35" s="3245"/>
      <c r="J35" s="1693"/>
      <c r="K35" s="1774"/>
      <c r="L35" s="1722"/>
      <c r="M35" s="1722"/>
      <c r="N35" s="1693"/>
      <c r="O35" s="1694"/>
      <c r="P35" s="1693"/>
      <c r="Q35" s="1693"/>
      <c r="R35" s="1693"/>
      <c r="S35" s="1693"/>
      <c r="T35" s="1693"/>
      <c r="U35" s="1693"/>
    </row>
    <row r="36" spans="1:21">
      <c r="A36" s="3237"/>
      <c r="B36" s="3246" t="s">
        <v>2055</v>
      </c>
      <c r="C36" s="3247"/>
      <c r="D36" s="1791"/>
      <c r="E36" s="3248"/>
      <c r="F36" s="3248"/>
      <c r="G36" s="1686" t="str">
        <f>IF(B35="场地未平整","估价结果处理","")</f>
        <v/>
      </c>
      <c r="H36" s="3249"/>
      <c r="I36" s="3249"/>
      <c r="J36" s="1693"/>
      <c r="K36" s="1774"/>
      <c r="L36" s="1722"/>
      <c r="M36" s="1722"/>
      <c r="N36" s="1693"/>
      <c r="O36" s="1694"/>
      <c r="P36" s="1693"/>
      <c r="Q36" s="1693"/>
      <c r="R36" s="1693"/>
      <c r="S36" s="1693"/>
      <c r="T36" s="1693"/>
      <c r="U36" s="1693"/>
    </row>
    <row r="37" spans="1:21" ht="28.5">
      <c r="A37" s="3237"/>
      <c r="B37" s="322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7"/>
      <c r="B38" s="3227"/>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8"/>
      <c r="B39" s="322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09" t="s">
        <v>1986</v>
      </c>
      <c r="T40" s="1730" t="str">
        <f>NUMBERSTRING(7-K40,1)&amp;"通"</f>
        <v>七通</v>
      </c>
      <c r="U40" s="1693"/>
    </row>
    <row r="41" spans="1:21">
      <c r="A41" s="1662"/>
      <c r="B41" s="3242" t="s">
        <v>1722</v>
      </c>
      <c r="C41" s="3242"/>
      <c r="D41" s="3242"/>
      <c r="E41" s="324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0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0.12</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0.02</v>
      </c>
      <c r="W6" s="181">
        <v>0.1</v>
      </c>
      <c r="X6" s="2321"/>
      <c r="Y6" s="182"/>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0.12</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activeCellId="1" sqref="D14 D16:D21"/>
    </sheetView>
  </sheetViews>
  <sheetFormatPr defaultColWidth="14.625" defaultRowHeight="13.5"/>
  <cols>
    <col min="1" max="1" width="24.375" customWidth="1"/>
  </cols>
  <sheetData>
    <row r="1" spans="1:9" ht="16.5">
      <c r="A1" s="3021" t="s">
        <v>2844</v>
      </c>
      <c r="B1" s="3021">
        <f>SUM(B14:B23)</f>
        <v>487669.4</v>
      </c>
      <c r="C1" s="3022"/>
      <c r="D1" s="3022"/>
      <c r="E1" s="3022"/>
      <c r="F1" s="3022"/>
    </row>
    <row r="2" spans="1:9" ht="16.5">
      <c r="A2" s="3021" t="s">
        <v>2845</v>
      </c>
      <c r="B2" s="3021">
        <f>SUM(C14:C23)</f>
        <v>16348</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58047</v>
      </c>
      <c r="C5" s="3021">
        <f ca="1">ROUND(B5*10000/$B$1,0)</f>
        <v>1190</v>
      </c>
      <c r="D5" s="3021">
        <f ca="1">ROUND(B5*10000/$B$2,0)</f>
        <v>35507</v>
      </c>
      <c r="E5" s="3022"/>
      <c r="F5" s="3022"/>
    </row>
    <row r="6" spans="1:9" ht="16.5">
      <c r="A6" s="3021" t="s">
        <v>2852</v>
      </c>
      <c r="B6" s="3021">
        <f ca="1">SUM(G14:G23)</f>
        <v>58047</v>
      </c>
      <c r="C6" s="3021">
        <f ca="1">ROUND(B6*10000/$B$1,0)</f>
        <v>1190</v>
      </c>
      <c r="D6" s="3021">
        <f ca="1">ROUND(B6*10000/$B$2,0)</f>
        <v>35507</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1167</v>
      </c>
      <c r="E14" s="3025">
        <f ca="1">ROUND(D14*10000/B14,0)</f>
        <v>943</v>
      </c>
      <c r="F14" s="3025">
        <f ca="1">ROUND(D14*10000/C14,0)</f>
        <v>714</v>
      </c>
      <c r="G14" s="3025">
        <f ca="1">结果表!C44</f>
        <v>1167</v>
      </c>
      <c r="H14" s="3025" t="str">
        <f>结果表!C45</f>
        <v>——</v>
      </c>
      <c r="I14" s="3025" t="str">
        <f>结果表!C46</f>
        <v>——</v>
      </c>
    </row>
    <row r="15" spans="1:9" ht="16.5">
      <c r="A15" s="3028" t="s">
        <v>2861</v>
      </c>
      <c r="B15" s="3029">
        <f>[1]典型户型修正!$B$22</f>
        <v>14583.990000000002</v>
      </c>
      <c r="C15" s="3029"/>
      <c r="D15" s="3029">
        <f>[1]典型户型修正!$S$22</f>
        <v>6947</v>
      </c>
      <c r="E15" s="3025">
        <f t="shared" ref="E15:E23" si="0">ROUND(D15*10000/B15,0)</f>
        <v>4763</v>
      </c>
      <c r="F15" s="3025" t="e">
        <f t="shared" ref="F15:F23" si="1">ROUND(D15*10000/C15,0)</f>
        <v>#DIV/0!</v>
      </c>
      <c r="G15" s="3026">
        <f>[1]典型户型修正!$S$22</f>
        <v>6947</v>
      </c>
      <c r="H15" s="3026"/>
      <c r="I15" s="3029"/>
    </row>
    <row r="16" spans="1:9" ht="16.5">
      <c r="A16" s="3028" t="s">
        <v>2862</v>
      </c>
      <c r="B16" s="3029">
        <f>[2]系统读取表!$B$1</f>
        <v>117447</v>
      </c>
      <c r="C16" s="3029"/>
      <c r="D16" s="3029">
        <f>[2]系统读取表!$B$5</f>
        <v>19770</v>
      </c>
      <c r="E16" s="3025">
        <f t="shared" si="0"/>
        <v>1683</v>
      </c>
      <c r="F16" s="3025" t="e">
        <f t="shared" si="1"/>
        <v>#DIV/0!</v>
      </c>
      <c r="G16" s="3026">
        <f>[2]系统读取表!$B$6</f>
        <v>19770</v>
      </c>
      <c r="H16" s="3026"/>
      <c r="I16" s="3029"/>
    </row>
    <row r="17" spans="1:9" ht="16.5">
      <c r="A17" s="3028" t="s">
        <v>2863</v>
      </c>
      <c r="B17" s="3029">
        <f>[3]系统读取表!$B$1</f>
        <v>52009.1</v>
      </c>
      <c r="C17" s="3029"/>
      <c r="D17" s="3029">
        <f>[3]系统读取表!$B$5</f>
        <v>7100</v>
      </c>
      <c r="E17" s="3025">
        <f t="shared" si="0"/>
        <v>1365</v>
      </c>
      <c r="F17" s="3025" t="e">
        <f t="shared" si="1"/>
        <v>#DIV/0!</v>
      </c>
      <c r="G17" s="3026">
        <f>[3]系统读取表!$B$6</f>
        <v>7100</v>
      </c>
      <c r="H17" s="3026"/>
      <c r="I17" s="3029"/>
    </row>
    <row r="18" spans="1:9" ht="16.5">
      <c r="A18" s="3028" t="s">
        <v>2864</v>
      </c>
      <c r="B18" s="3029">
        <f>[4]系统读取表!$B$1</f>
        <v>82138.100000000006</v>
      </c>
      <c r="C18" s="3029"/>
      <c r="D18" s="3029">
        <f>[4]系统读取表!$B$5</f>
        <v>6508</v>
      </c>
      <c r="E18" s="3025">
        <f t="shared" si="0"/>
        <v>792</v>
      </c>
      <c r="F18" s="3025" t="e">
        <f t="shared" si="1"/>
        <v>#DIV/0!</v>
      </c>
      <c r="G18" s="3029">
        <f>[4]系统读取表!$B$6</f>
        <v>6508</v>
      </c>
      <c r="H18" s="3029"/>
      <c r="I18" s="3029"/>
    </row>
    <row r="19" spans="1:9" ht="16.5">
      <c r="A19" s="3028" t="s">
        <v>2865</v>
      </c>
      <c r="B19" s="3029">
        <f>[5]系统读取表!$B$1</f>
        <v>118305.1</v>
      </c>
      <c r="C19" s="3029"/>
      <c r="D19" s="3029">
        <f>[5]系统读取表!$B$5</f>
        <v>9688</v>
      </c>
      <c r="E19" s="3025">
        <f t="shared" si="0"/>
        <v>819</v>
      </c>
      <c r="F19" s="3025" t="e">
        <f t="shared" si="1"/>
        <v>#DIV/0!</v>
      </c>
      <c r="G19" s="3029">
        <f>[5]系统读取表!$B$6</f>
        <v>9688</v>
      </c>
      <c r="H19" s="3029"/>
      <c r="I19" s="3029"/>
    </row>
    <row r="20" spans="1:9" ht="16.5">
      <c r="A20" s="3028" t="s">
        <v>2866</v>
      </c>
      <c r="B20" s="3029">
        <f>[6]系统读取表!$B$1</f>
        <v>31226.100000000002</v>
      </c>
      <c r="C20" s="3029"/>
      <c r="D20" s="3029">
        <f ca="1">[6]系统读取表!$B$5</f>
        <v>2141</v>
      </c>
      <c r="E20" s="3025">
        <f t="shared" ca="1" si="0"/>
        <v>686</v>
      </c>
      <c r="F20" s="3025" t="e">
        <f t="shared" ca="1" si="1"/>
        <v>#DIV/0!</v>
      </c>
      <c r="G20" s="3029">
        <f ca="1">[6]系统读取表!$B$6</f>
        <v>2141</v>
      </c>
      <c r="H20" s="3029"/>
      <c r="I20" s="3029"/>
    </row>
    <row r="21" spans="1:9" ht="16.5">
      <c r="A21" s="3028" t="s">
        <v>2867</v>
      </c>
      <c r="B21" s="3029">
        <f>[7]系统读取表!$B$1</f>
        <v>59580.009999999995</v>
      </c>
      <c r="C21" s="3029"/>
      <c r="D21" s="3029">
        <f>[7]系统读取表!$B$5</f>
        <v>4726</v>
      </c>
      <c r="E21" s="3025">
        <f t="shared" si="0"/>
        <v>793</v>
      </c>
      <c r="F21" s="3025" t="e">
        <f t="shared" si="1"/>
        <v>#DIV/0!</v>
      </c>
      <c r="G21" s="3029">
        <f>[7]系统读取表!$B$6</f>
        <v>4726</v>
      </c>
      <c r="H21" s="3029"/>
      <c r="I21" s="3029"/>
    </row>
    <row r="22" spans="1:9" ht="16.5">
      <c r="A22" s="3028" t="s">
        <v>2868</v>
      </c>
      <c r="B22" s="3029"/>
      <c r="C22" s="3029"/>
      <c r="D22" s="3029"/>
      <c r="E22" s="3025" t="e">
        <f t="shared" si="0"/>
        <v>#DIV/0!</v>
      </c>
      <c r="F22" s="3025" t="e">
        <f t="shared" si="1"/>
        <v>#DIV/0!</v>
      </c>
      <c r="G22" s="3029"/>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14" t="str">
        <f>项目基本情况!K2</f>
        <v>出让国有建设用地使用权</v>
      </c>
      <c r="B2" s="3315"/>
      <c r="C2" s="3316"/>
      <c r="D2" s="3316"/>
      <c r="E2" s="3316"/>
      <c r="F2" s="3316"/>
      <c r="G2" s="3315"/>
      <c r="H2" s="3315"/>
      <c r="I2" s="3317"/>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89" t="s">
        <v>301</v>
      </c>
      <c r="F4" s="3331"/>
      <c r="G4" s="3331"/>
      <c r="H4" s="3331"/>
      <c r="I4" s="329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18" t="s">
        <v>302</v>
      </c>
      <c r="B5" s="3319">
        <v>25</v>
      </c>
      <c r="C5" s="3327"/>
      <c r="D5" s="3330"/>
      <c r="E5" s="261" t="s">
        <v>303</v>
      </c>
      <c r="F5" s="262"/>
      <c r="G5" s="262"/>
      <c r="H5" s="262"/>
      <c r="I5" s="263"/>
      <c r="J5" s="2030"/>
      <c r="K5" s="2029"/>
      <c r="L5" s="2029"/>
      <c r="M5" s="2029"/>
      <c r="N5" s="2029"/>
      <c r="O5" s="2029"/>
      <c r="P5" s="2029"/>
      <c r="Q5" s="2029"/>
      <c r="R5" s="2029"/>
      <c r="S5" s="2029"/>
      <c r="T5" s="2029"/>
      <c r="U5" s="2029"/>
      <c r="V5" s="2029"/>
    </row>
    <row r="6" spans="1:22" ht="14.25">
      <c r="A6" s="3318"/>
      <c r="B6" s="3319"/>
      <c r="C6" s="3328"/>
      <c r="D6" s="3330"/>
      <c r="E6" s="261" t="s">
        <v>304</v>
      </c>
      <c r="F6" s="262"/>
      <c r="G6" s="262"/>
      <c r="H6" s="262"/>
      <c r="I6" s="263"/>
      <c r="J6" s="2030"/>
      <c r="K6" s="2029"/>
      <c r="L6" s="2029"/>
      <c r="M6" s="2029"/>
      <c r="N6" s="2029"/>
      <c r="O6" s="2029"/>
      <c r="P6" s="2029"/>
      <c r="Q6" s="2029"/>
      <c r="R6" s="2029"/>
      <c r="S6" s="2029"/>
      <c r="T6" s="2029"/>
      <c r="U6" s="2029"/>
      <c r="V6" s="2029"/>
    </row>
    <row r="7" spans="1:22" ht="14.25">
      <c r="A7" s="3318"/>
      <c r="B7" s="3319"/>
      <c r="C7" s="3329"/>
      <c r="D7" s="3330"/>
      <c r="E7" s="261" t="s">
        <v>305</v>
      </c>
      <c r="F7" s="262"/>
      <c r="G7" s="262"/>
      <c r="H7" s="262"/>
      <c r="I7" s="263"/>
      <c r="J7" s="2030"/>
      <c r="K7" s="2029"/>
      <c r="L7" s="2029"/>
      <c r="M7" s="2029"/>
      <c r="N7" s="2029"/>
      <c r="O7" s="2029"/>
      <c r="P7" s="2029"/>
      <c r="Q7" s="2029"/>
      <c r="R7" s="2029"/>
      <c r="S7" s="2029"/>
      <c r="T7" s="2029"/>
      <c r="U7" s="2029"/>
      <c r="V7" s="2029"/>
    </row>
    <row r="8" spans="1:22" ht="14.25">
      <c r="A8" s="3318" t="s">
        <v>306</v>
      </c>
      <c r="B8" s="3319">
        <v>15</v>
      </c>
      <c r="C8" s="3327"/>
      <c r="D8" s="3330"/>
      <c r="E8" s="261" t="s">
        <v>307</v>
      </c>
      <c r="F8" s="262"/>
      <c r="G8" s="262"/>
      <c r="H8" s="262"/>
      <c r="I8" s="263"/>
      <c r="J8" s="2030"/>
      <c r="K8" s="2029"/>
      <c r="L8" s="2029"/>
      <c r="M8" s="2029"/>
      <c r="N8" s="2029"/>
      <c r="O8" s="2029"/>
      <c r="P8" s="2029"/>
      <c r="Q8" s="2029"/>
      <c r="R8" s="2029"/>
      <c r="S8" s="2029"/>
      <c r="T8" s="2029"/>
      <c r="U8" s="2029"/>
      <c r="V8" s="2029"/>
    </row>
    <row r="9" spans="1:22" ht="14.25">
      <c r="A9" s="3318"/>
      <c r="B9" s="3319"/>
      <c r="C9" s="3329"/>
      <c r="D9" s="3330"/>
      <c r="E9" s="261" t="s">
        <v>308</v>
      </c>
      <c r="F9" s="262"/>
      <c r="G9" s="262"/>
      <c r="H9" s="262"/>
      <c r="I9" s="263"/>
      <c r="J9" s="2030"/>
      <c r="K9" s="2029"/>
      <c r="L9" s="2029"/>
      <c r="M9" s="2029"/>
      <c r="N9" s="2029"/>
      <c r="O9" s="2029"/>
      <c r="P9" s="2029"/>
      <c r="Q9" s="2029"/>
      <c r="R9" s="2029"/>
      <c r="S9" s="2029"/>
      <c r="T9" s="2029"/>
      <c r="U9" s="2029"/>
      <c r="V9" s="2029"/>
    </row>
    <row r="10" spans="1:22" ht="14.25">
      <c r="A10" s="3318" t="s">
        <v>309</v>
      </c>
      <c r="B10" s="3319">
        <v>15</v>
      </c>
      <c r="C10" s="3327"/>
      <c r="D10" s="333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8"/>
      <c r="B11" s="3319"/>
      <c r="C11" s="3329"/>
      <c r="D11" s="333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8" t="s">
        <v>312</v>
      </c>
      <c r="B12" s="3319">
        <v>15</v>
      </c>
      <c r="C12" s="3327"/>
      <c r="D12" s="333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8"/>
      <c r="B13" s="3319"/>
      <c r="C13" s="3329"/>
      <c r="D13" s="333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8" t="s">
        <v>315</v>
      </c>
      <c r="B14" s="3319">
        <v>30</v>
      </c>
      <c r="C14" s="3327">
        <v>6</v>
      </c>
      <c r="D14" s="3330">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8"/>
      <c r="B15" s="3319"/>
      <c r="C15" s="3328"/>
      <c r="D15" s="333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8"/>
      <c r="B16" s="3319"/>
      <c r="C16" s="3329"/>
      <c r="D16" s="333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1515</v>
      </c>
      <c r="D19" s="271">
        <f ca="1">SUMIF(INDIRECT("'"&amp;D4&amp;"'"&amp;"!A:A"),结果表!B19,INDIRECT("'"&amp;D4&amp;"'"&amp;"!B:B"))</f>
        <v>645</v>
      </c>
      <c r="E19" s="268" t="s">
        <v>323</v>
      </c>
      <c r="F19" s="269" t="s">
        <v>322</v>
      </c>
      <c r="G19" s="272">
        <f ca="1">ROUND(C19*$C$18+D19*$D$18,0)</f>
        <v>1167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1224</v>
      </c>
      <c r="D20" s="277">
        <f ca="1">SUMIF(INDIRECT("'"&amp;D4&amp;"'"&amp;"!A:A"),结果表!B20,INDIRECT("'"&amp;D4&amp;"'"&amp;"!B:B"))</f>
        <v>521</v>
      </c>
      <c r="E20" s="274"/>
      <c r="F20" s="275" t="s">
        <v>325</v>
      </c>
      <c r="G20" s="278">
        <f ca="1">ROUND(C20*$C$18+D20*$D$18,0)</f>
        <v>943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927</v>
      </c>
      <c r="D21" s="151">
        <f ca="1">SUMIF(INDIRECT("'"&amp;D4&amp;"'"&amp;"!A:A"),结果表!B21,INDIRECT("'"&amp;D4&amp;"'"&amp;"!B:B"))</f>
        <v>395</v>
      </c>
      <c r="E21" s="274"/>
      <c r="F21" s="280" t="s">
        <v>327</v>
      </c>
      <c r="G21" s="282">
        <f ca="1">ROUND(C21*$C$18+D21*$D$18,0)</f>
        <v>714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1.3488372093023258</v>
      </c>
      <c r="E22" s="284"/>
      <c r="F22" s="285"/>
      <c r="G22" s="286">
        <f ca="1">ROUND(G19/('数据-汇总表'!D3/666.67),0)</f>
        <v>48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出让国有建设用地使用权价格：1167万元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大写金额：人民币壹仟壹佰陆拾柒万元整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单位面积地价：714元/平方米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楼面地价：943元/平方米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抵押价格：1167万元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大写金额：人民币壹仟壹佰陆拾柒万元整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1167</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943</v>
      </c>
      <c r="D33" s="1386" t="s">
        <v>1692</v>
      </c>
      <c r="E33" s="329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714</v>
      </c>
      <c r="D34" s="1388" t="s">
        <v>1692</v>
      </c>
      <c r="E34" s="329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48</v>
      </c>
      <c r="D35" s="1391" t="s">
        <v>1694</v>
      </c>
      <c r="E35" s="3293"/>
      <c r="F35" s="301" t="s">
        <v>342</v>
      </c>
      <c r="G35" s="982"/>
      <c r="H35" s="981" t="s">
        <v>343</v>
      </c>
      <c r="I35" s="311"/>
      <c r="J35" s="2029"/>
      <c r="K35" s="3297" t="s">
        <v>350</v>
      </c>
      <c r="L35" s="3297" t="s">
        <v>351</v>
      </c>
      <c r="M35" s="1264"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6" t="s">
        <v>355</v>
      </c>
      <c r="N36" s="3298"/>
      <c r="O36" s="3298"/>
      <c r="P36" s="2029"/>
      <c r="V36" s="2029"/>
    </row>
    <row r="37" spans="1:26" ht="16.5" customHeight="1" thickBot="1">
      <c r="A37" s="1260" t="s">
        <v>348</v>
      </c>
      <c r="B37" s="307"/>
      <c r="C37" s="294"/>
      <c r="D37" s="294"/>
      <c r="E37" s="295"/>
      <c r="F37" s="311"/>
      <c r="G37" s="311"/>
      <c r="H37" s="311"/>
      <c r="I37" s="311"/>
      <c r="J37" s="2031"/>
      <c r="K37" s="3299"/>
      <c r="L37" s="3299"/>
      <c r="M37" s="1267"/>
      <c r="N37" s="3299"/>
      <c r="O37" s="3299"/>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714</v>
      </c>
      <c r="N38" s="1269">
        <f ca="1">C33</f>
        <v>943</v>
      </c>
      <c r="O38" s="1270">
        <f ca="1">C32</f>
        <v>1167</v>
      </c>
      <c r="P38" s="2029"/>
      <c r="V38" s="2029"/>
    </row>
    <row r="39" spans="1:26" ht="16.5" customHeight="1" thickBot="1">
      <c r="A39" s="1265"/>
      <c r="B39" s="308"/>
      <c r="C39" s="309"/>
      <c r="D39" s="309"/>
      <c r="E39" s="310"/>
      <c r="F39" s="311"/>
      <c r="G39" s="311"/>
      <c r="H39" s="311"/>
      <c r="I39" s="311"/>
      <c r="J39" s="2031"/>
      <c r="K39" s="3274" t="str">
        <f>MID(A44,3,LEN(A44)-2)</f>
        <v>抵押价格</v>
      </c>
      <c r="L39" s="3275"/>
      <c r="M39" s="3275"/>
      <c r="N39" s="3276"/>
      <c r="O39" s="1393">
        <f ca="1">C44</f>
        <v>1167</v>
      </c>
      <c r="P39" s="2029"/>
      <c r="V39" s="2029"/>
    </row>
    <row r="40" spans="1:26" ht="19.5" thickBot="1">
      <c r="A40" s="104" t="s">
        <v>873</v>
      </c>
      <c r="B40" s="311"/>
      <c r="C40" s="311"/>
      <c r="D40" s="311"/>
      <c r="E40" s="311"/>
      <c r="F40" s="311"/>
      <c r="G40" s="311"/>
      <c r="H40" s="311"/>
      <c r="I40" s="311"/>
      <c r="J40" s="2031"/>
      <c r="K40" s="3274" t="str">
        <f>MID(A45,3,LEN(A45)-2)</f>
        <v/>
      </c>
      <c r="L40" s="3275"/>
      <c r="M40" s="3275"/>
      <c r="N40" s="327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4" t="str">
        <f>MID(A46,3,LEN(A46)-2)</f>
        <v/>
      </c>
      <c r="L41" s="3275"/>
      <c r="M41" s="3275"/>
      <c r="N41" s="3276"/>
      <c r="O41" s="1393" t="str">
        <f>C46</f>
        <v>——</v>
      </c>
      <c r="P41" s="2029"/>
      <c r="V41" s="2029"/>
    </row>
    <row r="42" spans="1:26" ht="29.25">
      <c r="A42" s="3334" t="s">
        <v>2068</v>
      </c>
      <c r="B42" s="3335"/>
      <c r="C42" s="264">
        <f ca="1">C32</f>
        <v>1167</v>
      </c>
      <c r="D42" s="317">
        <f ca="1">C33</f>
        <v>943</v>
      </c>
      <c r="E42" s="317">
        <f ca="1">C34</f>
        <v>714</v>
      </c>
      <c r="F42" s="318">
        <f ca="1">C35</f>
        <v>48</v>
      </c>
      <c r="G42" s="311"/>
      <c r="H42" s="311"/>
      <c r="I42" s="319"/>
      <c r="J42" s="2031"/>
      <c r="K42" s="1271" t="s">
        <v>361</v>
      </c>
      <c r="L42" s="2048" t="s">
        <v>362</v>
      </c>
      <c r="M42" s="1272" t="s">
        <v>363</v>
      </c>
      <c r="N42" s="2049" t="s">
        <v>364</v>
      </c>
      <c r="O42" s="2050" t="s">
        <v>365</v>
      </c>
      <c r="P42" s="2029"/>
      <c r="V42" s="2029"/>
    </row>
    <row r="43" spans="1:26" ht="30">
      <c r="A43" s="3344" t="s">
        <v>2731</v>
      </c>
      <c r="B43" s="3345"/>
      <c r="C43" s="264">
        <f>IF(H33="正常操作",G33+G34+G35,G34+G35)</f>
        <v>0</v>
      </c>
      <c r="D43" s="317" t="s">
        <v>43</v>
      </c>
      <c r="E43" s="317" t="s">
        <v>44</v>
      </c>
      <c r="F43" s="318" t="s">
        <v>44</v>
      </c>
      <c r="G43" s="2845" t="s">
        <v>952</v>
      </c>
      <c r="H43" s="311"/>
      <c r="I43" s="319"/>
      <c r="J43" s="2031"/>
      <c r="K43" s="1273" t="str">
        <f>C4</f>
        <v>剩余法-待开发</v>
      </c>
      <c r="L43" s="1274">
        <f ca="1">IF(L42="估价结果/万元",C19,C20)</f>
        <v>1515</v>
      </c>
      <c r="M43" s="1275">
        <f>C18</f>
        <v>0.6</v>
      </c>
      <c r="N43" s="1276">
        <f ca="1">IF(N42="测算结果/万元",G19,G20)</f>
        <v>1167</v>
      </c>
      <c r="O43" s="1277">
        <f ca="1">IF(O42="最终结果/万元",C32,C33)</f>
        <v>1167</v>
      </c>
      <c r="P43" s="2029"/>
      <c r="V43" s="2029"/>
    </row>
    <row r="44" spans="1:26" ht="30.75" thickBot="1">
      <c r="A44" s="3334" t="str">
        <f>IF(OR(项目基本情况!E8="抵押价格",项目基本情况!E8="已注销及未注销"),"3.抵押价格","——")</f>
        <v>3.抵押价格</v>
      </c>
      <c r="B44" s="3335"/>
      <c r="C44" s="264">
        <f ca="1">IF(A44="——","——",C42-C43)</f>
        <v>1167</v>
      </c>
      <c r="D44" s="317">
        <f ca="1">ROUND(C44*10000/'数据-汇总表'!E3,0)</f>
        <v>943</v>
      </c>
      <c r="E44" s="317">
        <f ca="1">ROUND(C44*10000/'数据-汇总表'!D3,0)</f>
        <v>714</v>
      </c>
      <c r="F44" s="318">
        <f ca="1">ROUND(C44/('数据-汇总表'!D3/666.67),0)</f>
        <v>48</v>
      </c>
      <c r="G44" s="311"/>
      <c r="H44" s="311"/>
      <c r="I44" s="319"/>
      <c r="J44" s="2031"/>
      <c r="K44" s="1278" t="str">
        <f>D4</f>
        <v>比较法-住宅、综合</v>
      </c>
      <c r="L44" s="1279">
        <f ca="1">IF(L42="估价结果/万元",D19,D20)</f>
        <v>645</v>
      </c>
      <c r="M44" s="1280">
        <f>D18</f>
        <v>0.4</v>
      </c>
      <c r="N44" s="1281"/>
      <c r="O44" s="1282"/>
      <c r="P44" s="2029"/>
      <c r="V44" s="2029"/>
    </row>
    <row r="45" spans="1:26" ht="15">
      <c r="A45" s="3339" t="str">
        <f>IF(项目基本情况!E8="已注销及未注销","4.抵押担保权已注销时的抵押价格",IF(项目基本情况!E8="已注销","3.抵押担保权已注销时的抵押价格","——"))</f>
        <v>——</v>
      </c>
      <c r="B45" s="334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2" t="s">
        <v>374</v>
      </c>
      <c r="B63" s="3303"/>
      <c r="C63" s="3304"/>
      <c r="D63" s="341">
        <f ca="1">ROUND(C42*F63,0)</f>
        <v>700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1" t="s">
        <v>378</v>
      </c>
      <c r="B64" s="3342"/>
      <c r="C64" s="3342"/>
      <c r="D64" s="3342"/>
      <c r="E64" s="3342"/>
      <c r="F64" s="3342"/>
      <c r="G64" s="334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8" t="s">
        <v>386</v>
      </c>
      <c r="B66" s="3309"/>
      <c r="C66" s="3309"/>
      <c r="D66" s="261">
        <f ca="1">IF(H66="情况1",0,IF(H66="情况2",D70,IF(H66="情况3",D71,IF(H66="情况4",D72))))</f>
        <v>38</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278" t="s">
        <v>385</v>
      </c>
      <c r="M66" s="3279"/>
      <c r="N66" s="2438"/>
      <c r="O66" s="2439"/>
      <c r="P66" s="2440"/>
      <c r="Q66" s="2029"/>
      <c r="R66" s="2029"/>
      <c r="S66" s="2029"/>
      <c r="T66" s="2029"/>
      <c r="U66" s="2029"/>
      <c r="V66" s="2029"/>
    </row>
    <row r="67" spans="1:22" ht="25.5" customHeight="1">
      <c r="A67" s="352" t="s">
        <v>390</v>
      </c>
      <c r="B67" s="3321" t="s">
        <v>391</v>
      </c>
      <c r="C67" s="3321"/>
      <c r="D67" s="353">
        <v>0</v>
      </c>
      <c r="E67" s="41" t="s">
        <v>392</v>
      </c>
      <c r="F67" s="62" t="s">
        <v>21</v>
      </c>
      <c r="G67" s="3305"/>
      <c r="H67" s="311"/>
      <c r="I67" s="1292"/>
      <c r="J67" s="2036"/>
      <c r="K67" s="1977">
        <v>2</v>
      </c>
      <c r="L67" s="3277" t="s">
        <v>389</v>
      </c>
      <c r="M67" s="3277"/>
      <c r="N67" s="1325">
        <f>'数据-取费表'!B2</f>
        <v>43551</v>
      </c>
      <c r="O67" s="1325"/>
      <c r="P67" s="1325"/>
      <c r="Q67" s="2029"/>
      <c r="R67" s="2029"/>
      <c r="S67" s="2029"/>
      <c r="T67" s="2029"/>
      <c r="U67" s="2029"/>
      <c r="V67" s="2029"/>
    </row>
    <row r="68" spans="1:22" ht="25.5" customHeight="1">
      <c r="A68" s="354"/>
      <c r="B68" s="3321" t="s">
        <v>394</v>
      </c>
      <c r="C68" s="3321"/>
      <c r="D68" s="355"/>
      <c r="E68" s="77"/>
      <c r="F68" s="356"/>
      <c r="G68" s="3306"/>
      <c r="H68" s="311"/>
      <c r="I68" s="1292"/>
      <c r="J68" s="2036"/>
      <c r="K68" s="1977">
        <v>3</v>
      </c>
      <c r="L68" s="3277" t="s">
        <v>393</v>
      </c>
      <c r="M68" s="3277"/>
      <c r="N68" s="1293">
        <f ca="1">C42</f>
        <v>1167</v>
      </c>
      <c r="O68" s="1293"/>
      <c r="P68" s="1293"/>
      <c r="Q68" s="2029"/>
      <c r="R68" s="2029"/>
      <c r="S68" s="2029"/>
      <c r="T68" s="2029"/>
      <c r="U68" s="2029"/>
      <c r="V68" s="2029"/>
    </row>
    <row r="69" spans="1:22" ht="12" customHeight="1">
      <c r="A69" s="357"/>
      <c r="B69" s="3321" t="s">
        <v>395</v>
      </c>
      <c r="C69" s="3321"/>
      <c r="D69" s="358"/>
      <c r="E69" s="73"/>
      <c r="F69" s="356"/>
      <c r="G69" s="3307"/>
      <c r="H69" s="311"/>
      <c r="I69" s="1292"/>
      <c r="J69" s="2036"/>
      <c r="K69" s="1294">
        <v>4</v>
      </c>
      <c r="L69" s="3283" t="s">
        <v>2883</v>
      </c>
      <c r="M69" s="3284"/>
      <c r="N69" s="1295">
        <f ca="1">C44</f>
        <v>1167</v>
      </c>
      <c r="O69" s="1295"/>
      <c r="P69" s="1295"/>
      <c r="Q69" s="2029"/>
      <c r="R69" s="2029"/>
      <c r="S69" s="2029"/>
      <c r="T69" s="2029"/>
      <c r="U69" s="2029"/>
      <c r="V69" s="2029"/>
    </row>
    <row r="70" spans="1:22" ht="24" customHeight="1">
      <c r="A70" s="359" t="s">
        <v>396</v>
      </c>
      <c r="B70" s="3321" t="s">
        <v>397</v>
      </c>
      <c r="C70" s="3321"/>
      <c r="D70" s="358">
        <f ca="1">ROUND(D63*'数据-取费表'!B41/(1+'数据-取费表'!C42),0)</f>
        <v>38</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20" t="s">
        <v>405</v>
      </c>
      <c r="C71" s="3332"/>
      <c r="D71" s="358">
        <f ca="1">ROUND(D63*'数据-取费表'!B41/(1+'数据-取费表'!C42),0)</f>
        <v>38</v>
      </c>
      <c r="E71" s="17" t="s">
        <v>398</v>
      </c>
      <c r="F71" s="360">
        <f>'数据-取费表'!B41</f>
        <v>5.6300000000000003E-2</v>
      </c>
      <c r="G71" s="361"/>
      <c r="H71" s="311"/>
      <c r="I71" s="1292"/>
      <c r="J71" s="2036"/>
      <c r="K71" s="3037" t="s">
        <v>399</v>
      </c>
      <c r="L71" s="3285" t="s">
        <v>400</v>
      </c>
      <c r="M71" s="3285"/>
      <c r="N71" s="3037" t="s">
        <v>401</v>
      </c>
      <c r="O71" s="3037" t="s">
        <v>402</v>
      </c>
      <c r="P71" s="3037" t="s">
        <v>403</v>
      </c>
      <c r="Q71" s="2029"/>
      <c r="R71" s="2029"/>
      <c r="S71" s="2029"/>
      <c r="T71" s="2029"/>
      <c r="U71" s="2029"/>
      <c r="V71" s="2029"/>
    </row>
    <row r="72" spans="1:22" ht="12" customHeight="1">
      <c r="A72" s="359" t="s">
        <v>407</v>
      </c>
      <c r="B72" s="3320" t="s">
        <v>408</v>
      </c>
      <c r="C72" s="3332"/>
      <c r="D72" s="358">
        <f ca="1">C86</f>
        <v>0</v>
      </c>
      <c r="E72" s="73" t="s">
        <v>409</v>
      </c>
      <c r="F72" s="360">
        <f>'数据-取费表'!B41</f>
        <v>5.6300000000000003E-2</v>
      </c>
      <c r="G72" s="361"/>
      <c r="H72" s="1298"/>
      <c r="I72" s="1292"/>
      <c r="J72" s="2036"/>
      <c r="K72" s="1977">
        <v>1</v>
      </c>
      <c r="L72" s="3282" t="s">
        <v>406</v>
      </c>
      <c r="M72" s="3282"/>
      <c r="N72" s="1296">
        <f ca="1">D66</f>
        <v>38</v>
      </c>
      <c r="O72" s="1860" t="str">
        <f>E66</f>
        <v>销售额×税（费）率</v>
      </c>
      <c r="P72" s="1297">
        <f>F66</f>
        <v>5.6300000000000003E-2</v>
      </c>
      <c r="Q72" s="2029"/>
      <c r="R72" s="2029"/>
      <c r="S72" s="2029"/>
      <c r="T72" s="2029"/>
      <c r="U72" s="2029"/>
      <c r="V72" s="2029"/>
    </row>
    <row r="73" spans="1:22" ht="24" customHeight="1">
      <c r="A73" s="3308" t="s">
        <v>411</v>
      </c>
      <c r="B73" s="3309"/>
      <c r="C73" s="3309"/>
      <c r="D73" s="362">
        <f>IF(H73="个人住宅",0,ROUND(D63*I73,0))</f>
        <v>0</v>
      </c>
      <c r="E73" s="17" t="s">
        <v>412</v>
      </c>
      <c r="F73" s="360" t="str">
        <f>IF(H73="正常",I73,"免征")</f>
        <v>免征</v>
      </c>
      <c r="G73" s="361"/>
      <c r="H73" s="191" t="s">
        <v>2456</v>
      </c>
      <c r="I73" s="360">
        <f>'数据-取费表'!B49</f>
        <v>5.0000000000000001E-4</v>
      </c>
      <c r="J73" s="2036"/>
      <c r="K73" s="1977">
        <v>2</v>
      </c>
      <c r="L73" s="3282" t="s">
        <v>410</v>
      </c>
      <c r="M73" s="3282"/>
      <c r="N73" s="1296">
        <f t="shared" ref="N73:P74" si="0">D73</f>
        <v>0</v>
      </c>
      <c r="O73" s="1860" t="str">
        <f t="shared" si="0"/>
        <v>销售额×税（费）率</v>
      </c>
      <c r="P73" s="1297" t="str">
        <f t="shared" si="0"/>
        <v>免征</v>
      </c>
      <c r="Q73" s="2029"/>
      <c r="R73" s="2029"/>
      <c r="S73" s="2029"/>
      <c r="T73" s="2029"/>
      <c r="U73" s="2029"/>
      <c r="V73" s="2029"/>
    </row>
    <row r="74" spans="1:22" ht="24.75">
      <c r="A74" s="3308" t="s">
        <v>415</v>
      </c>
      <c r="B74" s="3309"/>
      <c r="C74" s="3309"/>
      <c r="D74" s="362">
        <f ca="1">IF(H74="个人住宅",D75,D76)</f>
        <v>0</v>
      </c>
      <c r="E74" s="17" t="s">
        <v>416</v>
      </c>
      <c r="F74" s="360" t="str">
        <f>IF(H74="正常",F76,"免征")</f>
        <v>——</v>
      </c>
      <c r="G74" s="983" t="s">
        <v>417</v>
      </c>
      <c r="H74" s="363" t="s">
        <v>413</v>
      </c>
      <c r="I74" s="42"/>
      <c r="J74" s="2036"/>
      <c r="K74" s="1977">
        <v>3</v>
      </c>
      <c r="L74" s="3282" t="s">
        <v>414</v>
      </c>
      <c r="M74" s="3282"/>
      <c r="N74" s="1296">
        <f t="shared" ca="1" si="0"/>
        <v>0</v>
      </c>
      <c r="O74" s="1860" t="str">
        <f t="shared" si="0"/>
        <v>增值额×税（费）率</v>
      </c>
      <c r="P74" s="1299" t="str">
        <f t="shared" si="0"/>
        <v>——</v>
      </c>
      <c r="Q74" s="2029"/>
      <c r="R74" s="2029"/>
      <c r="S74" s="2029"/>
      <c r="T74" s="2029"/>
      <c r="U74" s="2029"/>
      <c r="V74" s="2029"/>
    </row>
    <row r="75" spans="1:22" ht="24">
      <c r="A75" s="359" t="s">
        <v>418</v>
      </c>
      <c r="B75" s="3289" t="s">
        <v>419</v>
      </c>
      <c r="C75" s="3290"/>
      <c r="D75" s="364">
        <v>0</v>
      </c>
      <c r="E75" s="41" t="s">
        <v>420</v>
      </c>
      <c r="F75" s="365"/>
      <c r="G75" s="361"/>
      <c r="H75" s="42"/>
      <c r="I75" s="42"/>
      <c r="J75" s="2036"/>
      <c r="K75" s="3030">
        <f>IF(H77="非个人房产","",4)</f>
        <v>4</v>
      </c>
      <c r="L75" s="3282" t="str">
        <f>IF(H77="非个人房产","——","个人所得税")</f>
        <v>个人所得税</v>
      </c>
      <c r="M75" s="3282"/>
      <c r="N75" s="1300">
        <f ca="1">D77</f>
        <v>7</v>
      </c>
      <c r="O75" s="1873" t="str">
        <f>E77</f>
        <v>销售额×税（费）率</v>
      </c>
      <c r="P75" s="1301">
        <f>F77</f>
        <v>0.01</v>
      </c>
      <c r="Q75" s="2029"/>
      <c r="R75" s="2029"/>
      <c r="S75" s="2029"/>
      <c r="T75" s="2029"/>
      <c r="U75" s="2029"/>
      <c r="V75" s="2029"/>
    </row>
    <row r="76" spans="1:22" ht="24.75">
      <c r="A76" s="359" t="s">
        <v>396</v>
      </c>
      <c r="B76" s="3289" t="s">
        <v>422</v>
      </c>
      <c r="C76" s="3331"/>
      <c r="D76" s="362">
        <f ca="1">IF(H76="转让取得",C99,C115)</f>
        <v>0</v>
      </c>
      <c r="E76" s="17" t="s">
        <v>423</v>
      </c>
      <c r="F76" s="53" t="s">
        <v>21</v>
      </c>
      <c r="G76" s="361"/>
      <c r="H76" s="363" t="s">
        <v>424</v>
      </c>
      <c r="I76" s="42"/>
      <c r="J76" s="2036"/>
      <c r="K76" s="3030"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29"/>
      <c r="R76" s="2029"/>
      <c r="S76" s="2029"/>
      <c r="T76" s="2029"/>
      <c r="U76" s="2029"/>
      <c r="V76" s="2029"/>
    </row>
    <row r="77" spans="1:22" ht="26.25" thickBot="1">
      <c r="A77" s="3300" t="s">
        <v>426</v>
      </c>
      <c r="B77" s="3301"/>
      <c r="C77" s="3301"/>
      <c r="D77" s="366">
        <f ca="1">IF(H77="非个人房产","——",IF(H77="个人住宅",0,ROUND(D63*I77,0)))</f>
        <v>7</v>
      </c>
      <c r="E77" s="367" t="str">
        <f>IF(H77="非个人房产","——","销售额×税（费）率")</f>
        <v>销售额×税（费）率</v>
      </c>
      <c r="F77" s="368">
        <f>IF(H77="非个人房产","——",IF(H77="个人住宅","免征",I77))</f>
        <v>0.01</v>
      </c>
      <c r="G77" s="984" t="s">
        <v>417</v>
      </c>
      <c r="H77" s="363" t="s">
        <v>2884</v>
      </c>
      <c r="I77" s="369">
        <v>0.01</v>
      </c>
      <c r="J77" s="2036"/>
      <c r="K77" s="3296">
        <f>IF(AND(K75="",K76=""),4,IF(项目基本情况!K6="上海银行",K76+1,K75+1))</f>
        <v>5</v>
      </c>
      <c r="L77" s="3282" t="s">
        <v>2885</v>
      </c>
      <c r="M77" s="3036" t="s">
        <v>421</v>
      </c>
      <c r="N77" s="1302"/>
      <c r="O77" s="1303">
        <f ca="1">SUMIF(N72:N76,"&lt;9e307")</f>
        <v>45</v>
      </c>
      <c r="P77" s="1304"/>
      <c r="Q77" s="3034">
        <f ca="1">O77/N69</f>
        <v>3.8560411311053984E-2</v>
      </c>
      <c r="R77" s="2029"/>
      <c r="S77" s="2029"/>
      <c r="T77" s="2029"/>
      <c r="U77" s="2029"/>
      <c r="V77" s="2029"/>
    </row>
    <row r="78" spans="1:22" ht="12" customHeight="1">
      <c r="A78" s="1305"/>
      <c r="B78" s="311"/>
      <c r="C78" s="311"/>
      <c r="D78" s="311"/>
      <c r="E78" s="42"/>
      <c r="F78" s="42"/>
      <c r="G78" s="42"/>
      <c r="H78" s="1003"/>
      <c r="I78" s="311"/>
      <c r="J78" s="2036"/>
      <c r="K78" s="3296"/>
      <c r="L78" s="3282"/>
      <c r="M78" s="3036" t="s">
        <v>425</v>
      </c>
      <c r="N78" s="1302"/>
      <c r="O78" s="1303" t="str">
        <f ca="1">NUMBERSTRING(INT(O77*10000),2)&amp;"元整"</f>
        <v>肆拾伍万元整</v>
      </c>
      <c r="P78" s="1304"/>
      <c r="Q78" s="2029"/>
      <c r="R78" s="2029"/>
      <c r="S78" s="2029"/>
      <c r="T78" s="2029"/>
      <c r="U78" s="2029"/>
      <c r="V78" s="2029"/>
    </row>
    <row r="79" spans="1:22" ht="13.5" thickBot="1">
      <c r="A79" s="3286" t="s">
        <v>427</v>
      </c>
      <c r="B79" s="3286"/>
      <c r="C79" s="3286"/>
      <c r="D79" s="3286"/>
      <c r="E79" s="3286"/>
      <c r="F79" s="42"/>
      <c r="G79" s="42"/>
      <c r="H79" s="1003"/>
      <c r="I79" s="311"/>
      <c r="J79" s="2036"/>
      <c r="K79" s="3280">
        <f>K77+1</f>
        <v>6</v>
      </c>
      <c r="L79" s="3282" t="s">
        <v>2886</v>
      </c>
      <c r="M79" s="3036" t="s">
        <v>421</v>
      </c>
      <c r="N79" s="1302"/>
      <c r="O79" s="1303">
        <f ca="1">N69-O77</f>
        <v>1122</v>
      </c>
      <c r="P79" s="1304"/>
      <c r="Q79" s="2029"/>
      <c r="R79" s="2029"/>
      <c r="S79" s="2029"/>
      <c r="T79" s="2029"/>
      <c r="U79" s="2029"/>
      <c r="V79" s="2029"/>
    </row>
    <row r="80" spans="1:22" ht="25.5">
      <c r="A80" s="3287" t="s">
        <v>428</v>
      </c>
      <c r="B80" s="3288"/>
      <c r="C80" s="994"/>
      <c r="D80" s="994" t="s">
        <v>429</v>
      </c>
      <c r="E80" s="370" t="s">
        <v>430</v>
      </c>
      <c r="F80" s="42"/>
      <c r="G80" s="42"/>
      <c r="H80" s="1003"/>
      <c r="I80" s="311"/>
      <c r="J80" s="2029"/>
      <c r="K80" s="3281"/>
      <c r="L80" s="3282"/>
      <c r="M80" s="3036" t="s">
        <v>425</v>
      </c>
      <c r="N80" s="1302"/>
      <c r="O80" s="1303" t="str">
        <f ca="1">NUMBERSTRING(INT(O79*10000),2)&amp;"元整"</f>
        <v>壹仟壹佰贰拾贰万元整</v>
      </c>
      <c r="P80" s="1304"/>
      <c r="Q80" s="2029"/>
      <c r="R80" s="2029"/>
      <c r="S80" s="2029"/>
      <c r="T80" s="2029"/>
      <c r="U80" s="2029"/>
      <c r="V80" s="2029"/>
    </row>
    <row r="81" spans="1:26" ht="13.5" thickBot="1">
      <c r="A81" s="381" t="s">
        <v>1824</v>
      </c>
      <c r="B81" s="371" t="s">
        <v>431</v>
      </c>
      <c r="C81" s="372">
        <f ca="1">ROUND((C82+C83)/(1+'数据-取费表'!C42),0)</f>
        <v>667</v>
      </c>
      <c r="D81" s="373"/>
      <c r="E81" s="374"/>
      <c r="F81" s="42"/>
      <c r="G81" s="42"/>
      <c r="H81" s="1003"/>
      <c r="I81" s="311"/>
      <c r="J81" s="2029"/>
      <c r="K81" s="3030">
        <f>K79+1</f>
        <v>7</v>
      </c>
      <c r="L81" s="3294" t="s">
        <v>2887</v>
      </c>
      <c r="M81" s="3295"/>
      <c r="N81" s="1306"/>
      <c r="O81" s="1307">
        <f ca="1">ROUND(O79*10000/'数据-汇总表'!E3,0)</f>
        <v>906</v>
      </c>
      <c r="P81" s="1308"/>
      <c r="Q81" s="2029"/>
      <c r="R81" s="2029"/>
      <c r="S81" s="2029"/>
      <c r="T81" s="2029"/>
      <c r="U81" s="2029"/>
      <c r="V81" s="2029"/>
    </row>
    <row r="82" spans="1:26" ht="13.5" thickTop="1">
      <c r="A82" s="375" t="s">
        <v>1825</v>
      </c>
      <c r="B82" s="376" t="s">
        <v>432</v>
      </c>
      <c r="C82" s="377">
        <f ca="1">D63</f>
        <v>700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9" t="s">
        <v>2874</v>
      </c>
      <c r="L83" s="3042" t="s">
        <v>2875</v>
      </c>
      <c r="M83" s="3032">
        <f ca="1">IF(N69&gt;10000,N69*0.5%,IF(AND(N69&gt;1000,N69&lt;=10000),N69*1%,IF(AND(N69&gt;100,N69&lt;=1000),N69*3%,IF(AND(N69&gt;10,N69&lt;=100),N69*5%,N69*8%))))</f>
        <v>11.67</v>
      </c>
      <c r="N83" s="53">
        <f ca="1">ROUND(M83,1)</f>
        <v>11.7</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269"/>
      <c r="L84" s="3042" t="s">
        <v>2876</v>
      </c>
      <c r="M84" s="3032">
        <f ca="1">IF(N69&gt;2000,N69*0.5%,IF(AND(N69&gt;1000,N69&lt;=2000),N69*0.6%,IF(AND(N69&gt;500,N69&lt;=1000),N69*0.7%,IF(AND(N69&gt;200,N69&lt;=500),N69*0.8%,IF(AND(N69&gt;100,N69&lt;=200),N69*0.9%,IF(AND(N69&gt;50,N69&lt;=100),N69*1%,IF(AND(N69&gt;20,N69&lt;=50),N69*1.5%,IF(AND(N69&gt;10,N69&lt;=20),N69*2%,IF(AND(N69&gt;1,N69&lt;=10),N69*2.5%)))))))))</f>
        <v>7.0019999999999998</v>
      </c>
      <c r="N84" s="53">
        <f ca="1">ROUND(M84,1)</f>
        <v>7</v>
      </c>
      <c r="O84" s="2029" t="s">
        <v>2877</v>
      </c>
      <c r="P84" s="2029"/>
      <c r="Q84" s="2029"/>
      <c r="R84" s="2029"/>
      <c r="S84" s="2029"/>
      <c r="T84" s="2029"/>
      <c r="U84" s="2029"/>
      <c r="V84" s="2029"/>
    </row>
    <row r="85" spans="1:26" ht="12.75">
      <c r="A85" s="381" t="s">
        <v>1828</v>
      </c>
      <c r="B85" s="382" t="s">
        <v>435</v>
      </c>
      <c r="C85" s="385">
        <f ca="1">C81-C84</f>
        <v>-1333</v>
      </c>
      <c r="D85" s="378" t="s">
        <v>19</v>
      </c>
      <c r="E85" s="379"/>
      <c r="F85" s="42"/>
      <c r="G85" s="42"/>
      <c r="H85" s="1003"/>
      <c r="I85" s="311"/>
      <c r="J85" s="2029"/>
      <c r="K85" s="3269"/>
      <c r="L85" s="3042" t="s">
        <v>2878</v>
      </c>
      <c r="M85" s="3032">
        <f ca="1">IF(N69&gt;1000,N69*0.1%,IF(AND(N69&gt;500,N69&lt;=1000),N69*0.5%,IF(AND(N69&gt;50,N69&lt;=500),N69*1%,IF(AND(N69&gt;1,N69&lt;=50),N69*1.5%))))</f>
        <v>1.167</v>
      </c>
      <c r="N85" s="53">
        <f ca="1">ROUND(M85,1)</f>
        <v>1.2</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269"/>
      <c r="L86" s="3042" t="s">
        <v>2879</v>
      </c>
      <c r="M86" s="3032">
        <f ca="1">N69*0.5%</f>
        <v>5.835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9"/>
      <c r="L87" s="3042" t="s">
        <v>2881</v>
      </c>
      <c r="M87" s="3032">
        <f ca="1">IF(N69&gt;=10000,(8.25+(N69-10000)*0.01%),IF(AND(N69&gt;=8000,N69&lt;10000),(7.85+(N69-8000)*0.02%),IF(AND(N69&gt;=5000,N69&lt;8000),(6.65+(N69-5000)*0.04%),IF(AND(N69&gt;=2000,N69&lt;5000),(4.25+(PN69-2000)*0.08%),IF(AND(N69&gt;=1000,N69&lt;2000),(2.75+(N69-1000)*0.15%),IF(AND(N69&gt;=100,N69&lt;1000),(0.5+(N69-100)*0.25%),IF(AND(N69&gt;0,N69&lt;100),N69*0.5%)))))))</f>
        <v>3.0005000000000002</v>
      </c>
      <c r="N87" s="53">
        <f ca="1">ROUND(M87*0.9,1)</f>
        <v>2.7</v>
      </c>
      <c r="O87" s="3035"/>
      <c r="P87" s="311"/>
      <c r="Q87" s="2029"/>
      <c r="R87" s="2029"/>
      <c r="S87" s="2029"/>
      <c r="T87" s="2029"/>
      <c r="U87" s="2029"/>
      <c r="V87" s="2029"/>
      <c r="W87" s="292"/>
      <c r="X87" s="292"/>
      <c r="Y87" s="292"/>
      <c r="Z87" s="292"/>
    </row>
    <row r="88" spans="1:26" s="1314" customFormat="1" ht="15" thickBot="1">
      <c r="A88" s="3323" t="s">
        <v>437</v>
      </c>
      <c r="B88" s="3324"/>
      <c r="C88" s="3324"/>
      <c r="D88" s="3324"/>
      <c r="E88" s="3324"/>
      <c r="F88" s="3324"/>
      <c r="G88" s="3324"/>
      <c r="H88" s="3324"/>
      <c r="I88" s="1315"/>
      <c r="J88" s="2037"/>
      <c r="K88" s="3269"/>
      <c r="L88" s="3042" t="s">
        <v>2882</v>
      </c>
      <c r="M88" s="3032">
        <f ca="1">IF(N69&gt;10000,N69*0.5%,IF(AND(N69&gt;5000,N69&lt;=10000),N69*1%,IF(AND(N69&gt;1000,N69&lt;=5000),N69*2%,IF(AND(N69&gt;200,N69&lt;=1000),N69*3%,N69*5%))))</f>
        <v>23.34</v>
      </c>
      <c r="N88" s="53">
        <f ca="1">ROUND(M88,1)</f>
        <v>23.3</v>
      </c>
      <c r="O88" s="3035"/>
      <c r="P88" s="11"/>
      <c r="Q88" s="2034"/>
      <c r="R88" s="2034"/>
      <c r="S88" s="2034"/>
      <c r="T88" s="2034"/>
      <c r="U88" s="2034"/>
      <c r="V88" s="2034"/>
      <c r="W88" s="2038"/>
      <c r="X88" s="2038"/>
      <c r="Y88" s="2038"/>
      <c r="Z88" s="2038"/>
    </row>
    <row r="89" spans="1:26" s="1314" customFormat="1" ht="14.25">
      <c r="A89" s="3287" t="s">
        <v>428</v>
      </c>
      <c r="B89" s="3288"/>
      <c r="C89" s="994"/>
      <c r="D89" s="994" t="s">
        <v>429</v>
      </c>
      <c r="E89" s="391" t="s">
        <v>438</v>
      </c>
      <c r="F89" s="392"/>
      <c r="G89" s="392"/>
      <c r="H89" s="393"/>
      <c r="I89" s="1316"/>
      <c r="J89" s="2039"/>
      <c r="K89" s="3269"/>
      <c r="L89" s="3042" t="s">
        <v>27</v>
      </c>
      <c r="M89" s="3033"/>
      <c r="N89" s="53">
        <f ca="1">ROUND(SUM(N83:N88),0)</f>
        <v>46</v>
      </c>
      <c r="O89" s="3043">
        <f ca="1">N89/N69</f>
        <v>3.9417309340188521E-2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667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21"/>
      <c r="G94" s="3321"/>
      <c r="H94" s="332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v>
      </c>
      <c r="D96" s="406">
        <f>'数据-取费表'!B43</f>
        <v>6.3000000000000009E-3</v>
      </c>
      <c r="E96" s="3310" t="s">
        <v>2429</v>
      </c>
      <c r="F96" s="3311"/>
      <c r="G96" s="3311"/>
      <c r="H96" s="331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-1898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7" t="s">
        <v>428</v>
      </c>
      <c r="B102" s="328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667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3" t="s">
        <v>462</v>
      </c>
      <c r="F109" s="3311"/>
      <c r="G109" s="331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3" t="s">
        <v>464</v>
      </c>
      <c r="F110" s="3311"/>
      <c r="G110" s="3311"/>
      <c r="H110" s="331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v>
      </c>
      <c r="D111" s="406">
        <f>'数据-取费表'!B43</f>
        <v>6.3000000000000009E-3</v>
      </c>
      <c r="E111" s="3310" t="s">
        <v>2429</v>
      </c>
      <c r="F111" s="3311"/>
      <c r="G111" s="3311"/>
      <c r="H111" s="331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3" t="s">
        <v>2454</v>
      </c>
      <c r="F112" s="3311"/>
      <c r="G112" s="3311"/>
      <c r="H112" s="331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38" sqref="J3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1515</v>
      </c>
      <c r="C2" s="2105"/>
      <c r="D2" s="2105"/>
      <c r="E2" s="2105"/>
      <c r="F2" s="2105"/>
      <c r="G2" s="2105"/>
      <c r="H2" s="2105"/>
      <c r="I2" s="2105"/>
      <c r="J2" s="2105"/>
      <c r="K2" s="2105"/>
    </row>
    <row r="3" spans="1:31" s="2042" customFormat="1" ht="18" customHeight="1">
      <c r="A3" s="2107" t="s">
        <v>1685</v>
      </c>
      <c r="B3" s="2108">
        <f ca="1">ROUND(B2*10000/IF(B1="",'数据-汇总表'!E3,INDIRECT("'数据-取费表'!K"&amp;$K$1)),0)</f>
        <v>1224</v>
      </c>
      <c r="C3" s="2105"/>
      <c r="D3" s="2105"/>
      <c r="E3" s="2105"/>
      <c r="F3" s="2105"/>
      <c r="G3" s="2105"/>
      <c r="H3" s="2105"/>
      <c r="I3" s="2105"/>
      <c r="J3" s="2105"/>
      <c r="K3" s="2105"/>
    </row>
    <row r="4" spans="1:31" s="2042" customFormat="1" ht="18" customHeight="1">
      <c r="A4" s="426" t="s">
        <v>468</v>
      </c>
      <c r="B4" s="427">
        <f ca="1">ROUND(B2*10000/IF(B1="",'数据-汇总表'!D3,INDIRECT("'数据-取费表'!R"&amp;$K$1)),0)</f>
        <v>927</v>
      </c>
      <c r="C4" s="428"/>
      <c r="D4" s="422"/>
      <c r="E4" s="422"/>
      <c r="F4" s="422"/>
      <c r="G4" s="422"/>
      <c r="H4" s="422"/>
      <c r="I4" s="422"/>
      <c r="J4" s="422"/>
      <c r="K4" s="422"/>
    </row>
    <row r="5" spans="1:31" s="2042" customFormat="1" ht="18" customHeight="1" thickBot="1">
      <c r="A5" s="429"/>
      <c r="B5" s="430">
        <f ca="1">ROUND(B2/(IF(B1="",'数据-汇总表'!D3,INDIRECT("'数据-取费表'!R"&amp;$K$1))/666.67),0)</f>
        <v>62</v>
      </c>
      <c r="C5" s="431" t="s">
        <v>469</v>
      </c>
      <c r="D5" s="422"/>
      <c r="E5" s="422"/>
      <c r="F5" s="422"/>
      <c r="G5" s="422"/>
      <c r="H5" s="422"/>
      <c r="I5" s="422"/>
      <c r="J5" s="422"/>
      <c r="K5" s="422"/>
    </row>
    <row r="6" spans="1:31" s="2112" customFormat="1" ht="16.5" customHeight="1">
      <c r="A6" s="2807" t="s">
        <v>1843</v>
      </c>
      <c r="B6" s="2808"/>
      <c r="C6" s="2809">
        <f ca="1">SUM(C10:K10)</f>
        <v>6774</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5472</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6774</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135</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140</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140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363</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4443</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4443</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473</v>
      </c>
      <c r="D33" s="467">
        <f ca="1">C34</f>
        <v>0.1235</v>
      </c>
      <c r="E33" s="469" t="s">
        <v>495</v>
      </c>
      <c r="F33" s="479">
        <f ca="1">IF(B1="",'数据-取费表'!Q16,INDIRECT("'数据-取费表'!q"&amp;$K$1))</f>
        <v>0.12</v>
      </c>
      <c r="G33" s="2795"/>
      <c r="H33" s="2796"/>
      <c r="I33" s="2796"/>
      <c r="J33" s="2796"/>
      <c r="K33" s="2797"/>
    </row>
    <row r="34" spans="1:11" s="2124" customFormat="1" ht="13.5" customHeight="1">
      <c r="A34" s="375" t="s">
        <v>1857</v>
      </c>
      <c r="B34" s="2842" t="s">
        <v>501</v>
      </c>
      <c r="C34" s="472">
        <f ca="1">ROUND((1+C25)*F33,4)</f>
        <v>0.1235</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473</v>
      </c>
      <c r="D35" s="1630"/>
      <c r="E35" s="2843"/>
      <c r="F35" s="1631"/>
      <c r="G35" s="2801"/>
      <c r="H35" s="2802"/>
      <c r="I35" s="2802"/>
      <c r="J35" s="2802"/>
      <c r="K35" s="2803"/>
    </row>
    <row r="36" spans="1:11" s="2086" customFormat="1" ht="13.5" customHeight="1" thickBot="1">
      <c r="A36" s="284" t="s">
        <v>1845</v>
      </c>
      <c r="B36" s="2805"/>
      <c r="C36" s="2844">
        <f ca="1">ROUND((C6-C30-C33)/(1+D30+D33),0)</f>
        <v>1515</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434</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4" t="s">
        <v>1849</v>
      </c>
      <c r="B25" s="1328" t="s">
        <v>2437</v>
      </c>
      <c r="C25" s="490">
        <f ca="1">ROUND((C18+C19)*F24,0)</f>
        <v>434</v>
      </c>
      <c r="D25" s="472"/>
      <c r="E25" s="473"/>
      <c r="F25" s="480"/>
      <c r="G25" s="1326" t="s">
        <v>2434</v>
      </c>
      <c r="H25" s="457"/>
      <c r="I25" s="457"/>
      <c r="J25" s="457"/>
      <c r="K25" s="458"/>
    </row>
    <row r="26" spans="1:14" s="2121" customFormat="1" ht="13.5" customHeight="1">
      <c r="A26" s="1634" t="s">
        <v>1850</v>
      </c>
      <c r="B26" s="1328" t="s">
        <v>509</v>
      </c>
      <c r="C26" s="491">
        <f ca="1">ROUND(F20*F24,4)</f>
        <v>2.3999999999999998E-3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4524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17" sqref="I17"/>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4"/>
      <c r="M6" s="2133"/>
      <c r="N6" s="2133"/>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81" t="s">
        <v>2931</v>
      </c>
      <c r="D7" s="3380"/>
      <c r="E7" s="3379" t="s">
        <v>3005</v>
      </c>
      <c r="F7" s="3380"/>
      <c r="G7" s="3379" t="s">
        <v>3006</v>
      </c>
      <c r="H7" s="3380"/>
      <c r="I7" s="3379" t="s">
        <v>3007</v>
      </c>
      <c r="J7" s="3380"/>
      <c r="K7" s="514"/>
      <c r="L7" s="2134"/>
      <c r="M7" s="2133"/>
      <c r="N7" s="2133"/>
      <c r="O7" s="2135"/>
      <c r="P7" s="3372"/>
      <c r="Q7" s="3373"/>
      <c r="R7" s="3358"/>
      <c r="S7" s="3359"/>
      <c r="T7" s="3358"/>
      <c r="U7" s="3359"/>
      <c r="V7" s="3376"/>
      <c r="W7" s="3376"/>
      <c r="X7" s="1568"/>
      <c r="Y7" s="3358"/>
      <c r="Z7" s="3359"/>
      <c r="AA7" s="3352"/>
      <c r="AB7" s="3352"/>
      <c r="AC7" s="3352"/>
    </row>
    <row r="8" spans="1:30" ht="21" thickBot="1">
      <c r="A8" s="515"/>
      <c r="B8" s="516"/>
      <c r="C8" s="3382" t="s">
        <v>2935</v>
      </c>
      <c r="D8" s="3383"/>
      <c r="E8" s="3382" t="str">
        <f>E7</f>
        <v>营里镇新海路以北、羊临路以西</v>
      </c>
      <c r="F8" s="3383"/>
      <c r="G8" s="3377" t="str">
        <f>G7</f>
        <v>营里镇新海路以南、羊临路以西</v>
      </c>
      <c r="H8" s="3378"/>
      <c r="I8" s="3377" t="str">
        <f>I7</f>
        <v>侯镇新海路以北、大九路以东</v>
      </c>
      <c r="J8" s="3378"/>
      <c r="K8" s="514" t="s">
        <v>528</v>
      </c>
      <c r="L8" s="2134"/>
      <c r="M8" s="2133"/>
      <c r="N8" s="2133"/>
      <c r="O8" s="2135"/>
      <c r="P8" s="3374"/>
      <c r="Q8" s="3375"/>
      <c r="R8" s="3358"/>
      <c r="S8" s="3359"/>
      <c r="T8" s="3360"/>
      <c r="U8" s="3361"/>
      <c r="V8" s="3376"/>
      <c r="W8" s="3376"/>
      <c r="X8" s="1568"/>
      <c r="Y8" s="3360"/>
      <c r="Z8" s="3361"/>
      <c r="AA8" s="3353"/>
      <c r="AB8" s="3353"/>
      <c r="AC8" s="3353"/>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54" t="s">
        <v>530</v>
      </c>
      <c r="Q9" s="3363"/>
      <c r="R9" s="1569" t="s">
        <v>8</v>
      </c>
      <c r="S9" s="1570">
        <f t="shared" ref="S9:S17" si="0">F9</f>
        <v>100</v>
      </c>
      <c r="T9" s="1569" t="s">
        <v>8</v>
      </c>
      <c r="U9" s="1570">
        <f t="shared" ref="U9:U17" si="1">H9</f>
        <v>99</v>
      </c>
      <c r="V9" s="1569" t="s">
        <v>8</v>
      </c>
      <c r="W9" s="1570">
        <f t="shared" ref="W9:W17" si="2">J9</f>
        <v>99</v>
      </c>
      <c r="X9" s="1571"/>
      <c r="Y9" s="3354" t="s">
        <v>530</v>
      </c>
      <c r="Z9" s="3355"/>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54" t="s">
        <v>533</v>
      </c>
      <c r="Q10" s="3355"/>
      <c r="R10" s="1569" t="s">
        <v>8</v>
      </c>
      <c r="S10" s="1570">
        <f t="shared" si="0"/>
        <v>100</v>
      </c>
      <c r="T10" s="1569" t="s">
        <v>8</v>
      </c>
      <c r="U10" s="1570">
        <f t="shared" si="1"/>
        <v>100</v>
      </c>
      <c r="V10" s="1569" t="s">
        <v>8</v>
      </c>
      <c r="W10" s="1570">
        <f t="shared" si="2"/>
        <v>100</v>
      </c>
      <c r="X10" s="1571"/>
      <c r="Y10" s="3354" t="s">
        <v>533</v>
      </c>
      <c r="Z10" s="3355"/>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62"/>
      <c r="Q13" s="1151" t="str">
        <f t="shared" si="6"/>
        <v>容积率</v>
      </c>
      <c r="R13" s="1569" t="s">
        <v>8</v>
      </c>
      <c r="S13" s="1570">
        <f t="shared" si="0"/>
        <v>95</v>
      </c>
      <c r="T13" s="1569" t="s">
        <v>8</v>
      </c>
      <c r="U13" s="1570">
        <f t="shared" si="1"/>
        <v>95</v>
      </c>
      <c r="V13" s="1569" t="s">
        <v>8</v>
      </c>
      <c r="W13" s="1570">
        <f t="shared" si="2"/>
        <v>95</v>
      </c>
      <c r="X13" s="1571"/>
      <c r="Y13" s="3319"/>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64" t="s">
        <v>540</v>
      </c>
      <c r="Q17" s="1573" t="str">
        <f t="shared" si="6"/>
        <v>居住社区成熟度</v>
      </c>
      <c r="R17" s="1574" t="s">
        <v>8</v>
      </c>
      <c r="S17" s="1575">
        <f t="shared" si="0"/>
        <v>100</v>
      </c>
      <c r="T17" s="1574" t="s">
        <v>8</v>
      </c>
      <c r="U17" s="1575">
        <f t="shared" si="1"/>
        <v>100</v>
      </c>
      <c r="V17" s="1574" t="s">
        <v>8</v>
      </c>
      <c r="W17" s="1575">
        <f t="shared" si="2"/>
        <v>100</v>
      </c>
      <c r="X17" s="1568"/>
      <c r="Y17" s="336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65"/>
      <c r="Q28" s="1573"/>
      <c r="R28" s="1574"/>
      <c r="S28" s="1575"/>
      <c r="T28" s="1574"/>
      <c r="U28" s="1575"/>
      <c r="V28" s="1574"/>
      <c r="W28" s="1575"/>
      <c r="X28" s="1568"/>
      <c r="Y28" s="336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65"/>
      <c r="Q30" s="1151"/>
      <c r="R30" s="1569"/>
      <c r="S30" s="1570"/>
      <c r="T30" s="1569"/>
      <c r="U30" s="1570"/>
      <c r="V30" s="1569"/>
      <c r="W30" s="1570"/>
      <c r="X30" s="1571"/>
      <c r="Y30" s="336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65"/>
      <c r="Q31" s="2558" t="str">
        <f>B31</f>
        <v>基础设施水平</v>
      </c>
      <c r="R31" s="1569" t="s">
        <v>8</v>
      </c>
      <c r="S31" s="1570">
        <f>F31</f>
        <v>100</v>
      </c>
      <c r="T31" s="1569" t="s">
        <v>8</v>
      </c>
      <c r="U31" s="1570">
        <f>H31</f>
        <v>100</v>
      </c>
      <c r="V31" s="1569" t="s">
        <v>8</v>
      </c>
      <c r="W31" s="1570">
        <f>J31</f>
        <v>100</v>
      </c>
      <c r="X31" s="1571"/>
      <c r="Y31" s="336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65"/>
      <c r="Q32" s="2558"/>
      <c r="R32" s="1569"/>
      <c r="S32" s="1570"/>
      <c r="T32" s="1569"/>
      <c r="U32" s="1570"/>
      <c r="V32" s="1569"/>
      <c r="W32" s="1570"/>
      <c r="X32" s="1571"/>
      <c r="Y32" s="336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6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6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5"/>
      <c r="Q34" s="1573" t="str">
        <f t="shared" si="8"/>
        <v>毗邻道路的类型与等级</v>
      </c>
      <c r="R34" s="1574" t="s">
        <v>8</v>
      </c>
      <c r="S34" s="1575">
        <f t="shared" si="9"/>
        <v>100</v>
      </c>
      <c r="T34" s="1574" t="s">
        <v>8</v>
      </c>
      <c r="U34" s="1575">
        <f t="shared" si="10"/>
        <v>100</v>
      </c>
      <c r="V34" s="1574" t="s">
        <v>8</v>
      </c>
      <c r="W34" s="1575">
        <f t="shared" si="11"/>
        <v>100</v>
      </c>
      <c r="X34" s="1568"/>
      <c r="Y34" s="336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65"/>
      <c r="Q36" s="1573" t="str">
        <f t="shared" si="8"/>
        <v>土地级别</v>
      </c>
      <c r="R36" s="1574" t="s">
        <v>8</v>
      </c>
      <c r="S36" s="1575">
        <f t="shared" si="9"/>
        <v>100</v>
      </c>
      <c r="T36" s="1574" t="s">
        <v>8</v>
      </c>
      <c r="U36" s="1575">
        <f t="shared" si="10"/>
        <v>100</v>
      </c>
      <c r="V36" s="1574" t="s">
        <v>8</v>
      </c>
      <c r="W36" s="1575">
        <f t="shared" si="11"/>
        <v>100</v>
      </c>
      <c r="X36" s="1568"/>
      <c r="Y36" s="336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5"/>
      <c r="Q37" s="1573">
        <f t="shared" si="8"/>
        <v>111</v>
      </c>
      <c r="R37" s="1574" t="s">
        <v>8</v>
      </c>
      <c r="S37" s="1575">
        <f t="shared" si="9"/>
        <v>100</v>
      </c>
      <c r="T37" s="1574" t="s">
        <v>8</v>
      </c>
      <c r="U37" s="1575">
        <f t="shared" si="10"/>
        <v>100</v>
      </c>
      <c r="V37" s="1574" t="s">
        <v>8</v>
      </c>
      <c r="W37" s="1575">
        <f t="shared" si="11"/>
        <v>100</v>
      </c>
      <c r="X37" s="1568"/>
      <c r="Y37" s="336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6" t="s">
        <v>550</v>
      </c>
      <c r="Q38" s="1573">
        <f t="shared" si="8"/>
        <v>111</v>
      </c>
      <c r="R38" s="1574" t="s">
        <v>8</v>
      </c>
      <c r="S38" s="1575">
        <f t="shared" si="9"/>
        <v>100</v>
      </c>
      <c r="T38" s="1574" t="s">
        <v>8</v>
      </c>
      <c r="U38" s="1575">
        <f t="shared" si="10"/>
        <v>100</v>
      </c>
      <c r="V38" s="1574" t="s">
        <v>8</v>
      </c>
      <c r="W38" s="1575">
        <f t="shared" si="11"/>
        <v>100</v>
      </c>
      <c r="X38" s="1568"/>
      <c r="Y38" s="336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7"/>
      <c r="Q39" s="1573">
        <f t="shared" si="8"/>
        <v>111</v>
      </c>
      <c r="R39" s="1578" t="s">
        <v>8</v>
      </c>
      <c r="S39" s="1579">
        <f t="shared" si="9"/>
        <v>100</v>
      </c>
      <c r="T39" s="1578" t="s">
        <v>8</v>
      </c>
      <c r="U39" s="1579">
        <f t="shared" si="10"/>
        <v>100</v>
      </c>
      <c r="V39" s="1578" t="s">
        <v>8</v>
      </c>
      <c r="W39" s="1579">
        <f t="shared" si="11"/>
        <v>100</v>
      </c>
      <c r="X39" s="1580"/>
      <c r="Y39" s="336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67"/>
      <c r="Q40" s="1573" t="str">
        <f>B40</f>
        <v>宗地面积</v>
      </c>
      <c r="R40" s="1574" t="s">
        <v>8</v>
      </c>
      <c r="S40" s="1575">
        <f t="shared" si="9"/>
        <v>99</v>
      </c>
      <c r="T40" s="1574" t="s">
        <v>8</v>
      </c>
      <c r="U40" s="1575">
        <f t="shared" si="10"/>
        <v>99</v>
      </c>
      <c r="V40" s="1574" t="s">
        <v>8</v>
      </c>
      <c r="W40" s="1575">
        <f t="shared" si="11"/>
        <v>99</v>
      </c>
      <c r="X40" s="1568"/>
      <c r="Y40" s="336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67"/>
      <c r="Q41" s="1573" t="str">
        <f t="shared" ref="Q41:Q47" si="13">B41</f>
        <v>宗地形状</v>
      </c>
      <c r="R41" s="1574" t="s">
        <v>8</v>
      </c>
      <c r="S41" s="1575">
        <f t="shared" si="9"/>
        <v>100</v>
      </c>
      <c r="T41" s="1574" t="s">
        <v>8</v>
      </c>
      <c r="U41" s="1575">
        <f t="shared" si="10"/>
        <v>100</v>
      </c>
      <c r="V41" s="1574" t="s">
        <v>8</v>
      </c>
      <c r="W41" s="1575">
        <f t="shared" si="11"/>
        <v>100</v>
      </c>
      <c r="X41" s="1568"/>
      <c r="Y41" s="336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67"/>
      <c r="Q42" s="1573" t="str">
        <f t="shared" si="13"/>
        <v>临街宽度及深度</v>
      </c>
      <c r="R42" s="1574" t="s">
        <v>8</v>
      </c>
      <c r="S42" s="1575">
        <f t="shared" si="9"/>
        <v>100</v>
      </c>
      <c r="T42" s="1574" t="s">
        <v>8</v>
      </c>
      <c r="U42" s="1575">
        <f t="shared" si="10"/>
        <v>100</v>
      </c>
      <c r="V42" s="1574" t="s">
        <v>8</v>
      </c>
      <c r="W42" s="1575">
        <f t="shared" si="11"/>
        <v>100</v>
      </c>
      <c r="X42" s="1568"/>
      <c r="Y42" s="336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67"/>
      <c r="Q43" s="1573" t="str">
        <f t="shared" si="13"/>
        <v>宗地开发程度</v>
      </c>
      <c r="R43" s="1569" t="s">
        <v>8</v>
      </c>
      <c r="S43" s="1570">
        <f t="shared" si="9"/>
        <v>98</v>
      </c>
      <c r="T43" s="1569" t="s">
        <v>8</v>
      </c>
      <c r="U43" s="1570">
        <f t="shared" si="10"/>
        <v>98</v>
      </c>
      <c r="V43" s="1569" t="s">
        <v>8</v>
      </c>
      <c r="W43" s="1570">
        <f t="shared" si="11"/>
        <v>98</v>
      </c>
      <c r="X43" s="1571"/>
      <c r="Y43" s="336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67" t="s">
        <v>550</v>
      </c>
      <c r="Q44" s="1573" t="str">
        <f t="shared" si="13"/>
        <v>工程地质条件</v>
      </c>
      <c r="R44" s="1574" t="s">
        <v>8</v>
      </c>
      <c r="S44" s="1575">
        <f t="shared" si="9"/>
        <v>100</v>
      </c>
      <c r="T44" s="1574" t="s">
        <v>8</v>
      </c>
      <c r="U44" s="1575">
        <f t="shared" si="10"/>
        <v>100</v>
      </c>
      <c r="V44" s="1574" t="s">
        <v>8</v>
      </c>
      <c r="W44" s="1575">
        <f t="shared" si="11"/>
        <v>100</v>
      </c>
      <c r="X44" s="1568"/>
      <c r="Y44" s="336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7"/>
      <c r="Q45" s="1573">
        <f t="shared" si="13"/>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7"/>
      <c r="Q46" s="1573">
        <f t="shared" si="13"/>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7"/>
      <c r="Q47" s="1573">
        <f t="shared" si="13"/>
        <v>111</v>
      </c>
      <c r="R47" s="1578" t="s">
        <v>8</v>
      </c>
      <c r="S47" s="1579">
        <f t="shared" si="9"/>
        <v>100</v>
      </c>
      <c r="T47" s="1578" t="s">
        <v>8</v>
      </c>
      <c r="U47" s="1579">
        <f t="shared" si="10"/>
        <v>100</v>
      </c>
      <c r="V47" s="1578" t="s">
        <v>8</v>
      </c>
      <c r="W47" s="1579">
        <f t="shared" si="11"/>
        <v>100</v>
      </c>
      <c r="X47" s="1580"/>
      <c r="Y47" s="336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62" t="str">
        <f>A48</f>
        <v>成交单价</v>
      </c>
      <c r="Q48" s="3362"/>
      <c r="R48" s="3376">
        <f>E48</f>
        <v>524.74</v>
      </c>
      <c r="S48" s="3376"/>
      <c r="T48" s="3376">
        <f>G48</f>
        <v>512.35</v>
      </c>
      <c r="U48" s="3376"/>
      <c r="V48" s="3376">
        <f>I48</f>
        <v>479.75</v>
      </c>
      <c r="W48" s="3376"/>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62" t="str">
        <f>A49</f>
        <v>比较价格（元/平方米）</v>
      </c>
      <c r="Q49" s="3362"/>
      <c r="R49" s="3387">
        <f>ROUND(PRODUCT(R48,AA9:AA47),0)</f>
        <v>537</v>
      </c>
      <c r="S49" s="3387"/>
      <c r="T49" s="3387">
        <f>ROUND(PRODUCT(T48,AB9:AB47),0)</f>
        <v>530</v>
      </c>
      <c r="U49" s="3387"/>
      <c r="V49" s="3387">
        <f>ROUND(PRODUCT(V48,AC9:AC47),0)</f>
        <v>496</v>
      </c>
      <c r="W49" s="3387"/>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84" t="str">
        <f>A50</f>
        <v>估价对象XX用房的比较价格（楼面单价，元/平方米）</v>
      </c>
      <c r="Q50" s="3385"/>
      <c r="R50" s="3386">
        <f>ROUND(AVERAGE(R49:V49),0)</f>
        <v>521</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6" t="s">
        <v>2282</v>
      </c>
      <c r="H57" s="334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48"/>
      <c r="H58" s="334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5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5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5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5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8" t="s">
        <v>522</v>
      </c>
      <c r="D6" s="3369"/>
      <c r="E6" s="3393" t="s">
        <v>523</v>
      </c>
      <c r="F6" s="3394"/>
      <c r="G6" s="3368" t="s">
        <v>524</v>
      </c>
      <c r="H6" s="3369"/>
      <c r="I6" s="3368" t="s">
        <v>525</v>
      </c>
      <c r="J6" s="3369"/>
      <c r="K6" s="514" t="s">
        <v>526</v>
      </c>
      <c r="L6" s="2134"/>
      <c r="M6" s="2135"/>
      <c r="N6" s="2135"/>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81" t="s">
        <v>2931</v>
      </c>
      <c r="D7" s="3380"/>
      <c r="E7" s="3395" t="s">
        <v>2932</v>
      </c>
      <c r="F7" s="3396"/>
      <c r="G7" s="3381" t="s">
        <v>2933</v>
      </c>
      <c r="H7" s="3380"/>
      <c r="I7" s="3381" t="s">
        <v>2934</v>
      </c>
      <c r="J7" s="3380"/>
      <c r="K7" s="514"/>
      <c r="L7" s="2134"/>
      <c r="M7" s="2135"/>
      <c r="N7" s="2135"/>
      <c r="O7" s="2135"/>
      <c r="P7" s="3372"/>
      <c r="Q7" s="3373"/>
      <c r="R7" s="3358"/>
      <c r="S7" s="3359"/>
      <c r="T7" s="3358"/>
      <c r="U7" s="3359"/>
      <c r="V7" s="3376"/>
      <c r="W7" s="3376"/>
      <c r="X7" s="1568"/>
      <c r="Y7" s="3358"/>
      <c r="Z7" s="3359"/>
      <c r="AA7" s="3352"/>
      <c r="AB7" s="3352"/>
      <c r="AC7" s="3352"/>
    </row>
    <row r="8" spans="1:29" ht="15.75" thickBot="1">
      <c r="A8" s="517"/>
      <c r="B8" s="518"/>
      <c r="C8" s="3377" t="s">
        <v>2935</v>
      </c>
      <c r="D8" s="3378"/>
      <c r="E8" s="3397" t="s">
        <v>2935</v>
      </c>
      <c r="F8" s="3398"/>
      <c r="G8" s="3377" t="s">
        <v>2935</v>
      </c>
      <c r="H8" s="3378"/>
      <c r="I8" s="3377" t="s">
        <v>2935</v>
      </c>
      <c r="J8" s="3378"/>
      <c r="K8" s="514" t="s">
        <v>528</v>
      </c>
      <c r="L8" s="2134"/>
      <c r="M8" s="2135"/>
      <c r="N8" s="2135"/>
      <c r="O8" s="2135"/>
      <c r="P8" s="3374"/>
      <c r="Q8" s="3375"/>
      <c r="R8" s="3358"/>
      <c r="S8" s="3359"/>
      <c r="T8" s="3360"/>
      <c r="U8" s="3361"/>
      <c r="V8" s="3376"/>
      <c r="W8" s="3376"/>
      <c r="X8" s="1568"/>
      <c r="Y8" s="3360"/>
      <c r="Z8" s="3361"/>
      <c r="AA8" s="3353"/>
      <c r="AB8" s="3353"/>
      <c r="AC8" s="3353"/>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5"/>
      <c r="Q24" s="1573"/>
      <c r="R24" s="1574"/>
      <c r="S24" s="1575"/>
      <c r="T24" s="1574"/>
      <c r="U24" s="1575"/>
      <c r="V24" s="1574"/>
      <c r="W24" s="1575"/>
      <c r="X24" s="1568"/>
      <c r="Y24" s="336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5"/>
      <c r="Q26" s="1151"/>
      <c r="R26" s="1569"/>
      <c r="S26" s="1570"/>
      <c r="T26" s="1569"/>
      <c r="U26" s="1570"/>
      <c r="V26" s="1569"/>
      <c r="W26" s="1570"/>
      <c r="X26" s="1571"/>
      <c r="Y26" s="336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5"/>
      <c r="Q27" s="2558" t="str">
        <f>B27</f>
        <v>基础设施水平</v>
      </c>
      <c r="R27" s="1569" t="s">
        <v>8</v>
      </c>
      <c r="S27" s="1570">
        <f>F27</f>
        <v>100</v>
      </c>
      <c r="T27" s="1569" t="s">
        <v>8</v>
      </c>
      <c r="U27" s="1570">
        <f>H27</f>
        <v>100</v>
      </c>
      <c r="V27" s="1569" t="s">
        <v>8</v>
      </c>
      <c r="W27" s="1570">
        <f>J27</f>
        <v>100</v>
      </c>
      <c r="X27" s="1571"/>
      <c r="Y27" s="336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5"/>
      <c r="Q28" s="2558"/>
      <c r="R28" s="1569"/>
      <c r="S28" s="1570"/>
      <c r="T28" s="1569"/>
      <c r="U28" s="1570"/>
      <c r="V28" s="1569"/>
      <c r="W28" s="1570"/>
      <c r="X28" s="1571"/>
      <c r="Y28" s="336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6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5"/>
      <c r="Q30" s="1573" t="str">
        <f t="shared" si="8"/>
        <v>毗邻道路的类型与等级</v>
      </c>
      <c r="R30" s="1574" t="s">
        <v>8</v>
      </c>
      <c r="S30" s="1575">
        <f t="shared" si="9"/>
        <v>100</v>
      </c>
      <c r="T30" s="1574" t="s">
        <v>8</v>
      </c>
      <c r="U30" s="1575">
        <f t="shared" si="10"/>
        <v>100</v>
      </c>
      <c r="V30" s="1574" t="s">
        <v>8</v>
      </c>
      <c r="W30" s="1575">
        <f t="shared" si="11"/>
        <v>100</v>
      </c>
      <c r="X30" s="1568"/>
      <c r="Y30" s="336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5"/>
      <c r="Q31" s="1573"/>
      <c r="R31" s="1574"/>
      <c r="S31" s="1575"/>
      <c r="T31" s="1574"/>
      <c r="U31" s="1575"/>
      <c r="V31" s="1574"/>
      <c r="W31" s="1575"/>
      <c r="X31" s="1568"/>
      <c r="Y31" s="336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5"/>
      <c r="Q32" s="1573" t="str">
        <f t="shared" si="8"/>
        <v>土地级别</v>
      </c>
      <c r="R32" s="1574" t="s">
        <v>8</v>
      </c>
      <c r="S32" s="1575">
        <f t="shared" si="9"/>
        <v>100</v>
      </c>
      <c r="T32" s="1574" t="s">
        <v>8</v>
      </c>
      <c r="U32" s="1575">
        <f t="shared" si="10"/>
        <v>100</v>
      </c>
      <c r="V32" s="1574" t="s">
        <v>8</v>
      </c>
      <c r="W32" s="1575">
        <f t="shared" si="11"/>
        <v>100</v>
      </c>
      <c r="X32" s="1568"/>
      <c r="Y32" s="336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5"/>
      <c r="Q33" s="1573">
        <f t="shared" si="8"/>
        <v>111</v>
      </c>
      <c r="R33" s="1574" t="s">
        <v>8</v>
      </c>
      <c r="S33" s="1575">
        <f t="shared" si="9"/>
        <v>100</v>
      </c>
      <c r="T33" s="1574" t="s">
        <v>8</v>
      </c>
      <c r="U33" s="1575">
        <f t="shared" si="10"/>
        <v>100</v>
      </c>
      <c r="V33" s="1574" t="s">
        <v>8</v>
      </c>
      <c r="W33" s="1575">
        <f t="shared" si="11"/>
        <v>100</v>
      </c>
      <c r="X33" s="1568"/>
      <c r="Y33" s="336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6" t="s">
        <v>550</v>
      </c>
      <c r="Q34" s="1573">
        <f t="shared" si="8"/>
        <v>111</v>
      </c>
      <c r="R34" s="1574" t="s">
        <v>8</v>
      </c>
      <c r="S34" s="1575">
        <f t="shared" si="9"/>
        <v>100</v>
      </c>
      <c r="T34" s="1574" t="s">
        <v>8</v>
      </c>
      <c r="U34" s="1575">
        <f t="shared" si="10"/>
        <v>100</v>
      </c>
      <c r="V34" s="1574" t="s">
        <v>8</v>
      </c>
      <c r="W34" s="1575">
        <f t="shared" si="11"/>
        <v>100</v>
      </c>
      <c r="X34" s="1568"/>
      <c r="Y34" s="336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7"/>
      <c r="Q35" s="1573">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7"/>
      <c r="Q36" s="1573" t="str">
        <f>B36</f>
        <v>宗地面积</v>
      </c>
      <c r="R36" s="1574" t="s">
        <v>8</v>
      </c>
      <c r="S36" s="1575" t="e">
        <f t="shared" si="9"/>
        <v>#N/A</v>
      </c>
      <c r="T36" s="1574" t="s">
        <v>8</v>
      </c>
      <c r="U36" s="1575" t="e">
        <f t="shared" si="10"/>
        <v>#N/A</v>
      </c>
      <c r="V36" s="1574" t="s">
        <v>8</v>
      </c>
      <c r="W36" s="1575" t="e">
        <f t="shared" si="11"/>
        <v>#N/A</v>
      </c>
      <c r="X36" s="1568"/>
      <c r="Y36" s="336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7"/>
      <c r="Q37" s="1573" t="str">
        <f t="shared" ref="Q37:Q42" si="13">B37</f>
        <v>宗地形状</v>
      </c>
      <c r="R37" s="1574" t="s">
        <v>8</v>
      </c>
      <c r="S37" s="1575">
        <f t="shared" si="9"/>
        <v>100</v>
      </c>
      <c r="T37" s="1574" t="s">
        <v>8</v>
      </c>
      <c r="U37" s="1575">
        <f t="shared" si="10"/>
        <v>100</v>
      </c>
      <c r="V37" s="1574" t="s">
        <v>8</v>
      </c>
      <c r="W37" s="1575">
        <f t="shared" si="11"/>
        <v>100</v>
      </c>
      <c r="X37" s="1568"/>
      <c r="Y37" s="336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7"/>
      <c r="Q38" s="1573" t="str">
        <f t="shared" si="13"/>
        <v>宗地开发程度</v>
      </c>
      <c r="R38" s="1569" t="s">
        <v>8</v>
      </c>
      <c r="S38" s="1570">
        <f t="shared" si="9"/>
        <v>100</v>
      </c>
      <c r="T38" s="1569" t="s">
        <v>8</v>
      </c>
      <c r="U38" s="1570">
        <f t="shared" si="10"/>
        <v>100</v>
      </c>
      <c r="V38" s="1569" t="s">
        <v>8</v>
      </c>
      <c r="W38" s="1570">
        <f t="shared" si="11"/>
        <v>100</v>
      </c>
      <c r="X38" s="1571"/>
      <c r="Y38" s="336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t="s">
        <v>601</v>
      </c>
      <c r="Q39" s="1573" t="str">
        <f t="shared" si="13"/>
        <v>工程地质条件</v>
      </c>
      <c r="R39" s="1574" t="s">
        <v>8</v>
      </c>
      <c r="S39" s="1575">
        <f t="shared" si="9"/>
        <v>100</v>
      </c>
      <c r="T39" s="1574" t="s">
        <v>8</v>
      </c>
      <c r="U39" s="1575">
        <f t="shared" si="10"/>
        <v>100</v>
      </c>
      <c r="V39" s="1574" t="s">
        <v>8</v>
      </c>
      <c r="W39" s="1575">
        <f t="shared" si="11"/>
        <v>100</v>
      </c>
      <c r="X39" s="1568"/>
      <c r="Y39" s="336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7"/>
      <c r="Q40" s="1573">
        <f t="shared" si="13"/>
        <v>111</v>
      </c>
      <c r="R40" s="1574" t="s">
        <v>8</v>
      </c>
      <c r="S40" s="1575">
        <f t="shared" si="9"/>
        <v>100</v>
      </c>
      <c r="T40" s="1574" t="s">
        <v>8</v>
      </c>
      <c r="U40" s="1575">
        <f t="shared" si="10"/>
        <v>100</v>
      </c>
      <c r="V40" s="1574" t="s">
        <v>8</v>
      </c>
      <c r="W40" s="1575">
        <f t="shared" si="11"/>
        <v>100</v>
      </c>
      <c r="X40" s="1568"/>
      <c r="Y40" s="336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7"/>
      <c r="Q41" s="1573">
        <f t="shared" si="13"/>
        <v>111</v>
      </c>
      <c r="R41" s="1574" t="s">
        <v>8</v>
      </c>
      <c r="S41" s="1575">
        <f t="shared" si="9"/>
        <v>100</v>
      </c>
      <c r="T41" s="1574" t="s">
        <v>8</v>
      </c>
      <c r="U41" s="1575">
        <f t="shared" si="10"/>
        <v>100</v>
      </c>
      <c r="V41" s="1574" t="s">
        <v>8</v>
      </c>
      <c r="W41" s="1575">
        <f t="shared" si="11"/>
        <v>100</v>
      </c>
      <c r="X41" s="1568"/>
      <c r="Y41" s="336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7"/>
      <c r="Q42" s="1573">
        <f t="shared" si="13"/>
        <v>111</v>
      </c>
      <c r="R42" s="1578" t="s">
        <v>8</v>
      </c>
      <c r="S42" s="1579">
        <f t="shared" si="9"/>
        <v>100</v>
      </c>
      <c r="T42" s="1578" t="s">
        <v>8</v>
      </c>
      <c r="U42" s="1579">
        <f t="shared" si="10"/>
        <v>100</v>
      </c>
      <c r="V42" s="1578" t="s">
        <v>8</v>
      </c>
      <c r="W42" s="1579">
        <f t="shared" si="11"/>
        <v>100</v>
      </c>
      <c r="X42" s="1580"/>
      <c r="Y42" s="336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2" t="str">
        <f>A44</f>
        <v>比较价格（元/平方米）</v>
      </c>
      <c r="Q44" s="3362"/>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8" t="s">
        <v>2285</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02"/>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04" t="s">
        <v>1634</v>
      </c>
      <c r="B90" s="3404"/>
      <c r="C90" s="3404"/>
      <c r="D90" s="3404"/>
      <c r="E90" s="3404"/>
      <c r="F90" s="3404"/>
      <c r="G90" s="3404"/>
      <c r="H90" s="3404"/>
      <c r="I90" s="3404"/>
      <c r="J90" s="3404"/>
      <c r="K90" s="2430"/>
      <c r="L90" s="2430"/>
      <c r="M90" s="2430"/>
      <c r="N90" s="2430"/>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1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1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1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1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1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1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13"/>
      <c r="B108" s="341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14"/>
      <c r="B109" s="341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399" t="s">
        <v>1640</v>
      </c>
      <c r="B110" s="3399"/>
      <c r="C110" s="3399"/>
      <c r="D110" s="3399"/>
      <c r="E110" s="3399"/>
      <c r="F110" s="3399"/>
      <c r="G110" s="3399"/>
      <c r="H110" s="3399"/>
      <c r="I110" s="3399"/>
      <c r="J110" s="3399"/>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1" t="s">
        <v>2577</v>
      </c>
      <c r="C1" s="3431"/>
      <c r="D1" s="3431"/>
      <c r="E1" s="3431"/>
      <c r="F1" s="3431"/>
      <c r="G1" s="3430" t="s">
        <v>2578</v>
      </c>
      <c r="H1" s="3430"/>
      <c r="I1" s="3430"/>
      <c r="J1" s="3430"/>
      <c r="K1" s="3430"/>
      <c r="L1" s="3430"/>
      <c r="N1" s="3430" t="s">
        <v>2579</v>
      </c>
      <c r="O1" s="3430"/>
      <c r="P1" s="3430"/>
      <c r="Q1" s="3430"/>
      <c r="R1" s="2634"/>
      <c r="S1" s="3430" t="s">
        <v>2580</v>
      </c>
      <c r="T1" s="3430"/>
      <c r="U1" s="3430"/>
      <c r="V1" s="3430"/>
      <c r="X1" s="3429" t="s">
        <v>2640</v>
      </c>
      <c r="Y1" s="3430"/>
      <c r="Z1" s="3430"/>
      <c r="AA1" s="3430"/>
      <c r="AB1" s="3430"/>
      <c r="AD1" s="3429" t="s">
        <v>2644</v>
      </c>
      <c r="AE1" s="3430"/>
      <c r="AF1" s="3430"/>
      <c r="AG1" s="3430"/>
      <c r="AH1" s="343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3">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3"/>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3"/>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9"/>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38">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3"/>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3"/>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9"/>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38">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3"/>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3"/>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4"/>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3"/>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3"/>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4"/>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3"/>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3"/>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4"/>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5">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6"/>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6"/>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7"/>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3"/>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3"/>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4"/>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3">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3">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4">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3">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3">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4">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3">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3">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4">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3">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3">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4">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3">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3">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4">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3">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3">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4">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3">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3">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4">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3">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3">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4">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3">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3">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3">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3">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4">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6774</v>
      </c>
      <c r="C2" s="2058"/>
      <c r="D2" s="2056"/>
      <c r="E2" s="2057"/>
      <c r="F2" s="2057"/>
      <c r="G2" s="1591"/>
      <c r="H2" s="2058"/>
      <c r="I2" s="2058"/>
      <c r="J2" s="2058"/>
      <c r="K2" s="2059"/>
      <c r="L2" s="2058"/>
      <c r="M2" s="2058"/>
    </row>
    <row r="3" spans="1:33" ht="18" customHeight="1" thickBot="1">
      <c r="A3" s="833" t="s">
        <v>1728</v>
      </c>
      <c r="B3" s="834">
        <f ca="1">IF(ISERROR(B2*10000/F43),0,ROUND(B2*10000/F43,0))</f>
        <v>5472</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530</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529</v>
      </c>
      <c r="D6" s="2477" t="s">
        <v>2463</v>
      </c>
      <c r="E6" s="784" t="s">
        <v>1739</v>
      </c>
      <c r="F6" s="785">
        <f ca="1">INDIRECT("'数据-取费表'!u"&amp;$G$1)</f>
        <v>1.3</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4524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458</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390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380</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-458</v>
      </c>
      <c r="K25" s="2528" t="s">
        <v>1778</v>
      </c>
      <c r="L25" s="2529"/>
      <c r="M25" s="2530"/>
    </row>
    <row r="26" spans="1:33" ht="18" customHeight="1">
      <c r="A26" s="1649" t="s">
        <v>1832</v>
      </c>
      <c r="B26" s="784" t="s">
        <v>2439</v>
      </c>
      <c r="C26" s="53">
        <f ca="1">ROUND((C19+C20)*F26,0)</f>
        <v>434</v>
      </c>
      <c r="D26" s="812" t="s">
        <v>1779</v>
      </c>
      <c r="E26" s="795" t="s">
        <v>1780</v>
      </c>
      <c r="F26" s="794">
        <f ca="1">INDIRECT("'数据-取费表'!q"&amp;$G$1)</f>
        <v>0.12</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2.3999999999999998E-3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4524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102.5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28.4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63.6</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0</v>
      </c>
      <c r="K35" s="2079"/>
      <c r="L35" s="2078"/>
      <c r="M35" s="2078"/>
    </row>
    <row r="36" spans="1:18" ht="18" customHeight="1">
      <c r="A36" s="1650" t="s">
        <v>1890</v>
      </c>
      <c r="B36" s="784" t="s">
        <v>1803</v>
      </c>
      <c r="C36" s="53">
        <f ca="1">ROUND(C29*F36,1)</f>
        <v>67.900000000000006</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354</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6774</v>
      </c>
      <c r="D40" s="814" t="s">
        <v>1808</v>
      </c>
      <c r="E40" s="784" t="s">
        <v>2420</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v>
      </c>
      <c r="K42" s="2083"/>
      <c r="L42" s="1989"/>
      <c r="M42" s="1989"/>
    </row>
    <row r="43" spans="1:18" ht="18" customHeight="1" thickBot="1">
      <c r="A43" s="823" t="s">
        <v>1788</v>
      </c>
      <c r="B43" s="824" t="s">
        <v>1811</v>
      </c>
      <c r="C43" s="825">
        <f ca="1">ROUND(C40*10000/F43,0)</f>
        <v>5472</v>
      </c>
      <c r="D43" s="826" t="s">
        <v>1812</v>
      </c>
      <c r="E43" s="827" t="s">
        <v>1813</v>
      </c>
      <c r="F43" s="828">
        <f ca="1">INDIRECT("'数据-取费表'!k"&amp;$G$1)</f>
        <v>12380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-7948</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6774</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4524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5754</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6774</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4524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78</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6774</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67.900000000000006</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6774</v>
      </c>
      <c r="R63" s="2383" t="s">
        <v>2393</v>
      </c>
    </row>
    <row r="64" spans="1:18" s="2060" customFormat="1" ht="16.5" thickBot="1">
      <c r="A64" s="1650" t="s">
        <v>1891</v>
      </c>
      <c r="B64" s="784" t="s">
        <v>679</v>
      </c>
      <c r="C64" s="53">
        <f ca="1">ROUND(C55*F64,1)</f>
        <v>0</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-78</v>
      </c>
      <c r="D66" s="2618" t="s">
        <v>700</v>
      </c>
      <c r="E66" s="2617"/>
      <c r="F66" s="820"/>
      <c r="K66" s="2087"/>
      <c r="O66" s="2378" t="s">
        <v>2380</v>
      </c>
      <c r="P66" s="2379" t="s">
        <v>2410</v>
      </c>
      <c r="Q66" s="2380">
        <f ca="1">C40+J29</f>
        <v>6774</v>
      </c>
      <c r="R66" s="2379" t="s">
        <v>2381</v>
      </c>
    </row>
    <row r="67" spans="1:18" s="2060" customFormat="1" ht="20.25" thickBot="1">
      <c r="A67" s="781" t="s">
        <v>1781</v>
      </c>
      <c r="B67" s="2233" t="s">
        <v>2302</v>
      </c>
      <c r="C67" s="783">
        <f ca="1">ROUND(C66*(1-((1+F69)/(1+F67))^F68)/(F67-F69),0)</f>
        <v>-1174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5754</v>
      </c>
      <c r="R68" s="2386" t="s">
        <v>2417</v>
      </c>
    </row>
    <row r="69" spans="1:18" ht="20.25" thickBot="1">
      <c r="A69" s="790"/>
      <c r="B69" s="791"/>
      <c r="C69" s="792"/>
      <c r="D69" s="816"/>
      <c r="E69" s="784" t="s">
        <v>710</v>
      </c>
      <c r="F69" s="2351"/>
      <c r="O69" s="2381" t="s">
        <v>2385</v>
      </c>
      <c r="P69" s="2387" t="s">
        <v>2399</v>
      </c>
      <c r="Q69" s="2380">
        <f ca="1">ROUND(Q70-Q71*Q72,0)</f>
        <v>354</v>
      </c>
      <c r="R69" s="2383"/>
    </row>
    <row r="70" spans="1:18" ht="15.75" thickBot="1">
      <c r="A70" s="823" t="s">
        <v>1788</v>
      </c>
      <c r="B70" s="824" t="s">
        <v>1811</v>
      </c>
      <c r="C70" s="825">
        <f ca="1">ROUND(C67*10000/F70,0)</f>
        <v>-948</v>
      </c>
      <c r="D70" s="826" t="s">
        <v>1812</v>
      </c>
      <c r="E70" s="827" t="s">
        <v>1813</v>
      </c>
      <c r="F70" s="828">
        <f ca="1">F43</f>
        <v>12380</v>
      </c>
      <c r="O70" s="2381" t="s">
        <v>2400</v>
      </c>
      <c r="P70" s="2387" t="s">
        <v>2401</v>
      </c>
      <c r="Q70" s="2380">
        <f ca="1">C39</f>
        <v>354</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6774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45">
        <f>C27-C30-C31-C32</f>
        <v>0</v>
      </c>
      <c r="F26" s="3445"/>
      <c r="G26" s="3445"/>
      <c r="H26" s="3020" t="s">
        <v>2843</v>
      </c>
    </row>
    <row r="27" spans="1:9">
      <c r="A27" s="2511">
        <v>1</v>
      </c>
      <c r="B27" s="2512" t="s">
        <v>2517</v>
      </c>
      <c r="C27" s="2512"/>
      <c r="D27" s="2512"/>
      <c r="E27" s="3446"/>
      <c r="F27" s="3446"/>
      <c r="G27" s="3446"/>
    </row>
    <row r="28" spans="1:9">
      <c r="A28" s="2513" t="s">
        <v>2518</v>
      </c>
      <c r="B28" s="2512" t="s">
        <v>2519</v>
      </c>
      <c r="C28" s="2512"/>
      <c r="D28" s="2512"/>
      <c r="E28" s="3446"/>
      <c r="F28" s="3446"/>
      <c r="G28" s="344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42" t="s">
        <v>2527</v>
      </c>
      <c r="B33" s="3443"/>
      <c r="C33" s="3443"/>
      <c r="D33" s="3444"/>
      <c r="E33" s="3445"/>
      <c r="F33" s="3445"/>
      <c r="G33" s="3445"/>
    </row>
    <row r="34" spans="1:7" hidden="1">
      <c r="A34" s="2515">
        <v>1</v>
      </c>
      <c r="B34" s="2512" t="s">
        <v>2528</v>
      </c>
      <c r="C34" s="2512"/>
      <c r="D34" s="2512"/>
      <c r="E34" s="3446"/>
      <c r="F34" s="3446"/>
      <c r="G34" s="3446"/>
    </row>
    <row r="35" spans="1:7" hidden="1">
      <c r="A35" s="2515">
        <v>2</v>
      </c>
      <c r="B35" s="2512" t="s">
        <v>2529</v>
      </c>
      <c r="C35" s="2512"/>
      <c r="D35" s="2512"/>
      <c r="E35" s="3446"/>
      <c r="F35" s="3446"/>
      <c r="G35" s="3446"/>
    </row>
    <row r="36" spans="1:7" hidden="1">
      <c r="A36" s="2515">
        <v>3</v>
      </c>
      <c r="B36" s="2512" t="s">
        <v>2530</v>
      </c>
      <c r="C36" s="2512"/>
      <c r="D36" s="2512"/>
      <c r="E36" s="3446"/>
      <c r="F36" s="3446"/>
      <c r="G36" s="3446"/>
    </row>
    <row r="37" spans="1:7" hidden="1">
      <c r="A37" s="2515">
        <v>4</v>
      </c>
      <c r="B37" s="2512" t="s">
        <v>2531</v>
      </c>
      <c r="C37" s="2512"/>
      <c r="D37" s="2512"/>
      <c r="E37" s="3446"/>
      <c r="F37" s="3446"/>
      <c r="G37" s="3446"/>
    </row>
    <row r="38" spans="1:7" hidden="1">
      <c r="A38" s="3442" t="s">
        <v>2532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8" t="s">
        <v>522</v>
      </c>
      <c r="D4" s="3369"/>
      <c r="E4" s="3393" t="s">
        <v>523</v>
      </c>
      <c r="F4" s="3394"/>
      <c r="G4" s="3368" t="s">
        <v>524</v>
      </c>
      <c r="H4" s="3369"/>
      <c r="I4" s="3368" t="s">
        <v>525</v>
      </c>
      <c r="J4" s="3369"/>
      <c r="K4" s="853"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85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85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5"/>
      <c r="Q21" s="2559" t="str">
        <f>B21</f>
        <v>基础设施水平</v>
      </c>
      <c r="R21" s="1574" t="s">
        <v>11</v>
      </c>
      <c r="S21" s="1575">
        <f>F21</f>
        <v>100</v>
      </c>
      <c r="T21" s="1574" t="s">
        <v>11</v>
      </c>
      <c r="U21" s="1575">
        <f>H21</f>
        <v>100</v>
      </c>
      <c r="V21" s="1574" t="s">
        <v>11</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5"/>
      <c r="Q25" s="1573" t="str">
        <f t="shared" ref="Q25:Q46" si="8">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5"/>
      <c r="Q26" s="1573" t="str">
        <f t="shared" si="8"/>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5"/>
      <c r="Q27" s="1151" t="str">
        <f t="shared" si="8"/>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5"/>
      <c r="Q28" s="1573">
        <f t="shared" si="8"/>
        <v>111</v>
      </c>
      <c r="R28" s="1574" t="s">
        <v>11</v>
      </c>
      <c r="S28" s="1575">
        <f t="shared" ref="S28:S46" si="9">F28</f>
        <v>100</v>
      </c>
      <c r="T28" s="1574" t="s">
        <v>11</v>
      </c>
      <c r="U28" s="1575">
        <f t="shared" ref="U28:U46" si="10">H28</f>
        <v>100</v>
      </c>
      <c r="V28" s="1574" t="s">
        <v>11</v>
      </c>
      <c r="W28" s="1575">
        <f t="shared" ref="W28:W46" si="11">J28</f>
        <v>100</v>
      </c>
      <c r="X28" s="1568"/>
      <c r="Y28" s="336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5"/>
      <c r="Q29" s="1573">
        <f t="shared" si="8"/>
        <v>111</v>
      </c>
      <c r="R29" s="1574" t="s">
        <v>11</v>
      </c>
      <c r="S29" s="1575">
        <f t="shared" si="9"/>
        <v>100</v>
      </c>
      <c r="T29" s="1574" t="s">
        <v>11</v>
      </c>
      <c r="U29" s="1575">
        <f t="shared" si="10"/>
        <v>100</v>
      </c>
      <c r="V29" s="1574" t="s">
        <v>11</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5"/>
      <c r="Q30" s="1573">
        <f t="shared" si="8"/>
        <v>111</v>
      </c>
      <c r="R30" s="1574" t="s">
        <v>11</v>
      </c>
      <c r="S30" s="1575">
        <f t="shared" si="9"/>
        <v>100</v>
      </c>
      <c r="T30" s="1574" t="s">
        <v>11</v>
      </c>
      <c r="U30" s="1575">
        <f t="shared" si="10"/>
        <v>100</v>
      </c>
      <c r="V30" s="1574" t="s">
        <v>11</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5"/>
      <c r="Q31" s="1573">
        <f t="shared" si="8"/>
        <v>111</v>
      </c>
      <c r="R31" s="1574" t="s">
        <v>11</v>
      </c>
      <c r="S31" s="1575">
        <f t="shared" si="9"/>
        <v>100</v>
      </c>
      <c r="T31" s="1574" t="s">
        <v>11</v>
      </c>
      <c r="U31" s="1575">
        <f t="shared" si="10"/>
        <v>100</v>
      </c>
      <c r="V31" s="1574" t="s">
        <v>11</v>
      </c>
      <c r="W31" s="1575">
        <f t="shared" si="11"/>
        <v>100</v>
      </c>
      <c r="X31" s="1568"/>
      <c r="Y31" s="336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6" t="s">
        <v>550</v>
      </c>
      <c r="Q32" s="1573" t="str">
        <f t="shared" si="8"/>
        <v>建筑类型</v>
      </c>
      <c r="R32" s="1574" t="s">
        <v>11</v>
      </c>
      <c r="S32" s="1575">
        <f t="shared" si="9"/>
        <v>100</v>
      </c>
      <c r="T32" s="1574" t="s">
        <v>11</v>
      </c>
      <c r="U32" s="1575">
        <f t="shared" si="10"/>
        <v>100</v>
      </c>
      <c r="V32" s="1574" t="s">
        <v>11</v>
      </c>
      <c r="W32" s="1575">
        <f t="shared" si="11"/>
        <v>100</v>
      </c>
      <c r="X32" s="1568"/>
      <c r="Y32" s="336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7"/>
      <c r="Q33" s="1606" t="str">
        <f t="shared" si="8"/>
        <v>项目建筑规模</v>
      </c>
      <c r="R33" s="1578" t="s">
        <v>11</v>
      </c>
      <c r="S33" s="1579" t="e">
        <f t="shared" si="9"/>
        <v>#N/A</v>
      </c>
      <c r="T33" s="1578" t="s">
        <v>11</v>
      </c>
      <c r="U33" s="1579" t="e">
        <f t="shared" si="10"/>
        <v>#N/A</v>
      </c>
      <c r="V33" s="1578" t="s">
        <v>11</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7"/>
      <c r="Q34" s="1573" t="str">
        <f t="shared" si="8"/>
        <v>建筑结构</v>
      </c>
      <c r="R34" s="1574" t="s">
        <v>11</v>
      </c>
      <c r="S34" s="1575">
        <f t="shared" si="9"/>
        <v>100</v>
      </c>
      <c r="T34" s="1574" t="s">
        <v>11</v>
      </c>
      <c r="U34" s="1575">
        <f t="shared" si="10"/>
        <v>100</v>
      </c>
      <c r="V34" s="1574" t="s">
        <v>11</v>
      </c>
      <c r="W34" s="1575">
        <f t="shared" si="11"/>
        <v>100</v>
      </c>
      <c r="X34" s="1568"/>
      <c r="Y34" s="336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7"/>
      <c r="Q35" s="1573" t="str">
        <f t="shared" si="8"/>
        <v>建筑品质</v>
      </c>
      <c r="R35" s="1574" t="s">
        <v>11</v>
      </c>
      <c r="S35" s="1575">
        <f t="shared" si="9"/>
        <v>100</v>
      </c>
      <c r="T35" s="1574" t="s">
        <v>11</v>
      </c>
      <c r="U35" s="1575">
        <f t="shared" si="10"/>
        <v>100</v>
      </c>
      <c r="V35" s="1574" t="s">
        <v>11</v>
      </c>
      <c r="W35" s="1575">
        <f t="shared" si="11"/>
        <v>100</v>
      </c>
      <c r="X35" s="1568"/>
      <c r="Y35" s="336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7"/>
      <c r="Q36" s="1573" t="str">
        <f t="shared" si="8"/>
        <v>公共部分装修</v>
      </c>
      <c r="R36" s="1574" t="s">
        <v>11</v>
      </c>
      <c r="S36" s="1575">
        <f t="shared" si="9"/>
        <v>100</v>
      </c>
      <c r="T36" s="1574" t="s">
        <v>11</v>
      </c>
      <c r="U36" s="1575">
        <f t="shared" si="10"/>
        <v>100</v>
      </c>
      <c r="V36" s="1574" t="s">
        <v>11</v>
      </c>
      <c r="W36" s="1575">
        <f t="shared" si="11"/>
        <v>100</v>
      </c>
      <c r="X36" s="1568"/>
      <c r="Y36" s="336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7"/>
      <c r="Q37" s="1151" t="str">
        <f t="shared" si="8"/>
        <v>成新度</v>
      </c>
      <c r="R37" s="1569" t="s">
        <v>11</v>
      </c>
      <c r="S37" s="1570" t="e">
        <f t="shared" si="9"/>
        <v>#N/A</v>
      </c>
      <c r="T37" s="1569" t="s">
        <v>11</v>
      </c>
      <c r="U37" s="1570" t="e">
        <f t="shared" si="10"/>
        <v>#N/A</v>
      </c>
      <c r="V37" s="1569" t="s">
        <v>11</v>
      </c>
      <c r="W37" s="1570" t="e">
        <f t="shared" si="11"/>
        <v>#N/A</v>
      </c>
      <c r="X37" s="1571"/>
      <c r="Y37" s="336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7" t="s">
        <v>550</v>
      </c>
      <c r="Q38" s="1573" t="str">
        <f t="shared" si="8"/>
        <v>物业管理</v>
      </c>
      <c r="R38" s="1574" t="s">
        <v>11</v>
      </c>
      <c r="S38" s="1575">
        <f t="shared" si="9"/>
        <v>100</v>
      </c>
      <c r="T38" s="1574" t="s">
        <v>11</v>
      </c>
      <c r="U38" s="1575">
        <f t="shared" si="10"/>
        <v>100</v>
      </c>
      <c r="V38" s="1574" t="s">
        <v>11</v>
      </c>
      <c r="W38" s="1575">
        <f t="shared" si="11"/>
        <v>100</v>
      </c>
      <c r="X38" s="1568"/>
      <c r="Y38" s="336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7"/>
      <c r="Q39" s="1573" t="str">
        <f t="shared" si="8"/>
        <v>市政基础设施</v>
      </c>
      <c r="R39" s="1574" t="s">
        <v>11</v>
      </c>
      <c r="S39" s="1575">
        <f t="shared" si="9"/>
        <v>100</v>
      </c>
      <c r="T39" s="1574" t="s">
        <v>11</v>
      </c>
      <c r="U39" s="1575">
        <f t="shared" si="10"/>
        <v>100</v>
      </c>
      <c r="V39" s="1574" t="s">
        <v>11</v>
      </c>
      <c r="W39" s="1575">
        <f t="shared" si="11"/>
        <v>100</v>
      </c>
      <c r="X39" s="1568"/>
      <c r="Y39" s="336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7"/>
      <c r="Q40" s="1573" t="str">
        <f t="shared" si="8"/>
        <v>房型</v>
      </c>
      <c r="R40" s="1574" t="s">
        <v>11</v>
      </c>
      <c r="S40" s="1575">
        <f t="shared" si="9"/>
        <v>100</v>
      </c>
      <c r="T40" s="1574" t="s">
        <v>11</v>
      </c>
      <c r="U40" s="1575">
        <f t="shared" si="10"/>
        <v>100</v>
      </c>
      <c r="V40" s="1574" t="s">
        <v>11</v>
      </c>
      <c r="W40" s="1575">
        <f t="shared" si="11"/>
        <v>100</v>
      </c>
      <c r="X40" s="1568"/>
      <c r="Y40" s="336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7"/>
      <c r="Q41" s="1606" t="str">
        <f t="shared" si="8"/>
        <v>单套/主力户型建筑面积</v>
      </c>
      <c r="R41" s="1578" t="s">
        <v>11</v>
      </c>
      <c r="S41" s="1579">
        <f t="shared" si="9"/>
        <v>100</v>
      </c>
      <c r="T41" s="1578" t="s">
        <v>11</v>
      </c>
      <c r="U41" s="1579">
        <f t="shared" si="10"/>
        <v>100</v>
      </c>
      <c r="V41" s="1578" t="s">
        <v>11</v>
      </c>
      <c r="W41" s="1579">
        <f t="shared" si="11"/>
        <v>100</v>
      </c>
      <c r="X41" s="1580"/>
      <c r="Y41" s="336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7"/>
      <c r="Q42" s="1573" t="str">
        <f t="shared" si="8"/>
        <v>内部装修</v>
      </c>
      <c r="R42" s="1574" t="s">
        <v>11</v>
      </c>
      <c r="S42" s="1575">
        <f t="shared" si="9"/>
        <v>100</v>
      </c>
      <c r="T42" s="1574" t="s">
        <v>11</v>
      </c>
      <c r="U42" s="1575">
        <f t="shared" si="10"/>
        <v>100</v>
      </c>
      <c r="V42" s="1574" t="s">
        <v>11</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7"/>
      <c r="Q43" s="1573" t="str">
        <f t="shared" si="8"/>
        <v>内部装修维护情况</v>
      </c>
      <c r="R43" s="1574" t="s">
        <v>11</v>
      </c>
      <c r="S43" s="1575">
        <f t="shared" si="9"/>
        <v>100</v>
      </c>
      <c r="T43" s="1574" t="s">
        <v>11</v>
      </c>
      <c r="U43" s="1575">
        <f t="shared" si="10"/>
        <v>100</v>
      </c>
      <c r="V43" s="1574" t="s">
        <v>11</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7"/>
      <c r="Q44" s="1151">
        <f t="shared" si="8"/>
        <v>111</v>
      </c>
      <c r="R44" s="1569" t="s">
        <v>11</v>
      </c>
      <c r="S44" s="1570">
        <f t="shared" si="9"/>
        <v>100</v>
      </c>
      <c r="T44" s="1569" t="s">
        <v>11</v>
      </c>
      <c r="U44" s="1570">
        <f t="shared" si="10"/>
        <v>100</v>
      </c>
      <c r="V44" s="1569" t="s">
        <v>11</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7"/>
      <c r="Q45" s="1573">
        <f t="shared" si="8"/>
        <v>111</v>
      </c>
      <c r="R45" s="1574" t="s">
        <v>11</v>
      </c>
      <c r="S45" s="1575">
        <f t="shared" si="9"/>
        <v>100</v>
      </c>
      <c r="T45" s="1574" t="s">
        <v>11</v>
      </c>
      <c r="U45" s="1575">
        <f t="shared" si="10"/>
        <v>100</v>
      </c>
      <c r="V45" s="1574" t="s">
        <v>11</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76"/>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76"/>
      <c r="AC6" s="3353"/>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5"/>
      <c r="Q25" s="1573" t="str">
        <f t="shared" ref="Q25:Q46" si="8">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5"/>
      <c r="Q26" s="1573" t="str">
        <f t="shared" si="8"/>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5"/>
      <c r="Q27" s="1151" t="str">
        <f t="shared" si="8"/>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6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5"/>
      <c r="Q29" s="1573">
        <f t="shared" si="8"/>
        <v>111</v>
      </c>
      <c r="R29" s="1574" t="s">
        <v>8</v>
      </c>
      <c r="S29" s="1575">
        <f t="shared" si="9"/>
        <v>100</v>
      </c>
      <c r="T29" s="1574" t="s">
        <v>8</v>
      </c>
      <c r="U29" s="1575">
        <f t="shared" si="10"/>
        <v>100</v>
      </c>
      <c r="V29" s="1574" t="s">
        <v>8</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6" t="s">
        <v>550</v>
      </c>
      <c r="Q32" s="1573" t="str">
        <f t="shared" si="8"/>
        <v>商业类型</v>
      </c>
      <c r="R32" s="1574" t="s">
        <v>8</v>
      </c>
      <c r="S32" s="1575">
        <f t="shared" si="9"/>
        <v>100</v>
      </c>
      <c r="T32" s="1574" t="s">
        <v>8</v>
      </c>
      <c r="U32" s="1575">
        <f t="shared" si="10"/>
        <v>100</v>
      </c>
      <c r="V32" s="1574" t="s">
        <v>8</v>
      </c>
      <c r="W32" s="1575">
        <f t="shared" si="11"/>
        <v>100</v>
      </c>
      <c r="X32" s="1568"/>
      <c r="Y32" s="336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7"/>
      <c r="Q33" s="1606" t="str">
        <f t="shared" si="8"/>
        <v>项目建筑规模</v>
      </c>
      <c r="R33" s="1578" t="s">
        <v>8</v>
      </c>
      <c r="S33" s="1579" t="e">
        <f t="shared" si="9"/>
        <v>#N/A</v>
      </c>
      <c r="T33" s="1578" t="s">
        <v>8</v>
      </c>
      <c r="U33" s="1579" t="e">
        <f t="shared" si="10"/>
        <v>#N/A</v>
      </c>
      <c r="V33" s="1578" t="s">
        <v>8</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7"/>
      <c r="Q34" s="1573" t="str">
        <f t="shared" si="8"/>
        <v>建筑结构</v>
      </c>
      <c r="R34" s="1574" t="s">
        <v>8</v>
      </c>
      <c r="S34" s="1575">
        <f t="shared" si="9"/>
        <v>100</v>
      </c>
      <c r="T34" s="1574" t="s">
        <v>8</v>
      </c>
      <c r="U34" s="1575">
        <f t="shared" si="10"/>
        <v>100</v>
      </c>
      <c r="V34" s="1574" t="s">
        <v>8</v>
      </c>
      <c r="W34" s="1575">
        <f t="shared" si="11"/>
        <v>100</v>
      </c>
      <c r="X34" s="1568"/>
      <c r="Y34" s="336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7"/>
      <c r="Q35" s="1573" t="str">
        <f t="shared" si="8"/>
        <v>公共部分装修</v>
      </c>
      <c r="R35" s="1574" t="s">
        <v>8</v>
      </c>
      <c r="S35" s="1575">
        <f t="shared" si="9"/>
        <v>100</v>
      </c>
      <c r="T35" s="1574" t="s">
        <v>8</v>
      </c>
      <c r="U35" s="1575">
        <f t="shared" si="10"/>
        <v>100</v>
      </c>
      <c r="V35" s="1574" t="s">
        <v>8</v>
      </c>
      <c r="W35" s="1575">
        <f t="shared" si="11"/>
        <v>100</v>
      </c>
      <c r="X35" s="1568"/>
      <c r="Y35" s="336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7"/>
      <c r="Q36" s="1573" t="str">
        <f t="shared" si="8"/>
        <v>成新度</v>
      </c>
      <c r="R36" s="1574" t="s">
        <v>8</v>
      </c>
      <c r="S36" s="1575" t="e">
        <f t="shared" si="9"/>
        <v>#N/A</v>
      </c>
      <c r="T36" s="1574" t="s">
        <v>8</v>
      </c>
      <c r="U36" s="1575" t="e">
        <f t="shared" si="10"/>
        <v>#N/A</v>
      </c>
      <c r="V36" s="1574" t="s">
        <v>8</v>
      </c>
      <c r="W36" s="1575" t="e">
        <f t="shared" si="11"/>
        <v>#N/A</v>
      </c>
      <c r="X36" s="1568"/>
      <c r="Y36" s="336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7"/>
      <c r="Q37" s="1151" t="str">
        <f t="shared" si="8"/>
        <v>市政基础设施</v>
      </c>
      <c r="R37" s="1569" t="s">
        <v>8</v>
      </c>
      <c r="S37" s="1570">
        <f t="shared" si="9"/>
        <v>100</v>
      </c>
      <c r="T37" s="1569" t="s">
        <v>8</v>
      </c>
      <c r="U37" s="1570">
        <f t="shared" si="10"/>
        <v>100</v>
      </c>
      <c r="V37" s="1569" t="s">
        <v>8</v>
      </c>
      <c r="W37" s="1570">
        <f t="shared" si="11"/>
        <v>100</v>
      </c>
      <c r="X37" s="1571"/>
      <c r="Y37" s="336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7" t="s">
        <v>766</v>
      </c>
      <c r="Q38" s="1573" t="str">
        <f t="shared" si="8"/>
        <v>业态</v>
      </c>
      <c r="R38" s="1574" t="s">
        <v>8</v>
      </c>
      <c r="S38" s="1575">
        <f t="shared" si="9"/>
        <v>100</v>
      </c>
      <c r="T38" s="1574" t="s">
        <v>8</v>
      </c>
      <c r="U38" s="1575">
        <f t="shared" si="10"/>
        <v>100</v>
      </c>
      <c r="V38" s="1574" t="s">
        <v>8</v>
      </c>
      <c r="W38" s="1575">
        <f t="shared" si="11"/>
        <v>100</v>
      </c>
      <c r="X38" s="1568"/>
      <c r="Y38" s="336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c r="Q39" s="1573" t="str">
        <f t="shared" si="8"/>
        <v>层高</v>
      </c>
      <c r="R39" s="1574" t="s">
        <v>8</v>
      </c>
      <c r="S39" s="1575">
        <f t="shared" si="9"/>
        <v>100</v>
      </c>
      <c r="T39" s="1574" t="s">
        <v>8</v>
      </c>
      <c r="U39" s="1575">
        <f t="shared" si="10"/>
        <v>100</v>
      </c>
      <c r="V39" s="1574" t="s">
        <v>8</v>
      </c>
      <c r="W39" s="1575">
        <f t="shared" si="11"/>
        <v>100</v>
      </c>
      <c r="X39" s="1568"/>
      <c r="Y39" s="336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7"/>
      <c r="Q40" s="1573" t="str">
        <f t="shared" si="8"/>
        <v>单套建筑面积</v>
      </c>
      <c r="R40" s="1574" t="s">
        <v>8</v>
      </c>
      <c r="S40" s="1575">
        <f t="shared" si="9"/>
        <v>100</v>
      </c>
      <c r="T40" s="1574" t="s">
        <v>8</v>
      </c>
      <c r="U40" s="1575">
        <f t="shared" si="10"/>
        <v>100</v>
      </c>
      <c r="V40" s="1574" t="s">
        <v>8</v>
      </c>
      <c r="W40" s="1575">
        <f t="shared" si="11"/>
        <v>100</v>
      </c>
      <c r="X40" s="1568"/>
      <c r="Y40" s="336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7"/>
      <c r="Q41" s="1606" t="str">
        <f t="shared" si="8"/>
        <v>进深比</v>
      </c>
      <c r="R41" s="1578" t="s">
        <v>8</v>
      </c>
      <c r="S41" s="1579">
        <f t="shared" si="9"/>
        <v>100</v>
      </c>
      <c r="T41" s="1578" t="s">
        <v>8</v>
      </c>
      <c r="U41" s="1579">
        <f t="shared" si="10"/>
        <v>100</v>
      </c>
      <c r="V41" s="1578" t="s">
        <v>8</v>
      </c>
      <c r="W41" s="1579">
        <f t="shared" si="11"/>
        <v>100</v>
      </c>
      <c r="X41" s="1580"/>
      <c r="Y41" s="336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7"/>
      <c r="Q42" s="1573" t="str">
        <f t="shared" si="8"/>
        <v>内部装修</v>
      </c>
      <c r="R42" s="1574" t="s">
        <v>8</v>
      </c>
      <c r="S42" s="1575">
        <f t="shared" si="9"/>
        <v>100</v>
      </c>
      <c r="T42" s="1574" t="s">
        <v>8</v>
      </c>
      <c r="U42" s="1575">
        <f t="shared" si="10"/>
        <v>100</v>
      </c>
      <c r="V42" s="1574" t="s">
        <v>8</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7"/>
      <c r="Q43" s="1573" t="str">
        <f t="shared" si="8"/>
        <v>内部装修维护情况</v>
      </c>
      <c r="R43" s="1574" t="s">
        <v>8</v>
      </c>
      <c r="S43" s="1575">
        <f t="shared" si="9"/>
        <v>100</v>
      </c>
      <c r="T43" s="1574" t="s">
        <v>8</v>
      </c>
      <c r="U43" s="1575">
        <f t="shared" si="10"/>
        <v>100</v>
      </c>
      <c r="V43" s="1574" t="s">
        <v>8</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7"/>
      <c r="Q44" s="1151">
        <f t="shared" si="8"/>
        <v>111</v>
      </c>
      <c r="R44" s="1569" t="s">
        <v>8</v>
      </c>
      <c r="S44" s="1570">
        <f t="shared" si="9"/>
        <v>100</v>
      </c>
      <c r="T44" s="1569" t="s">
        <v>8</v>
      </c>
      <c r="U44" s="1570">
        <f t="shared" si="10"/>
        <v>100</v>
      </c>
      <c r="V44" s="1569" t="s">
        <v>8</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7"/>
      <c r="Q45" s="1573">
        <f t="shared" si="8"/>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8" t="s">
        <v>522</v>
      </c>
      <c r="D4" s="3369"/>
      <c r="E4" s="3393" t="s">
        <v>523</v>
      </c>
      <c r="F4" s="3394"/>
      <c r="G4" s="3368" t="s">
        <v>524</v>
      </c>
      <c r="H4" s="3369"/>
      <c r="I4" s="3368" t="s">
        <v>525</v>
      </c>
      <c r="J4" s="3369"/>
      <c r="K4" s="514" t="s">
        <v>526</v>
      </c>
      <c r="L4" s="2134"/>
      <c r="M4" s="2135"/>
      <c r="N4" s="2135"/>
      <c r="O4" s="2135"/>
      <c r="P4" s="3466"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467"/>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468"/>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5"/>
      <c r="Q18" s="1573"/>
      <c r="R18" s="1574"/>
      <c r="S18" s="1575"/>
      <c r="T18" s="1574"/>
      <c r="U18" s="1575"/>
      <c r="V18" s="1574"/>
      <c r="W18" s="1575"/>
      <c r="X18" s="1568"/>
      <c r="Y18" s="336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5"/>
      <c r="Q20" s="1573"/>
      <c r="R20" s="1574"/>
      <c r="S20" s="1575"/>
      <c r="T20" s="1574"/>
      <c r="U20" s="1575"/>
      <c r="V20" s="1574"/>
      <c r="W20" s="1575"/>
      <c r="X20" s="1568"/>
      <c r="Y20" s="336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65"/>
      <c r="Q22" s="2559"/>
      <c r="R22" s="1574"/>
      <c r="S22" s="1575"/>
      <c r="T22" s="1574"/>
      <c r="U22" s="1575"/>
      <c r="V22" s="1574"/>
      <c r="W22" s="1575"/>
      <c r="X22" s="2561"/>
      <c r="Y22" s="336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5"/>
      <c r="Q27" s="1573" t="str">
        <f t="shared" ref="Q27:Q47" si="8">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5"/>
      <c r="Q28" s="1151" t="str">
        <f t="shared" si="8"/>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5"/>
      <c r="Q29" s="1573">
        <f t="shared" si="8"/>
        <v>111</v>
      </c>
      <c r="R29" s="1574" t="s">
        <v>8</v>
      </c>
      <c r="S29" s="1575">
        <f t="shared" ref="S29:S47" si="9">F29</f>
        <v>100</v>
      </c>
      <c r="T29" s="1574" t="s">
        <v>8</v>
      </c>
      <c r="U29" s="1575">
        <f t="shared" ref="U29:U47" si="10">H29</f>
        <v>100</v>
      </c>
      <c r="V29" s="1574" t="s">
        <v>8</v>
      </c>
      <c r="W29" s="1575">
        <f t="shared" ref="W29:W47" si="11">J29</f>
        <v>100</v>
      </c>
      <c r="X29" s="1568"/>
      <c r="Y29" s="336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5"/>
      <c r="Q32" s="1573">
        <f t="shared" si="8"/>
        <v>111</v>
      </c>
      <c r="R32" s="1574" t="s">
        <v>8</v>
      </c>
      <c r="S32" s="1575">
        <f t="shared" si="9"/>
        <v>100</v>
      </c>
      <c r="T32" s="1574" t="s">
        <v>8</v>
      </c>
      <c r="U32" s="1575">
        <f t="shared" si="10"/>
        <v>100</v>
      </c>
      <c r="V32" s="1574" t="s">
        <v>8</v>
      </c>
      <c r="W32" s="1575">
        <f t="shared" si="11"/>
        <v>100</v>
      </c>
      <c r="X32" s="1568"/>
      <c r="Y32" s="336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6" t="s">
        <v>550</v>
      </c>
      <c r="Q33" s="1573" t="str">
        <f t="shared" si="8"/>
        <v>建筑类型</v>
      </c>
      <c r="R33" s="1574" t="s">
        <v>8</v>
      </c>
      <c r="S33" s="1575">
        <f t="shared" si="9"/>
        <v>100</v>
      </c>
      <c r="T33" s="1574" t="s">
        <v>8</v>
      </c>
      <c r="U33" s="1575">
        <f t="shared" si="10"/>
        <v>100</v>
      </c>
      <c r="V33" s="1574" t="s">
        <v>8</v>
      </c>
      <c r="W33" s="1575">
        <f t="shared" si="11"/>
        <v>100</v>
      </c>
      <c r="X33" s="1568"/>
      <c r="Y33" s="336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7"/>
      <c r="Q34" s="1606" t="str">
        <f t="shared" si="8"/>
        <v>项目建筑规模</v>
      </c>
      <c r="R34" s="1578" t="s">
        <v>8</v>
      </c>
      <c r="S34" s="1579" t="e">
        <f t="shared" si="9"/>
        <v>#N/A</v>
      </c>
      <c r="T34" s="1578" t="s">
        <v>8</v>
      </c>
      <c r="U34" s="1579" t="e">
        <f t="shared" si="10"/>
        <v>#N/A</v>
      </c>
      <c r="V34" s="1578" t="s">
        <v>8</v>
      </c>
      <c r="W34" s="1579" t="e">
        <f t="shared" si="11"/>
        <v>#N/A</v>
      </c>
      <c r="X34" s="1580"/>
      <c r="Y34" s="336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7"/>
      <c r="Q35" s="1573" t="str">
        <f t="shared" si="8"/>
        <v>建筑结构</v>
      </c>
      <c r="R35" s="1574" t="s">
        <v>8</v>
      </c>
      <c r="S35" s="1575">
        <f t="shared" si="9"/>
        <v>100</v>
      </c>
      <c r="T35" s="1574" t="s">
        <v>8</v>
      </c>
      <c r="U35" s="1575">
        <f t="shared" si="10"/>
        <v>100</v>
      </c>
      <c r="V35" s="1574" t="s">
        <v>8</v>
      </c>
      <c r="W35" s="1575">
        <f t="shared" si="11"/>
        <v>100</v>
      </c>
      <c r="X35" s="1568"/>
      <c r="Y35" s="336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7"/>
      <c r="Q36" s="1573" t="str">
        <f t="shared" si="8"/>
        <v>公共部分装修</v>
      </c>
      <c r="R36" s="1574" t="s">
        <v>8</v>
      </c>
      <c r="S36" s="1575">
        <f t="shared" si="9"/>
        <v>100</v>
      </c>
      <c r="T36" s="1574" t="s">
        <v>8</v>
      </c>
      <c r="U36" s="1575">
        <f t="shared" si="10"/>
        <v>100</v>
      </c>
      <c r="V36" s="1574" t="s">
        <v>8</v>
      </c>
      <c r="W36" s="1575">
        <f t="shared" si="11"/>
        <v>100</v>
      </c>
      <c r="X36" s="1568"/>
      <c r="Y36" s="336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7"/>
      <c r="Q37" s="1573" t="str">
        <f t="shared" si="8"/>
        <v>成新度</v>
      </c>
      <c r="R37" s="1574" t="s">
        <v>8</v>
      </c>
      <c r="S37" s="1575" t="e">
        <f t="shared" si="9"/>
        <v>#N/A</v>
      </c>
      <c r="T37" s="1574" t="s">
        <v>8</v>
      </c>
      <c r="U37" s="1575" t="e">
        <f t="shared" si="10"/>
        <v>#N/A</v>
      </c>
      <c r="V37" s="1574" t="s">
        <v>8</v>
      </c>
      <c r="W37" s="1575" t="e">
        <f t="shared" si="11"/>
        <v>#N/A</v>
      </c>
      <c r="X37" s="1568"/>
      <c r="Y37" s="336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7"/>
      <c r="Q38" s="1151" t="str">
        <f t="shared" si="8"/>
        <v>写字楼等级</v>
      </c>
      <c r="R38" s="1569" t="s">
        <v>8</v>
      </c>
      <c r="S38" s="1570">
        <f t="shared" si="9"/>
        <v>100</v>
      </c>
      <c r="T38" s="1569" t="s">
        <v>8</v>
      </c>
      <c r="U38" s="1570">
        <f t="shared" si="10"/>
        <v>100</v>
      </c>
      <c r="V38" s="1569" t="s">
        <v>8</v>
      </c>
      <c r="W38" s="1570">
        <f t="shared" si="11"/>
        <v>100</v>
      </c>
      <c r="X38" s="1571"/>
      <c r="Y38" s="336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7" t="s">
        <v>550</v>
      </c>
      <c r="Q39" s="1573" t="str">
        <f t="shared" si="8"/>
        <v>物业管理</v>
      </c>
      <c r="R39" s="1574" t="s">
        <v>8</v>
      </c>
      <c r="S39" s="1575">
        <f t="shared" si="9"/>
        <v>100</v>
      </c>
      <c r="T39" s="1574" t="s">
        <v>8</v>
      </c>
      <c r="U39" s="1575">
        <f t="shared" si="10"/>
        <v>100</v>
      </c>
      <c r="V39" s="1574" t="s">
        <v>8</v>
      </c>
      <c r="W39" s="1575">
        <f t="shared" si="11"/>
        <v>100</v>
      </c>
      <c r="X39" s="1568"/>
      <c r="Y39" s="336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7"/>
      <c r="Q40" s="1573" t="str">
        <f t="shared" si="8"/>
        <v>市政基础设施</v>
      </c>
      <c r="R40" s="1574" t="s">
        <v>8</v>
      </c>
      <c r="S40" s="1575">
        <f t="shared" si="9"/>
        <v>100</v>
      </c>
      <c r="T40" s="1574" t="s">
        <v>8</v>
      </c>
      <c r="U40" s="1575">
        <f t="shared" si="10"/>
        <v>100</v>
      </c>
      <c r="V40" s="1574" t="s">
        <v>8</v>
      </c>
      <c r="W40" s="1575">
        <f t="shared" si="11"/>
        <v>100</v>
      </c>
      <c r="X40" s="1568"/>
      <c r="Y40" s="336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7"/>
      <c r="Q41" s="1573" t="str">
        <f t="shared" si="8"/>
        <v>层高</v>
      </c>
      <c r="R41" s="1574" t="s">
        <v>8</v>
      </c>
      <c r="S41" s="1575">
        <f t="shared" si="9"/>
        <v>100</v>
      </c>
      <c r="T41" s="1574" t="s">
        <v>8</v>
      </c>
      <c r="U41" s="1575">
        <f t="shared" si="10"/>
        <v>100</v>
      </c>
      <c r="V41" s="1574" t="s">
        <v>8</v>
      </c>
      <c r="W41" s="1575">
        <f t="shared" si="11"/>
        <v>100</v>
      </c>
      <c r="X41" s="1568"/>
      <c r="Y41" s="336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7"/>
      <c r="Q42" s="1606" t="str">
        <f t="shared" si="8"/>
        <v>单套建筑面积</v>
      </c>
      <c r="R42" s="1578" t="s">
        <v>8</v>
      </c>
      <c r="S42" s="1579">
        <f t="shared" si="9"/>
        <v>100</v>
      </c>
      <c r="T42" s="1578" t="s">
        <v>8</v>
      </c>
      <c r="U42" s="1579">
        <f t="shared" si="10"/>
        <v>100</v>
      </c>
      <c r="V42" s="1578" t="s">
        <v>8</v>
      </c>
      <c r="W42" s="1579">
        <f t="shared" si="11"/>
        <v>100</v>
      </c>
      <c r="X42" s="1580"/>
      <c r="Y42" s="336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7"/>
      <c r="Q43" s="1573" t="str">
        <f t="shared" si="8"/>
        <v>内部装修</v>
      </c>
      <c r="R43" s="1574" t="s">
        <v>8</v>
      </c>
      <c r="S43" s="1575">
        <f t="shared" si="9"/>
        <v>100</v>
      </c>
      <c r="T43" s="1574" t="s">
        <v>8</v>
      </c>
      <c r="U43" s="1575">
        <f t="shared" si="10"/>
        <v>100</v>
      </c>
      <c r="V43" s="1574" t="s">
        <v>8</v>
      </c>
      <c r="W43" s="1575">
        <f t="shared" si="11"/>
        <v>100</v>
      </c>
      <c r="X43" s="1568"/>
      <c r="Y43" s="336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7"/>
      <c r="Q44" s="1573" t="str">
        <f t="shared" si="8"/>
        <v>内部装修维护情况</v>
      </c>
      <c r="R44" s="1574" t="s">
        <v>8</v>
      </c>
      <c r="S44" s="1575">
        <f t="shared" si="9"/>
        <v>100</v>
      </c>
      <c r="T44" s="1574" t="s">
        <v>8</v>
      </c>
      <c r="U44" s="1575">
        <f t="shared" si="10"/>
        <v>100</v>
      </c>
      <c r="V44" s="1574" t="s">
        <v>8</v>
      </c>
      <c r="W44" s="1575">
        <f t="shared" si="11"/>
        <v>100</v>
      </c>
      <c r="X44" s="1568"/>
      <c r="Y44" s="336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7"/>
      <c r="Q45" s="1151">
        <f t="shared" si="8"/>
        <v>111</v>
      </c>
      <c r="R45" s="1569" t="s">
        <v>8</v>
      </c>
      <c r="S45" s="1570">
        <f t="shared" si="9"/>
        <v>100</v>
      </c>
      <c r="T45" s="1569" t="s">
        <v>8</v>
      </c>
      <c r="U45" s="1570">
        <f t="shared" si="10"/>
        <v>100</v>
      </c>
      <c r="V45" s="1569" t="s">
        <v>8</v>
      </c>
      <c r="W45" s="1570">
        <f t="shared" si="11"/>
        <v>100</v>
      </c>
      <c r="X45" s="1571"/>
      <c r="Y45" s="336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7"/>
      <c r="Q46" s="1573">
        <f t="shared" si="8"/>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5" t="str">
        <f>A48</f>
        <v>成交单价（元/平方米）</v>
      </c>
      <c r="Q48" s="3362"/>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5" t="str">
        <f>A49</f>
        <v>比较价格（元/平方米）</v>
      </c>
      <c r="Q49" s="336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5"/>
      <c r="Q26" s="1573">
        <f t="shared" ref="Q26:Q40" si="8">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5"/>
      <c r="Q27" s="1151">
        <f t="shared" si="8"/>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5"/>
      <c r="Q28" s="1573">
        <f t="shared" si="8"/>
        <v>111</v>
      </c>
      <c r="R28" s="1574" t="s">
        <v>8</v>
      </c>
      <c r="S28" s="1575">
        <f t="shared" ref="S28:S40" si="9">F28</f>
        <v>100</v>
      </c>
      <c r="T28" s="1574" t="s">
        <v>8</v>
      </c>
      <c r="U28" s="1575">
        <f t="shared" ref="U28:U40" si="10">H28</f>
        <v>100</v>
      </c>
      <c r="V28" s="1574" t="s">
        <v>8</v>
      </c>
      <c r="W28" s="1575">
        <f t="shared" ref="W28:W40" si="11">J28</f>
        <v>100</v>
      </c>
      <c r="X28" s="1568"/>
      <c r="Y28" s="336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6" t="s">
        <v>550</v>
      </c>
      <c r="Q29" s="1573" t="str">
        <f t="shared" si="8"/>
        <v>建筑类型</v>
      </c>
      <c r="R29" s="1574" t="s">
        <v>8</v>
      </c>
      <c r="S29" s="1575">
        <f t="shared" si="9"/>
        <v>100</v>
      </c>
      <c r="T29" s="1574" t="s">
        <v>8</v>
      </c>
      <c r="U29" s="1575">
        <f t="shared" si="10"/>
        <v>100</v>
      </c>
      <c r="V29" s="1574" t="s">
        <v>8</v>
      </c>
      <c r="W29" s="1575">
        <f t="shared" si="11"/>
        <v>100</v>
      </c>
      <c r="X29" s="1568"/>
      <c r="Y29" s="336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7"/>
      <c r="Q30" s="1606" t="str">
        <f t="shared" si="8"/>
        <v>项目建筑规模</v>
      </c>
      <c r="R30" s="1578" t="s">
        <v>8</v>
      </c>
      <c r="S30" s="1579" t="e">
        <f t="shared" si="9"/>
        <v>#N/A</v>
      </c>
      <c r="T30" s="1578" t="s">
        <v>8</v>
      </c>
      <c r="U30" s="1579" t="e">
        <f t="shared" si="10"/>
        <v>#N/A</v>
      </c>
      <c r="V30" s="1578" t="s">
        <v>8</v>
      </c>
      <c r="W30" s="1579" t="e">
        <f t="shared" si="11"/>
        <v>#N/A</v>
      </c>
      <c r="X30" s="1580"/>
      <c r="Y30" s="336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7"/>
      <c r="Q31" s="1573" t="str">
        <f t="shared" si="8"/>
        <v>建筑结构</v>
      </c>
      <c r="R31" s="1574" t="s">
        <v>8</v>
      </c>
      <c r="S31" s="1575">
        <f t="shared" si="9"/>
        <v>100</v>
      </c>
      <c r="T31" s="1574" t="s">
        <v>8</v>
      </c>
      <c r="U31" s="1575">
        <f t="shared" si="10"/>
        <v>100</v>
      </c>
      <c r="V31" s="1574" t="s">
        <v>8</v>
      </c>
      <c r="W31" s="1575">
        <f t="shared" si="11"/>
        <v>100</v>
      </c>
      <c r="X31" s="1568"/>
      <c r="Y31" s="336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7"/>
      <c r="Q32" s="1573" t="str">
        <f t="shared" si="8"/>
        <v>公共部分装修</v>
      </c>
      <c r="R32" s="1574" t="s">
        <v>8</v>
      </c>
      <c r="S32" s="1575">
        <f t="shared" si="9"/>
        <v>100</v>
      </c>
      <c r="T32" s="1574" t="s">
        <v>8</v>
      </c>
      <c r="U32" s="1575">
        <f t="shared" si="10"/>
        <v>100</v>
      </c>
      <c r="V32" s="1574" t="s">
        <v>8</v>
      </c>
      <c r="W32" s="1575">
        <f t="shared" si="11"/>
        <v>100</v>
      </c>
      <c r="X32" s="1568"/>
      <c r="Y32" s="336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7"/>
      <c r="Q33" s="1573" t="str">
        <f t="shared" si="8"/>
        <v>成新度</v>
      </c>
      <c r="R33" s="1574" t="s">
        <v>8</v>
      </c>
      <c r="S33" s="1575" t="e">
        <f t="shared" si="9"/>
        <v>#N/A</v>
      </c>
      <c r="T33" s="1574" t="s">
        <v>8</v>
      </c>
      <c r="U33" s="1575" t="e">
        <f t="shared" si="10"/>
        <v>#N/A</v>
      </c>
      <c r="V33" s="1574" t="s">
        <v>8</v>
      </c>
      <c r="W33" s="1575" t="e">
        <f t="shared" si="11"/>
        <v>#N/A</v>
      </c>
      <c r="X33" s="1568"/>
      <c r="Y33" s="336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7"/>
      <c r="Q34" s="1151" t="str">
        <f t="shared" si="8"/>
        <v>物业管理</v>
      </c>
      <c r="R34" s="1569" t="s">
        <v>8</v>
      </c>
      <c r="S34" s="1570">
        <f t="shared" si="9"/>
        <v>100</v>
      </c>
      <c r="T34" s="1569" t="s">
        <v>8</v>
      </c>
      <c r="U34" s="1570">
        <f t="shared" si="10"/>
        <v>100</v>
      </c>
      <c r="V34" s="1569" t="s">
        <v>8</v>
      </c>
      <c r="W34" s="1570">
        <f t="shared" si="11"/>
        <v>100</v>
      </c>
      <c r="X34" s="1571"/>
      <c r="Y34" s="336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7" t="s">
        <v>550</v>
      </c>
      <c r="Q35" s="1573" t="str">
        <f t="shared" si="8"/>
        <v>市政基础设施</v>
      </c>
      <c r="R35" s="1574" t="s">
        <v>8</v>
      </c>
      <c r="S35" s="1575">
        <f t="shared" si="9"/>
        <v>100</v>
      </c>
      <c r="T35" s="1574" t="s">
        <v>8</v>
      </c>
      <c r="U35" s="1575">
        <f t="shared" si="10"/>
        <v>100</v>
      </c>
      <c r="V35" s="1574" t="s">
        <v>8</v>
      </c>
      <c r="W35" s="1575">
        <f t="shared" si="11"/>
        <v>100</v>
      </c>
      <c r="X35" s="1568"/>
      <c r="Y35" s="336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7"/>
      <c r="Q36" s="1573" t="str">
        <f t="shared" si="8"/>
        <v>内部装修</v>
      </c>
      <c r="R36" s="1574" t="s">
        <v>8</v>
      </c>
      <c r="S36" s="1575">
        <f t="shared" si="9"/>
        <v>100</v>
      </c>
      <c r="T36" s="1574" t="s">
        <v>8</v>
      </c>
      <c r="U36" s="1575">
        <f t="shared" si="10"/>
        <v>100</v>
      </c>
      <c r="V36" s="1574" t="s">
        <v>8</v>
      </c>
      <c r="W36" s="1575">
        <f t="shared" si="11"/>
        <v>100</v>
      </c>
      <c r="X36" s="1568"/>
      <c r="Y36" s="336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7"/>
      <c r="Q37" s="1573" t="str">
        <f t="shared" si="8"/>
        <v>内部装修状况</v>
      </c>
      <c r="R37" s="1574" t="s">
        <v>8</v>
      </c>
      <c r="S37" s="1575">
        <f t="shared" si="9"/>
        <v>100</v>
      </c>
      <c r="T37" s="1574" t="s">
        <v>8</v>
      </c>
      <c r="U37" s="1575">
        <f t="shared" si="10"/>
        <v>100</v>
      </c>
      <c r="V37" s="1574" t="s">
        <v>8</v>
      </c>
      <c r="W37" s="1575">
        <f t="shared" si="11"/>
        <v>100</v>
      </c>
      <c r="X37" s="1568"/>
      <c r="Y37" s="336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7"/>
      <c r="Q38" s="1606">
        <f t="shared" si="8"/>
        <v>111</v>
      </c>
      <c r="R38" s="1578" t="s">
        <v>8</v>
      </c>
      <c r="S38" s="1579">
        <f t="shared" si="9"/>
        <v>100</v>
      </c>
      <c r="T38" s="1578" t="s">
        <v>8</v>
      </c>
      <c r="U38" s="1579">
        <f t="shared" si="10"/>
        <v>100</v>
      </c>
      <c r="V38" s="1578" t="s">
        <v>8</v>
      </c>
      <c r="W38" s="1579">
        <f t="shared" si="11"/>
        <v>100</v>
      </c>
      <c r="X38" s="1580"/>
      <c r="Y38" s="336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7"/>
      <c r="Q39" s="1573">
        <f t="shared" si="8"/>
        <v>111</v>
      </c>
      <c r="R39" s="1574" t="s">
        <v>8</v>
      </c>
      <c r="S39" s="1575">
        <f t="shared" si="9"/>
        <v>100</v>
      </c>
      <c r="T39" s="1574" t="s">
        <v>8</v>
      </c>
      <c r="U39" s="1575">
        <f t="shared" si="10"/>
        <v>100</v>
      </c>
      <c r="V39" s="1574" t="s">
        <v>8</v>
      </c>
      <c r="W39" s="1575">
        <f t="shared" si="11"/>
        <v>100</v>
      </c>
      <c r="X39" s="1568"/>
      <c r="Y39" s="336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2" t="str">
        <f>A41</f>
        <v>成交单价（元/平方米）</v>
      </c>
      <c r="Q41" s="3362"/>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2" t="str">
        <f>A42</f>
        <v>比较价格（元/平方米）</v>
      </c>
      <c r="Q42" s="336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81" t="s">
        <v>2932</v>
      </c>
      <c r="F5" s="3380"/>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82" t="s">
        <v>2935</v>
      </c>
      <c r="F6" s="3383"/>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5"/>
      <c r="Q24" s="1573">
        <f t="shared" ref="Q24:Q36"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6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7"/>
      <c r="Q27" s="1606" t="str">
        <f t="shared" si="8"/>
        <v>项目停车位配比</v>
      </c>
      <c r="R27" s="1578" t="s">
        <v>8</v>
      </c>
      <c r="S27" s="1579">
        <f t="shared" si="9"/>
        <v>100</v>
      </c>
      <c r="T27" s="1578" t="s">
        <v>8</v>
      </c>
      <c r="U27" s="1579">
        <f t="shared" si="10"/>
        <v>100</v>
      </c>
      <c r="V27" s="1578" t="s">
        <v>8</v>
      </c>
      <c r="W27" s="1579">
        <f t="shared" si="11"/>
        <v>100</v>
      </c>
      <c r="X27" s="1580"/>
      <c r="Y27" s="336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7"/>
      <c r="Q28" s="1573" t="str">
        <f t="shared" si="8"/>
        <v>公共部分装修</v>
      </c>
      <c r="R28" s="1574" t="s">
        <v>8</v>
      </c>
      <c r="S28" s="1575">
        <f t="shared" si="9"/>
        <v>100</v>
      </c>
      <c r="T28" s="1574" t="s">
        <v>8</v>
      </c>
      <c r="U28" s="1575">
        <f t="shared" si="10"/>
        <v>100</v>
      </c>
      <c r="V28" s="1574" t="s">
        <v>8</v>
      </c>
      <c r="W28" s="1575">
        <f t="shared" si="11"/>
        <v>100</v>
      </c>
      <c r="X28" s="1568"/>
      <c r="Y28" s="336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7"/>
      <c r="Q29" s="1573" t="str">
        <f t="shared" si="8"/>
        <v>成新率</v>
      </c>
      <c r="R29" s="1574" t="s">
        <v>8</v>
      </c>
      <c r="S29" s="1575" t="e">
        <f t="shared" si="9"/>
        <v>#N/A</v>
      </c>
      <c r="T29" s="1574" t="s">
        <v>8</v>
      </c>
      <c r="U29" s="1575" t="e">
        <f t="shared" si="10"/>
        <v>#N/A</v>
      </c>
      <c r="V29" s="1574" t="s">
        <v>8</v>
      </c>
      <c r="W29" s="1575" t="e">
        <f t="shared" si="11"/>
        <v>#N/A</v>
      </c>
      <c r="X29" s="1568"/>
      <c r="Y29" s="336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7"/>
      <c r="Q30" s="1573" t="str">
        <f t="shared" si="8"/>
        <v>物业等级</v>
      </c>
      <c r="R30" s="1574" t="s">
        <v>8</v>
      </c>
      <c r="S30" s="1575">
        <f t="shared" si="9"/>
        <v>100</v>
      </c>
      <c r="T30" s="1574" t="s">
        <v>8</v>
      </c>
      <c r="U30" s="1575">
        <f t="shared" si="10"/>
        <v>100</v>
      </c>
      <c r="V30" s="1574" t="s">
        <v>8</v>
      </c>
      <c r="W30" s="1575">
        <f t="shared" si="11"/>
        <v>100</v>
      </c>
      <c r="X30" s="1568"/>
      <c r="Y30" s="336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7"/>
      <c r="Q31" s="1151" t="str">
        <f t="shared" si="8"/>
        <v>停车位面积</v>
      </c>
      <c r="R31" s="1569" t="s">
        <v>8</v>
      </c>
      <c r="S31" s="1570" t="e">
        <f t="shared" si="9"/>
        <v>#N/A</v>
      </c>
      <c r="T31" s="1569" t="s">
        <v>8</v>
      </c>
      <c r="U31" s="1570" t="e">
        <f t="shared" si="10"/>
        <v>#N/A</v>
      </c>
      <c r="V31" s="1569" t="s">
        <v>8</v>
      </c>
      <c r="W31" s="1570" t="e">
        <f t="shared" si="11"/>
        <v>#N/A</v>
      </c>
      <c r="X31" s="1571"/>
      <c r="Y31" s="336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7" t="s">
        <v>550</v>
      </c>
      <c r="Q32" s="1573" t="str">
        <f t="shared" si="8"/>
        <v>车位类型</v>
      </c>
      <c r="R32" s="1574" t="s">
        <v>8</v>
      </c>
      <c r="S32" s="1575">
        <f t="shared" si="9"/>
        <v>100</v>
      </c>
      <c r="T32" s="1574" t="s">
        <v>8</v>
      </c>
      <c r="U32" s="1575">
        <f t="shared" si="10"/>
        <v>100</v>
      </c>
      <c r="V32" s="1574" t="s">
        <v>8</v>
      </c>
      <c r="W32" s="1575">
        <f t="shared" si="11"/>
        <v>100</v>
      </c>
      <c r="X32" s="1568"/>
      <c r="Y32" s="336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7"/>
      <c r="Q33" s="1573" t="str">
        <f t="shared" si="8"/>
        <v>是否直接入户</v>
      </c>
      <c r="R33" s="1574" t="s">
        <v>8</v>
      </c>
      <c r="S33" s="1575">
        <f t="shared" si="9"/>
        <v>100</v>
      </c>
      <c r="T33" s="1574" t="s">
        <v>8</v>
      </c>
      <c r="U33" s="1575">
        <f t="shared" si="10"/>
        <v>100</v>
      </c>
      <c r="V33" s="1574" t="s">
        <v>8</v>
      </c>
      <c r="W33" s="1575">
        <f t="shared" si="11"/>
        <v>100</v>
      </c>
      <c r="X33" s="1568"/>
      <c r="Y33" s="336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7"/>
      <c r="Q35" s="1606">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7"/>
      <c r="Q36" s="1573">
        <f t="shared" si="8"/>
        <v>111</v>
      </c>
      <c r="R36" s="1574" t="s">
        <v>8</v>
      </c>
      <c r="S36" s="1575">
        <f t="shared" si="9"/>
        <v>100</v>
      </c>
      <c r="T36" s="1574" t="s">
        <v>8</v>
      </c>
      <c r="U36" s="1575">
        <f t="shared" si="10"/>
        <v>100</v>
      </c>
      <c r="V36" s="1574" t="s">
        <v>8</v>
      </c>
      <c r="W36" s="1575">
        <f t="shared" si="11"/>
        <v>100</v>
      </c>
      <c r="X36" s="1568"/>
      <c r="Y36" s="336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2" t="str">
        <f>A37</f>
        <v>成交单价</v>
      </c>
      <c r="Q37" s="3362"/>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2" t="str">
        <f>A38</f>
        <v>比较价格（元/平方米）</v>
      </c>
      <c r="Q38" s="336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93" t="s">
        <v>799</v>
      </c>
      <c r="F4" s="3394"/>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5"/>
      <c r="Q24" s="1573">
        <f t="shared" ref="Q24:Q34"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6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7"/>
      <c r="Q27" s="1606" t="str">
        <f t="shared" si="8"/>
        <v>成新率</v>
      </c>
      <c r="R27" s="1578" t="s">
        <v>8</v>
      </c>
      <c r="S27" s="1579" t="e">
        <f t="shared" si="9"/>
        <v>#N/A</v>
      </c>
      <c r="T27" s="1578" t="s">
        <v>8</v>
      </c>
      <c r="U27" s="1579" t="e">
        <f t="shared" si="10"/>
        <v>#N/A</v>
      </c>
      <c r="V27" s="1578" t="s">
        <v>8</v>
      </c>
      <c r="W27" s="1579" t="e">
        <f t="shared" si="11"/>
        <v>#N/A</v>
      </c>
      <c r="X27" s="1580"/>
      <c r="Y27" s="336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7"/>
      <c r="Q28" s="1573" t="str">
        <f t="shared" si="8"/>
        <v>物业等级</v>
      </c>
      <c r="R28" s="1574" t="s">
        <v>8</v>
      </c>
      <c r="S28" s="1575">
        <f t="shared" si="9"/>
        <v>100</v>
      </c>
      <c r="T28" s="1574" t="s">
        <v>8</v>
      </c>
      <c r="U28" s="1575">
        <f t="shared" si="10"/>
        <v>100</v>
      </c>
      <c r="V28" s="1574" t="s">
        <v>8</v>
      </c>
      <c r="W28" s="1575">
        <f t="shared" si="11"/>
        <v>100</v>
      </c>
      <c r="X28" s="1568"/>
      <c r="Y28" s="336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7"/>
      <c r="Q29" s="1573" t="str">
        <f t="shared" si="8"/>
        <v>有无电梯</v>
      </c>
      <c r="R29" s="1574" t="s">
        <v>8</v>
      </c>
      <c r="S29" s="1575">
        <f t="shared" si="9"/>
        <v>100</v>
      </c>
      <c r="T29" s="1574" t="s">
        <v>8</v>
      </c>
      <c r="U29" s="1575">
        <f t="shared" si="10"/>
        <v>100</v>
      </c>
      <c r="V29" s="1574" t="s">
        <v>8</v>
      </c>
      <c r="W29" s="1575">
        <f t="shared" si="11"/>
        <v>100</v>
      </c>
      <c r="X29" s="1568"/>
      <c r="Y29" s="336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7"/>
      <c r="Q30" s="1573" t="str">
        <f t="shared" si="8"/>
        <v>建筑面积</v>
      </c>
      <c r="R30" s="1574" t="s">
        <v>8</v>
      </c>
      <c r="S30" s="1575" t="e">
        <f t="shared" si="9"/>
        <v>#N/A</v>
      </c>
      <c r="T30" s="1574" t="s">
        <v>8</v>
      </c>
      <c r="U30" s="1575" t="e">
        <f t="shared" si="10"/>
        <v>#N/A</v>
      </c>
      <c r="V30" s="1574" t="s">
        <v>8</v>
      </c>
      <c r="W30" s="1575" t="e">
        <f t="shared" si="11"/>
        <v>#N/A</v>
      </c>
      <c r="X30" s="1568"/>
      <c r="Y30" s="336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7"/>
      <c r="Q31" s="1151" t="str">
        <f t="shared" si="8"/>
        <v>是否封闭</v>
      </c>
      <c r="R31" s="1569" t="s">
        <v>8</v>
      </c>
      <c r="S31" s="1570">
        <f t="shared" si="9"/>
        <v>100</v>
      </c>
      <c r="T31" s="1569" t="s">
        <v>8</v>
      </c>
      <c r="U31" s="1570">
        <f t="shared" si="10"/>
        <v>100</v>
      </c>
      <c r="V31" s="1569" t="s">
        <v>8</v>
      </c>
      <c r="W31" s="1570">
        <f t="shared" si="11"/>
        <v>100</v>
      </c>
      <c r="X31" s="1571"/>
      <c r="Y31" s="336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7" t="s">
        <v>550</v>
      </c>
      <c r="Q32" s="1573">
        <f t="shared" si="8"/>
        <v>111</v>
      </c>
      <c r="R32" s="1574" t="s">
        <v>8</v>
      </c>
      <c r="S32" s="1575">
        <f t="shared" si="9"/>
        <v>100</v>
      </c>
      <c r="T32" s="1574" t="s">
        <v>8</v>
      </c>
      <c r="U32" s="1575">
        <f t="shared" si="10"/>
        <v>100</v>
      </c>
      <c r="V32" s="1574" t="s">
        <v>8</v>
      </c>
      <c r="W32" s="1575">
        <f t="shared" si="11"/>
        <v>100</v>
      </c>
      <c r="X32" s="1568"/>
      <c r="Y32" s="336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7"/>
      <c r="Q33" s="1573">
        <f t="shared" si="8"/>
        <v>111</v>
      </c>
      <c r="R33" s="1574" t="s">
        <v>8</v>
      </c>
      <c r="S33" s="1575">
        <f t="shared" si="9"/>
        <v>100</v>
      </c>
      <c r="T33" s="1574" t="s">
        <v>8</v>
      </c>
      <c r="U33" s="1575">
        <f t="shared" si="10"/>
        <v>100</v>
      </c>
      <c r="V33" s="1574" t="s">
        <v>8</v>
      </c>
      <c r="W33" s="1575">
        <f t="shared" si="11"/>
        <v>100</v>
      </c>
      <c r="X33" s="1568"/>
      <c r="Y33" s="336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2" t="str">
        <f>A35</f>
        <v>成交单价（元/平方米）</v>
      </c>
      <c r="Q35" s="3362"/>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2" t="str">
        <f>A36</f>
        <v>比较价格（元/平方米）</v>
      </c>
      <c r="Q36" s="336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2039</v>
      </c>
      <c r="B1" s="3186"/>
      <c r="C1" s="3186"/>
      <c r="D1" s="3186"/>
      <c r="E1" s="3186"/>
      <c r="F1" s="3186"/>
      <c r="G1" s="3186"/>
      <c r="H1" s="3186"/>
      <c r="I1" s="3186"/>
      <c r="J1" s="3186"/>
      <c r="K1" s="3186"/>
      <c r="L1" s="3186"/>
      <c r="M1" s="3186"/>
      <c r="N1" s="3186"/>
      <c r="O1" s="3186"/>
      <c r="P1" s="3186"/>
      <c r="Q1" s="3186"/>
      <c r="R1" s="3186"/>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2030</v>
      </c>
      <c r="B3" s="3187" t="s">
        <v>2732</v>
      </c>
      <c r="C3" s="3188" t="s">
        <v>2031</v>
      </c>
      <c r="D3" s="3187" t="s">
        <v>2736</v>
      </c>
      <c r="E3" s="3182" t="s">
        <v>2032</v>
      </c>
      <c r="F3" s="3182"/>
      <c r="G3" s="3182"/>
      <c r="H3" s="3182" t="s">
        <v>2033</v>
      </c>
      <c r="I3" s="3182"/>
      <c r="J3" s="3182"/>
      <c r="K3" s="3188" t="s">
        <v>2034</v>
      </c>
      <c r="L3" s="3188" t="s">
        <v>2035</v>
      </c>
      <c r="M3" s="3187" t="s">
        <v>2733</v>
      </c>
      <c r="N3" s="3189" t="str">
        <f>"（分摊）"&amp;项目基本情况!B16&amp;"国有建设用地使用权面积/㎡"</f>
        <v>（分摊）出让国有建设用地使用权面积/㎡</v>
      </c>
      <c r="O3" s="3187" t="s">
        <v>2064</v>
      </c>
      <c r="P3" s="3188" t="s">
        <v>2044</v>
      </c>
      <c r="Q3" s="3188" t="s">
        <v>2065</v>
      </c>
      <c r="R3" s="3188" t="s">
        <v>2036</v>
      </c>
    </row>
    <row r="4" spans="1:18" ht="36.75" customHeight="1">
      <c r="A4" s="3187"/>
      <c r="B4" s="3187"/>
      <c r="C4" s="3188"/>
      <c r="D4" s="3187"/>
      <c r="E4" s="2629" t="s">
        <v>2043</v>
      </c>
      <c r="F4" s="2629" t="s">
        <v>2745</v>
      </c>
      <c r="G4" s="2629" t="s">
        <v>2037</v>
      </c>
      <c r="H4" s="2629" t="s">
        <v>2038</v>
      </c>
      <c r="I4" s="2629" t="s">
        <v>2746</v>
      </c>
      <c r="J4" s="2629" t="s">
        <v>2037</v>
      </c>
      <c r="K4" s="3188"/>
      <c r="L4" s="3188"/>
      <c r="M4" s="3187"/>
      <c r="N4" s="3189"/>
      <c r="O4" s="3187"/>
      <c r="P4" s="3188"/>
      <c r="Q4" s="3188"/>
      <c r="R4" s="3188"/>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714</v>
      </c>
      <c r="Q5" s="1811">
        <f ca="1">结果表!D42</f>
        <v>943</v>
      </c>
      <c r="R5" s="1812">
        <f ca="1">结果表!C42</f>
        <v>1167</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3">
        <f ca="1">结果表!O39</f>
        <v>1167</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3" t="str">
        <f>结果表!O40</f>
        <v>——</v>
      </c>
    </row>
    <row r="8" spans="1:18">
      <c r="A8" s="3183">
        <f>IF(项目基本情况!B9="市场价格","——",项目基本情况!E9)</f>
        <v>0</v>
      </c>
      <c r="B8" s="3184"/>
      <c r="C8" s="3184"/>
      <c r="D8" s="3184"/>
      <c r="E8" s="3184"/>
      <c r="F8" s="3184"/>
      <c r="G8" s="3184"/>
      <c r="H8" s="3184"/>
      <c r="I8" s="3184"/>
      <c r="J8" s="3184"/>
      <c r="K8" s="3184"/>
      <c r="L8" s="3184"/>
      <c r="M8" s="3184"/>
      <c r="N8" s="3184"/>
      <c r="O8" s="3184"/>
      <c r="P8" s="3184"/>
      <c r="Q8" s="318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2067</v>
      </c>
      <c r="B5" s="3193"/>
      <c r="C5" s="3193"/>
      <c r="D5" s="3193"/>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2069</v>
      </c>
      <c r="B12" s="3193"/>
      <c r="C12" s="3193"/>
      <c r="D12" s="3193"/>
    </row>
    <row r="13" spans="1:4">
      <c r="A13" s="3191" t="s">
        <v>2747</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0" t="s">
        <v>2700</v>
      </c>
      <c r="B23" s="3190"/>
      <c r="C23" s="3190"/>
      <c r="D23" s="319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43565</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2019-04-10T06:53:59Z</dcterms:modified>
</cp:coreProperties>
</file>