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办公" sheetId="34"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3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D19" i="9"/>
  <c r="G19" i="9"/>
  <c r="C32" i="9"/>
  <c r="H118" i="9"/>
  <c r="I118" i="9"/>
  <c r="C105" i="9"/>
  <c r="R24" i="31"/>
  <c r="S24" i="31"/>
  <c r="R26" i="31"/>
  <c r="S26" i="31"/>
  <c r="R27" i="31"/>
  <c r="S27" i="31"/>
  <c r="R28" i="31"/>
  <c r="S28" i="31"/>
  <c r="R29" i="31"/>
  <c r="S29" i="31"/>
  <c r="R37" i="31"/>
  <c r="S37" i="31"/>
  <c r="R38" i="31"/>
  <c r="S38" i="31"/>
  <c r="R39" i="31"/>
  <c r="S39" i="31"/>
  <c r="R40" i="31"/>
  <c r="S40" i="31"/>
  <c r="R41" i="31"/>
  <c r="S41" i="31"/>
  <c r="R42" i="31"/>
  <c r="S42" i="31"/>
  <c r="R43" i="31"/>
  <c r="S43" i="31"/>
  <c r="R44" i="31"/>
  <c r="S44" i="31"/>
  <c r="R45" i="31"/>
  <c r="S45" i="31"/>
  <c r="R46" i="31"/>
  <c r="S46" i="31"/>
  <c r="S22" i="31"/>
  <c r="M26" i="31"/>
  <c r="M27" i="31"/>
  <c r="M28" i="31"/>
  <c r="M29" i="31"/>
  <c r="M37" i="31"/>
  <c r="M38" i="31"/>
  <c r="M39" i="31"/>
  <c r="M40" i="31"/>
  <c r="M41" i="31"/>
  <c r="M42" i="31"/>
  <c r="M43" i="31"/>
  <c r="M44" i="31"/>
  <c r="M45" i="31"/>
  <c r="M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U25" i="31"/>
  <c r="H13" i="3"/>
  <c r="G13" i="3"/>
  <c r="G5" i="3"/>
  <c r="F19" i="6"/>
  <c r="E19" i="6"/>
  <c r="K6" i="1"/>
  <c r="BB13" i="3"/>
  <c r="BA13" i="3"/>
  <c r="AZ13" i="3"/>
  <c r="AZ5" i="3"/>
  <c r="B3" i="3"/>
  <c r="AY6" i="3"/>
  <c r="D3" i="6"/>
  <c r="E3" i="6"/>
  <c r="D19" i="6"/>
  <c r="BA5" i="3"/>
  <c r="E27" i="6"/>
  <c r="K19" i="6"/>
  <c r="L19" i="6"/>
  <c r="M19" i="6"/>
  <c r="I19" i="6"/>
  <c r="H19" i="6"/>
  <c r="R19" i="6"/>
  <c r="B52" i="1"/>
  <c r="F34" i="15"/>
  <c r="M6" i="1"/>
  <c r="S6" i="1"/>
  <c r="T6" i="1"/>
  <c r="D3" i="34"/>
  <c r="D114" i="34"/>
  <c r="E114" i="34"/>
  <c r="F38" i="34"/>
  <c r="AA38" i="34"/>
  <c r="B93" i="34"/>
  <c r="F29" i="34"/>
  <c r="AA29" i="34"/>
  <c r="F67" i="34"/>
  <c r="F10" i="34"/>
  <c r="AA10" i="34"/>
  <c r="D70" i="34"/>
  <c r="E70" i="34"/>
  <c r="F70" i="34"/>
  <c r="F11" i="34"/>
  <c r="AA11" i="34"/>
  <c r="B71" i="34"/>
  <c r="F12" i="34"/>
  <c r="AA12" i="34"/>
  <c r="B73" i="34"/>
  <c r="F13" i="34"/>
  <c r="AA13" i="34"/>
  <c r="B75" i="34"/>
  <c r="F14" i="34"/>
  <c r="AA14" i="34"/>
  <c r="D78" i="34"/>
  <c r="F15" i="34"/>
  <c r="AA15"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3" i="34"/>
  <c r="AA33" i="34"/>
  <c r="F34" i="34"/>
  <c r="AA34" i="34"/>
  <c r="D107" i="34"/>
  <c r="F35" i="34"/>
  <c r="AA35" i="34"/>
  <c r="D109" i="34"/>
  <c r="E109" i="34"/>
  <c r="F36" i="34"/>
  <c r="AA36" i="34"/>
  <c r="D112" i="34"/>
  <c r="E112" i="34"/>
  <c r="F112" i="34"/>
  <c r="G112" i="34"/>
  <c r="F37" i="34"/>
  <c r="AA37" i="34"/>
  <c r="D116" i="34"/>
  <c r="E116" i="34"/>
  <c r="F39" i="34"/>
  <c r="AA39" i="34"/>
  <c r="F40" i="34"/>
  <c r="AA40" i="34"/>
  <c r="D120" i="34"/>
  <c r="F41" i="34"/>
  <c r="AA41" i="34"/>
  <c r="F42" i="34"/>
  <c r="AA42" i="34"/>
  <c r="D124" i="34"/>
  <c r="E124" i="34"/>
  <c r="F43" i="34"/>
  <c r="AA43" i="34"/>
  <c r="D126" i="34"/>
  <c r="F44" i="34"/>
  <c r="AA44" i="34"/>
  <c r="B127" i="34"/>
  <c r="F45" i="34"/>
  <c r="AA45" i="34"/>
  <c r="B129" i="34"/>
  <c r="F46" i="34"/>
  <c r="AA46" i="34"/>
  <c r="B131" i="34"/>
  <c r="F47" i="34"/>
  <c r="AA47" i="34"/>
  <c r="R49" i="34"/>
  <c r="H38" i="34"/>
  <c r="AB38" i="34"/>
  <c r="H29" i="34"/>
  <c r="AB29" i="34"/>
  <c r="H10" i="34"/>
  <c r="AB10" i="34"/>
  <c r="H11" i="34"/>
  <c r="AB11" i="34"/>
  <c r="H12" i="34"/>
  <c r="AB12" i="34"/>
  <c r="H13" i="34"/>
  <c r="AB13" i="34"/>
  <c r="H14" i="34"/>
  <c r="AB14" i="34"/>
  <c r="H15" i="34"/>
  <c r="AB15"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3" i="34"/>
  <c r="AB33" i="34"/>
  <c r="H34" i="34"/>
  <c r="AB34" i="34"/>
  <c r="H35" i="34"/>
  <c r="AB35" i="34"/>
  <c r="H36" i="34"/>
  <c r="AB36" i="34"/>
  <c r="H37" i="34"/>
  <c r="AB37" i="34"/>
  <c r="H39" i="34"/>
  <c r="AB39" i="34"/>
  <c r="H40" i="34"/>
  <c r="AB40" i="34"/>
  <c r="H41" i="34"/>
  <c r="AB41" i="34"/>
  <c r="H42" i="34"/>
  <c r="AB42" i="34"/>
  <c r="H43" i="34"/>
  <c r="AB43" i="34"/>
  <c r="H44" i="34"/>
  <c r="AB44" i="34"/>
  <c r="H45" i="34"/>
  <c r="AB45" i="34"/>
  <c r="H46" i="34"/>
  <c r="AB46" i="34"/>
  <c r="H47" i="34"/>
  <c r="AB47" i="34"/>
  <c r="T49" i="34"/>
  <c r="J38" i="34"/>
  <c r="AC38" i="34"/>
  <c r="J29" i="34"/>
  <c r="AC29" i="34"/>
  <c r="J10" i="34"/>
  <c r="AC10" i="34"/>
  <c r="J11" i="34"/>
  <c r="AC11" i="34"/>
  <c r="J12" i="34"/>
  <c r="AC12" i="34"/>
  <c r="J13" i="34"/>
  <c r="AC13" i="34"/>
  <c r="J14" i="34"/>
  <c r="AC14" i="34"/>
  <c r="J15" i="34"/>
  <c r="AC15"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3" i="34"/>
  <c r="AC33" i="34"/>
  <c r="J34" i="34"/>
  <c r="AC34" i="34"/>
  <c r="J35" i="34"/>
  <c r="AC35" i="34"/>
  <c r="J36" i="34"/>
  <c r="AC36" i="34"/>
  <c r="J37" i="34"/>
  <c r="AC37" i="34"/>
  <c r="J39" i="34"/>
  <c r="AC39" i="34"/>
  <c r="J40" i="34"/>
  <c r="AC40" i="34"/>
  <c r="J41" i="34"/>
  <c r="AC41" i="34"/>
  <c r="J42" i="34"/>
  <c r="AC42" i="34"/>
  <c r="J43" i="34"/>
  <c r="AC43" i="34"/>
  <c r="J44" i="34"/>
  <c r="AC44" i="34"/>
  <c r="J45" i="34"/>
  <c r="AC45" i="34"/>
  <c r="J46" i="34"/>
  <c r="AC46" i="34"/>
  <c r="J47" i="34"/>
  <c r="AC47" i="34"/>
  <c r="V49" i="34"/>
  <c r="R50" i="34"/>
  <c r="C50" i="34"/>
  <c r="B2" i="34"/>
  <c r="M18" i="9"/>
  <c r="B118" i="9"/>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C38" i="31"/>
  <c r="K38" i="31"/>
  <c r="I38" i="31"/>
  <c r="G38" i="31"/>
  <c r="E38" i="31"/>
  <c r="C39" i="31"/>
  <c r="K39" i="31"/>
  <c r="I39" i="31"/>
  <c r="G39" i="31"/>
  <c r="E39" i="31"/>
  <c r="C40" i="31"/>
  <c r="K40" i="31"/>
  <c r="I40" i="31"/>
  <c r="G40" i="31"/>
  <c r="E40" i="31"/>
  <c r="C41" i="31"/>
  <c r="K41" i="31"/>
  <c r="I41" i="31"/>
  <c r="G41" i="31"/>
  <c r="E41" i="31"/>
  <c r="C42" i="31"/>
  <c r="K42" i="31"/>
  <c r="I42" i="31"/>
  <c r="G42" i="31"/>
  <c r="E42" i="31"/>
  <c r="C43" i="31"/>
  <c r="K43" i="31"/>
  <c r="I43" i="31"/>
  <c r="G43" i="31"/>
  <c r="E43" i="31"/>
  <c r="C44" i="31"/>
  <c r="K44" i="31"/>
  <c r="I44" i="31"/>
  <c r="G44" i="31"/>
  <c r="E44" i="31"/>
  <c r="C45" i="31"/>
  <c r="K45" i="31"/>
  <c r="I45" i="31"/>
  <c r="G45" i="31"/>
  <c r="E45" i="31"/>
  <c r="C46" i="31"/>
  <c r="K46" i="31"/>
  <c r="I46" i="31"/>
  <c r="G46" i="31"/>
  <c r="E46" i="31"/>
  <c r="V25" i="31"/>
  <c r="D10" i="31"/>
  <c r="I25" i="31"/>
  <c r="D8" i="31"/>
  <c r="G25" i="31"/>
  <c r="D12" i="31"/>
  <c r="E12" i="31"/>
  <c r="K25" i="31"/>
  <c r="M25" i="31"/>
  <c r="E10" i="31"/>
  <c r="F12" i="31"/>
  <c r="C17" i="9"/>
  <c r="D17" i="9"/>
  <c r="C18" i="9"/>
  <c r="D18" i="9"/>
  <c r="F15" i="15"/>
  <c r="J25" i="1"/>
  <c r="J24" i="1"/>
  <c r="J22" i="1"/>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BL17" i="3"/>
  <c r="AZ17" i="3"/>
  <c r="BL13" i="3"/>
  <c r="E65" i="39"/>
  <c r="G30" i="6"/>
  <c r="G31" i="6"/>
  <c r="J56" i="9"/>
  <c r="J57" i="9"/>
  <c r="A24" i="51"/>
  <c r="B18" i="72"/>
  <c r="U29" i="34"/>
  <c r="E14" i="6"/>
  <c r="E64" i="39"/>
  <c r="E5" i="6"/>
  <c r="D9" i="11"/>
  <c r="C9" i="11"/>
  <c r="P10" i="1"/>
  <c r="E32"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L47" i="15"/>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C76" i="15"/>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27" i="6"/>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J57" i="15"/>
  <c r="J55" i="15"/>
  <c r="J58" i="15"/>
  <c r="Q50" i="15"/>
  <c r="I54" i="15"/>
  <c r="L56" i="15"/>
  <c r="F71" i="67"/>
  <c r="F66" i="15"/>
  <c r="F50" i="15"/>
  <c r="B10" i="70"/>
  <c r="F68" i="67"/>
  <c r="F66" i="67"/>
  <c r="L59" i="67"/>
  <c r="M59" i="67"/>
  <c r="N59" i="67"/>
  <c r="L58" i="67"/>
  <c r="F68" i="15"/>
  <c r="N59" i="15"/>
  <c r="L59" i="15"/>
  <c r="M59" i="15"/>
  <c r="L58"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0" i="6"/>
  <c r="M20" i="6"/>
  <c r="I20"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0" i="6"/>
  <c r="R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J59"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B3" i="34"/>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L51" i="15"/>
  <c r="D20" i="9"/>
  <c r="D103" i="9"/>
  <c r="Q67" i="15"/>
  <c r="L57" i="15"/>
  <c r="L60" i="15"/>
  <c r="C71" i="15"/>
  <c r="Q69" i="15"/>
  <c r="Q68" i="15"/>
  <c r="C80" i="15"/>
  <c r="C79" i="15"/>
  <c r="C36" i="36"/>
  <c r="C37" i="36"/>
  <c r="B2" i="36"/>
  <c r="B3" i="36"/>
  <c r="M68" i="39"/>
  <c r="L70" i="39"/>
  <c r="E40" i="36"/>
  <c r="F40" i="36"/>
  <c r="E41" i="36"/>
  <c r="F41" i="36"/>
  <c r="I41" i="36"/>
  <c r="J41" i="36"/>
  <c r="Q65" i="15"/>
  <c r="C43" i="15"/>
  <c r="Q56" i="15"/>
  <c r="Q47" i="15"/>
  <c r="Q53" i="15"/>
  <c r="C83" i="15"/>
  <c r="C82" i="15"/>
  <c r="C46" i="15"/>
  <c r="Q66" i="15"/>
  <c r="Q57" i="15"/>
  <c r="N68" i="39"/>
  <c r="M70" i="39"/>
  <c r="AO6" i="1"/>
  <c r="D22" i="9"/>
  <c r="C21" i="9"/>
  <c r="C102" i="9"/>
  <c r="Q62" i="15"/>
  <c r="Q75" i="15"/>
  <c r="B6" i="70"/>
  <c r="B2" i="70"/>
  <c r="B3" i="70"/>
  <c r="B3" i="15"/>
  <c r="O68" i="39"/>
  <c r="O70" i="39"/>
  <c r="N70" i="39"/>
  <c r="C20" i="9"/>
  <c r="D34" i="9"/>
  <c r="D35" i="9"/>
  <c r="G20" i="9"/>
  <c r="C103" i="9"/>
  <c r="G21" i="9"/>
  <c r="F7" i="39"/>
  <c r="H7" i="39"/>
  <c r="J7" i="39"/>
  <c r="C35" i="9"/>
  <c r="F118" i="9"/>
  <c r="AC7" i="39"/>
  <c r="V47" i="39"/>
  <c r="I47" i="39"/>
  <c r="W7" i="39"/>
  <c r="AB7" i="39"/>
  <c r="T47" i="39"/>
  <c r="G47" i="39"/>
  <c r="U7" i="39"/>
  <c r="S7" i="39"/>
  <c r="AA7" i="39"/>
  <c r="R47" i="39"/>
  <c r="C34" i="9"/>
  <c r="D118" i="9"/>
  <c r="D119" i="9"/>
  <c r="D5" i="52"/>
  <c r="B49" i="72"/>
  <c r="F4" i="52"/>
  <c r="B51" i="72"/>
  <c r="G118" i="9"/>
  <c r="G4" i="52"/>
  <c r="B52" i="72"/>
  <c r="F119" i="9"/>
  <c r="F5" i="52"/>
  <c r="B53" i="72"/>
  <c r="D14" i="74"/>
  <c r="H119" i="9"/>
  <c r="H5" i="52"/>
  <c r="C104" i="9"/>
  <c r="H101" i="9"/>
  <c r="H4" i="52"/>
  <c r="G52" i="39"/>
  <c r="H52" i="39"/>
  <c r="G51" i="39"/>
  <c r="H51" i="39"/>
  <c r="I51" i="39"/>
  <c r="J51" i="39"/>
  <c r="E47" i="39"/>
  <c r="R48" i="39"/>
  <c r="D4" i="52"/>
  <c r="B47" i="72"/>
  <c r="H102" i="9"/>
  <c r="D7" i="53"/>
  <c r="B21" i="72"/>
  <c r="I4" i="52"/>
  <c r="E118" i="9"/>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R22" i="31"/>
  <c r="B21" i="31"/>
  <c r="C79" i="9"/>
  <c r="C80" i="9"/>
  <c r="E80" i="9"/>
  <c r="E81" i="9"/>
  <c r="L65" i="9"/>
  <c r="M65" i="9"/>
  <c r="L64" i="9"/>
  <c r="M64" i="9"/>
  <c r="L67" i="9"/>
  <c r="M67" i="9"/>
  <c r="L68" i="9"/>
  <c r="M68" i="9"/>
  <c r="L66" i="9"/>
  <c r="M66" i="9"/>
  <c r="L63" i="9"/>
  <c r="M63" i="9"/>
  <c r="G14" i="74"/>
  <c r="D8" i="52"/>
  <c r="D123" i="9"/>
  <c r="D9" i="52"/>
  <c r="B30" i="72"/>
  <c r="D14" i="53"/>
  <c r="B32" i="72"/>
  <c r="C95" i="9"/>
  <c r="E15" i="74"/>
  <c r="E19" i="74"/>
  <c r="B20" i="31"/>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<sst xmlns="http://schemas.openxmlformats.org/spreadsheetml/2006/main" count="7439" uniqueCount="3129">
  <si>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</si>
  <si>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</si>
  <si>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</si>
  <si>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</si>
  <si>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</si>
  <si>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</si>
  <si>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</si>
  <si>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</si>
  <si>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</si>
  <si>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</si>
  <si>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</si>
  <si>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</si>
  <si>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</si>
  <si>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</si>
  <si>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</si>
  <si>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</si>
  <si>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</si>
  <si>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</si>
  <si>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</si>
  <si>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</si>
  <si>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</si>
  <si>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</si>
  <si>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</si>
  <si>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</si>
  <si>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</si>
  <si>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</si>
  <si>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</si>
  <si>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</si>
  <si>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</si>
  <si>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</si>
  <si>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</si>
  <si>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</si>
  <si>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</si>
  <si>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</si>
  <si>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</si>
  <si>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</si>
  <si>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</si>
  <si>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</si>
  <si>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</si>
  <si>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</si>
  <si>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</si>
  <si>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</si>
  <si>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</si>
  <si>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</si>
  <si>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</si>
  <si>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</si>
  <si>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</si>
  <si>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</si>
  <si>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</si>
  <si>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</si>
  <si>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</si>
  <si>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</si>
  <si>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</si>
  <si>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</si>
  <si>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</si>
  <si>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</si>
  <si>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</si>
  <si>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</si>
  <si>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</si>
  <si>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</si>
  <si>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</si>
  <si>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</si>
  <si>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</si>
  <si>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</si>
  <si>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</si>
  <si>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</si>
  <si>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</si>
  <si>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</si>
  <si>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</si>
  <si>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</si>
  <si>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</si>
  <si>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</si>
  <si>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</si>
  <si>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</si>
  <si>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</si>
  <si>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</si>
  <si>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</si>
  <si>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</si>
  <si>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</si>
  <si>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</si>
  <si>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</si>
  <si>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</si>
  <si>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</si>
  <si>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</si>
  <si>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</si>
  <si>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</si>
  <si>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</si>
  <si>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</si>
  <si>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</si>
  <si>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</si>
  <si>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</si>
  <si>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</si>
  <si>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</si>
  <si>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</si>
  <si>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</si>
  <si>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</si>
  <si>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</si>
  <si>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</si>
  <si>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</si>
  <si>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</si>
  <si>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</si>
  <si>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</si>
  <si>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</si>
  <si>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</si>
  <si>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</si>
  <si>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</si>
  <si>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</si>
  <si>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</si>
  <si>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</si>
  <si>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</si>
  <si>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</si>
  <si>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</si>
  <si>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</si>
  <si>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</si>
  <si>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</si>
  <si>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</si>
  <si>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</si>
  <si>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</si>
  <si>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</si>
  <si>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</si>
  <si>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</si>
  <si>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</si>
  <si>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</si>
  <si>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</si>
  <si>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</si>
  <si>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</si>
  <si>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</si>
  <si>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</si>
  <si>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</si>
  <si>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</si>
  <si>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</si>
  <si>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</si>
  <si>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</si>
  <si>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</si>
  <si>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</si>
  <si>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</si>
  <si>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</si>
  <si>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</si>
  <si>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</si>
  <si>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</si>
  <si>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</si>
  <si>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</si>
  <si>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</si>
  <si>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</si>
  <si>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</si>
  <si>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</si>
  <si>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</si>
  <si>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</si>
  <si>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</si>
  <si>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</si>
  <si>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</si>
  <si>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</si>
  <si>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</si>
  <si>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</si>
  <si>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</si>
  <si>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</si>
  <si>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</si>
  <si>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</si>
  <si>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</si>
  <si>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</si>
  <si>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</si>
  <si>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</si>
  <si>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</si>
  <si>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</si>
  <si>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</si>
  <si>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</si>
  <si>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</si>
  <si>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</si>
  <si>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</si>
  <si>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</si>
  <si>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</si>
  <si>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</si>
  <si>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</si>
  <si>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</si>
  <si>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</si>
  <si>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</si>
  <si>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</si>
  <si>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</si>
  <si>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</si>
  <si>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</si>
  <si>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</si>
  <si>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</si>
  <si>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</si>
  <si>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</si>
  <si>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</si>
  <si>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</si>
  <si>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</si>
  <si>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</si>
  <si>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</si>
  <si>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</si>
  <si>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</si>
  <si>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</si>
  <si>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</si>
  <si>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</si>
  <si>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</si>
  <si>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</si>
  <si>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</si>
  <si>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</si>
  <si>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</si>
  <si>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</si>
  <si>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</si>
  <si>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</si>
  <si>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</si>
  <si>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</si>
  <si>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</si>
  <si>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</si>
  <si>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</si>
  <si>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</si>
  <si>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</si>
  <si>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</si>
  <si>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</si>
  <si>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</si>
  <si>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</si>
  <si>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</si>
  <si>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</si>
  <si>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</si>
  <si>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</si>
  <si>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</si>
  <si>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</si>
  <si>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</si>
  <si>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</si>
  <si>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</si>
  <si>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</si>
  <si>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</si>
  <si>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</si>
  <si>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</si>
  <si>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</si>
  <si>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</si>
  <si>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</si>
  <si>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</si>
  <si>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</si>
  <si>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</si>
  <si>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</si>
  <si>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</si>
  <si>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</si>
  <si>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</si>
  <si>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</si>
  <si>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</si>
  <si>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</si>
  <si>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</si>
  <si>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</si>
  <si>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</si>
  <si>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</si>
  <si>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</si>
  <si>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</si>
  <si>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</si>
  <si>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</si>
  <si>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</si>
  <si>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</si>
  <si>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</si>
  <si>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</si>
  <si>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</si>
  <si>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</si>
  <si>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</si>
  <si>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</si>
  <si>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</si>
  <si>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</si>
  <si>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</si>
  <si>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</si>
  <si>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</si>
  <si>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</si>
  <si>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</si>
  <si>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</si>
  <si>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</si>
  <si>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</si>
  <si>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</si>
  <si>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</si>
  <si>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</si>
  <si>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</si>
  <si>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</si>
  <si>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</si>
  <si>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</si>
  <si>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</si>
  <si>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</si>
  <si>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</si>
  <si>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</si>
  <si>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</si>
  <si>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</si>
  <si>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</si>
  <si>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</si>
  <si>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</si>
  <si>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</si>
  <si>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</si>
  <si>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</si>
  <si>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</si>
  <si>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</si>
  <si>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</si>
  <si>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</si>
  <si>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</si>
  <si>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</si>
  <si>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</si>
  <si>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</si>
  <si>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</si>
  <si>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</si>
  <si>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</si>
  <si>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</si>
  <si>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</si>
  <si>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</si>
  <si>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</si>
  <si>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</si>
  <si>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</si>
  <si>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</si>
  <si>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</si>
  <si>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</si>
  <si>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</si>
  <si>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</si>
  <si>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</si>
  <si>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</si>
  <si>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</si>
  <si>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</si>
  <si>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</si>
  <si>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</si>
  <si>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</si>
  <si>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</si>
  <si>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</si>
  <si>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</si>
  <si>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</si>
  <si>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</si>
  <si>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</si>
  <si>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</si>
  <si>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</si>
  <si>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</si>
  <si>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</si>
  <si>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</si>
  <si>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</si>
  <si>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</si>
  <si>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</si>
  <si>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</si>
  <si>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</si>
  <si>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</si>
  <si>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</si>
  <si>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</si>
  <si>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</si>
  <si>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</si>
  <si>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</si>
  <si>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</si>
  <si>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</si>
  <si>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</si>
  <si>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</si>
  <si>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</si>
  <si>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</si>
  <si>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</si>
  <si>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</si>
  <si>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</si>
  <si>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</si>
  <si>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</si>
  <si>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</si>
  <si>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</si>
  <si>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</si>
  <si>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</si>
  <si>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</si>
  <si>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</si>
  <si>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</si>
  <si>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</si>
  <si>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</si>
  <si>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</si>
  <si>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</si>
  <si>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</si>
  <si>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</si>
  <si>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</si>
  <si>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</si>
  <si>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</si>
  <si>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</si>
  <si>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</si>
  <si>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</si>
  <si>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</si>
  <si>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</si>
  <si>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</si>
  <si>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</si>
  <si>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</si>
  <si>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</si>
  <si>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</si>
  <si>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</si>
  <si>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</si>
  <si>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</si>
  <si>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</si>
  <si>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</si>
  <si>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</si>
  <si>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</si>
  <si>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</si>
  <si>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</si>
  <si>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</si>
  <si>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</si>
  <si>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</si>
  <si>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</si>
  <si>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</si>
  <si>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</si>
  <si>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</si>
  <si>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</si>
  <si>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</si>
  <si>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</si>
  <si>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</si>
  <si>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</si>
  <si>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</si>
  <si>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</si>
  <si>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</si>
  <si>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</si>
  <si>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</si>
  <si>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</si>
  <si>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</si>
  <si>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</si>
  <si>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</si>
  <si>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</si>
  <si>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</si>
  <si>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</si>
  <si>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</si>
  <si>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</si>
  <si>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</si>
  <si>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</si>
  <si>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</si>
  <si>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</si>
  <si>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</si>
  <si>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</si>
  <si>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</si>
  <si>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</si>
  <si>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</si>
  <si>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</si>
  <si>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</si>
  <si>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</si>
  <si>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</si>
  <si>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</si>
  <si>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</si>
  <si>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</si>
  <si>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</si>
  <si>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</si>
  <si>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</si>
  <si>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</si>
  <si>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</si>
  <si>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</si>
  <si>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</si>
  <si>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</si>
  <si>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</si>
  <si>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</si>
  <si>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</si>
  <si>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</si>
  <si>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</si>
  <si>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</si>
  <si>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</si>
  <si>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</si>
  <si>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</si>
  <si>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</si>
  <si>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</si>
  <si>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</si>
  <si>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</si>
  <si>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</si>
  <si>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</si>
  <si>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</si>
  <si>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</si>
  <si>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</si>
  <si>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</si>
  <si>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</si>
  <si>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</si>
  <si>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</si>
  <si>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</si>
  <si>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</si>
  <si>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</si>
  <si>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</si>
  <si>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</si>
  <si>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</si>
  <si>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</si>
  <si>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</si>
  <si>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</si>
  <si>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</si>
  <si>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</si>
  <si>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</si>
  <si>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</si>
  <si>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</si>
  <si>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</si>
  <si>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</si>
  <si>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</si>
  <si>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</si>
  <si>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</si>
  <si>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</si>
  <si>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</si>
  <si>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</si>
  <si>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</si>
  <si>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</si>
  <si>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</si>
  <si>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</si>
  <si>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</si>
  <si>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</si>
  <si>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</si>
  <si>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</si>
  <si>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</si>
  <si>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</si>
  <si>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</si>
  <si>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</si>
  <si>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</si>
  <si>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</si>
  <si>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</si>
  <si>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</si>
  <si>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</si>
  <si>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</si>
  <si>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</si>
  <si>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</si>
  <si>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</si>
  <si>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</si>
  <si>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</si>
  <si>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</si>
  <si>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</si>
  <si>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</si>
  <si>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</si>
  <si>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</si>
  <si>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</si>
  <si>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</si>
  <si>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</si>
  <si>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</si>
  <si>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</si>
  <si>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</si>
  <si>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</si>
  <si>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</si>
  <si>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</si>
  <si>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</si>
  <si>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</si>
  <si>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</si>
  <si>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</si>
  <si>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</si>
  <si>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</si>
  <si>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</si>
  <si>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</si>
  <si>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</si>
  <si>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</si>
  <si>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</si>
  <si>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</si>
  <si>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</si>
  <si>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</si>
  <si>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</si>
  <si>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</si>
  <si>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</si>
  <si>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</si>
  <si>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</si>
  <si>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</si>
  <si>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</si>
  <si>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</si>
  <si>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</si>
  <si>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</si>
  <si>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</si>
  <si>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</si>
  <si>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</si>
  <si>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</si>
  <si>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</si>
  <si>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</si>
  <si>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</si>
  <si>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</si>
  <si>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</si>
  <si>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</si>
  <si>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</si>
  <si>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</si>
  <si>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</si>
  <si>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</si>
  <si>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</si>
  <si>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</si>
  <si>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</si>
  <si>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</si>
  <si>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</si>
  <si>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</si>
  <si>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</si>
  <si>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</si>
  <si>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</si>
  <si>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</si>
  <si>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</si>
  <si>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</si>
  <si>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</si>
  <si>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</si>
  <si>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</si>
  <si>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</si>
  <si>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</si>
  <si>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</si>
  <si>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</si>
  <si>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</si>
  <si>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</si>
  <si>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</si>
  <si>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</si>
  <si>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</si>
  <si>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</si>
  <si>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</si>
  <si>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</si>
  <si>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</si>
  <si>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</si>
  <si>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</si>
  <si>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</si>
  <si>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</si>
  <si>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</si>
  <si>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</si>
  <si>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</si>
  <si>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</si>
  <si>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</si>
  <si>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</si>
  <si>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</si>
  <si>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</si>
  <si>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</si>
  <si>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</si>
  <si>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</si>
  <si>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</si>
  <si>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</si>
  <si>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</si>
  <si>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</si>
  <si>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</si>
  <si>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</si>
  <si>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</si>
  <si>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</si>
  <si>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</si>
  <si>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</si>
  <si>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</si>
  <si>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</si>
  <si>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</si>
  <si>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</si>
  <si>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</si>
  <si>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</si>
  <si>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</si>
  <si>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</si>
  <si>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</si>
  <si>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</si>
  <si>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</si>
  <si>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</si>
  <si>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</si>
  <si>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</si>
  <si>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</si>
  <si>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</si>
  <si>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</si>
  <si>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</si>
  <si>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</si>
  <si>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</si>
  <si>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</si>
  <si>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</si>
  <si>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</si>
  <si>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</si>
  <si>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</si>
  <si>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</si>
  <si>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</si>
  <si>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</si>
  <si>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</si>
  <si>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</si>
  <si>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</si>
  <si>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</si>
  <si>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</si>
  <si>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</si>
  <si>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</si>
  <si>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</si>
  <si>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</si>
  <si>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</si>
  <si>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</si>
  <si>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</si>
  <si>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</si>
  <si>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</si>
  <si>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</si>
  <si>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</si>
  <si>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</si>
  <si>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</si>
  <si>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</si>
  <si>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</si>
  <si>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</si>
  <si>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</si>
  <si>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</si>
  <si>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</si>
  <si>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</si>
  <si>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</si>
  <si>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</si>
  <si>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</si>
  <si>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</si>
  <si>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</si>
  <si>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</si>
  <si>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</si>
  <si>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</si>
  <si>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</si>
  <si>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</si>
  <si>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</si>
  <si>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</si>
  <si>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</si>
  <si>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</si>
  <si>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</si>
  <si>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</si>
  <si>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</si>
  <si>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</si>
  <si>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</si>
  <si>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</si>
  <si>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</si>
  <si>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</si>
  <si>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</si>
  <si>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</si>
  <si>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</si>
  <si>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</si>
  <si>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</si>
  <si>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</si>
  <si>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</si>
  <si>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</si>
  <si>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</si>
  <si>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</si>
  <si>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</si>
  <si>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</si>
  <si>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</si>
  <si>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</si>
  <si>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</si>
  <si>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</si>
  <si>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</si>
  <si>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</si>
  <si>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</si>
  <si>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</si>
  <si>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</si>
  <si>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</si>
  <si>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</si>
  <si>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</si>
  <si>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</si>
  <si>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</si>
  <si>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</si>
  <si>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</si>
  <si>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</si>
  <si>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</si>
  <si>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</si>
  <si>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</si>
  <si>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</si>
  <si>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</si>
  <si>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</si>
  <si>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</si>
  <si>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</si>
  <si>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</si>
  <si>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</si>
  <si>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</si>
  <si>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</si>
  <si>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</si>
  <si>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</si>
  <si>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</si>
  <si>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</si>
  <si>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</si>
  <si>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</si>
  <si>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</si>
  <si>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</si>
  <si>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</si>
  <si>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</si>
  <si>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</si>
  <si>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</si>
  <si>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</si>
  <si>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</si>
  <si>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</si>
  <si>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</si>
  <si>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</si>
  <si>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</si>
  <si>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</si>
  <si>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</si>
  <si>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</si>
  <si>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</si>
  <si>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</si>
  <si>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</si>
  <si>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</si>
  <si>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</si>
  <si>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</si>
  <si>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</si>
  <si>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</si>
  <si>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</si>
  <si>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</si>
  <si>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</si>
  <si>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</si>
  <si>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</si>
  <si>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</si>
  <si>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</si>
  <si>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</si>
  <si>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</si>
  <si>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</si>
  <si>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</si>
  <si>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</si>
  <si>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</si>
  <si>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</si>
  <si>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</si>
  <si>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</si>
  <si>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</si>
  <si>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</si>
  <si>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</si>
  <si>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</si>
  <si>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</si>
  <si>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</si>
  <si>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</si>
  <si>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</si>
  <si>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</si>
  <si>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</si>
  <si>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</si>
  <si>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</si>
  <si>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</si>
  <si>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</si>
  <si>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</si>
  <si>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</si>
  <si>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</si>
  <si>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</si>
  <si>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</si>
  <si>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</si>
  <si>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</si>
  <si>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</si>
  <si>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</si>
  <si>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</si>
  <si>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</si>
  <si>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</si>
  <si>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</si>
  <si>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</si>
  <si>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</si>
  <si>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</si>
  <si>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</si>
  <si>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</si>
  <si>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</si>
  <si>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</si>
  <si>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</si>
  <si>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</si>
  <si>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</si>
  <si>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</si>
  <si>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</si>
  <si>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</si>
  <si>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</si>
  <si>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</si>
  <si>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</si>
  <si>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</si>
  <si>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</si>
  <si>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</si>
  <si>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</si>
  <si>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</si>
  <si>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</si>
  <si>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</si>
  <si>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</si>
  <si>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</si>
  <si>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</si>
  <si>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</si>
  <si>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</si>
  <si>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</si>
  <si>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</si>
  <si>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</si>
  <si>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</si>
  <si>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</si>
  <si>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</si>
  <si>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</si>
  <si>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</si>
  <si>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</si>
  <si>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</si>
  <si>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</si>
  <si>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</si>
  <si>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</si>
  <si>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</si>
  <si>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</si>
  <si>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</si>
  <si>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</si>
  <si>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</si>
  <si>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</si>
  <si>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</si>
  <si>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</si>
  <si>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</si>
  <si>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</si>
  <si>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</si>
  <si>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</si>
  <si>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</si>
  <si>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</si>
  <si>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</si>
  <si>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</si>
  <si>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</si>
  <si>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</si>
  <si>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</si>
  <si>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</si>
  <si>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</si>
  <si>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</si>
  <si>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</si>
  <si>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</si>
  <si>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</si>
  <si>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</si>
  <si>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</si>
  <si>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</si>
  <si>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</si>
  <si>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</si>
  <si>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</si>
  <si>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</si>
  <si>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</si>
  <si>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</si>
  <si>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</si>
  <si>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</si>
  <si>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</si>
  <si>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</si>
  <si>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</si>
  <si>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</si>
  <si>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</si>
  <si>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</si>
  <si>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</si>
  <si>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</si>
  <si>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</si>
  <si>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</si>
  <si>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</si>
  <si>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</si>
  <si>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</si>
  <si>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</si>
  <si>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</si>
  <si>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</si>
  <si>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</si>
  <si>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</si>
  <si>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</si>
  <si>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</si>
  <si>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</si>
  <si>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</si>
  <si>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</si>
  <si>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</si>
  <si>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</si>
  <si>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</si>
  <si>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</si>
  <si>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</si>
  <si>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</si>
  <si>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</si>
  <si>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</si>
  <si>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</si>
  <si>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</si>
  <si>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</si>
  <si>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</si>
  <si>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</si>
  <si>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</si>
  <si>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</si>
  <si>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</si>
  <si>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</si>
  <si>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</si>
  <si>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</si>
  <si>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</si>
  <si>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</si>
  <si>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</si>
  <si>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</si>
  <si>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</si>
  <si>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</si>
  <si>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</si>
  <si>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</si>
  <si>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</si>
  <si>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</si>
  <si>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</si>
  <si>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</si>
  <si>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</si>
  <si>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</si>
  <si>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</si>
  <si>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</si>
  <si>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</si>
  <si>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</si>
  <si>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</si>
  <si>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</si>
  <si>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</si>
  <si>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</si>
  <si>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</si>
  <si>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</si>
  <si>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</si>
  <si>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</si>
  <si>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</si>
  <si>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</si>
  <si>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</si>
  <si>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</si>
  <si>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</si>
  <si>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</si>
  <si>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</si>
  <si>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</si>
  <si>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</si>
  <si>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</si>
  <si>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</si>
  <si>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</si>
  <si>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</si>
  <si>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</si>
  <si>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</si>
  <si>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</si>
  <si>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</si>
  <si>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</si>
  <si>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</si>
  <si>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</si>
  <si>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</si>
  <si>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</si>
  <si>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</si>
  <si>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</si>
  <si>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</si>
  <si>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</si>
  <si>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</si>
  <si>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</si>
  <si>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</si>
  <si>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</si>
  <si>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</si>
  <si>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</si>
  <si>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</si>
  <si>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</si>
  <si>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</si>
  <si>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</si>
  <si>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</si>
  <si>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</si>
  <si>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</si>
  <si>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</si>
  <si>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</si>
  <si>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</si>
  <si>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</si>
  <si>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</si>
  <si>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</si>
  <si>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</si>
  <si>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</si>
  <si>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</si>
  <si>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</si>
  <si>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</si>
  <si>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</si>
  <si>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</si>
  <si>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</si>
  <si>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</si>
  <si>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</si>
  <si>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</si>
  <si>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</si>
  <si>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</si>
  <si>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</si>
  <si>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</si>
  <si>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</si>
  <si>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</si>
  <si>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</si>
  <si>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</si>
  <si>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</si>
  <si>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</si>
  <si>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</si>
  <si>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</si>
  <si>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</si>
  <si>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</si>
  <si>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</si>
  <si>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</si>
  <si>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</si>
  <si>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</si>
  <si>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</si>
  <si>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</si>
  <si>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</si>
  <si>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</si>
  <si>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</si>
  <si>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</si>
  <si>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</si>
  <si>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</si>
  <si>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</si>
  <si>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</si>
  <si>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</si>
  <si>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</si>
  <si>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</si>
  <si>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</si>
  <si>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</si>
  <si>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</si>
  <si>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</si>
  <si>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</si>
  <si>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</si>
  <si>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</si>
  <si>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</si>
  <si>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</si>
  <si>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</si>
  <si>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</si>
  <si>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</si>
  <si>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</si>
  <si>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</si>
  <si>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</si>
  <si>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</si>
  <si>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</si>
  <si>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</si>
  <si>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</si>
  <si>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</si>
  <si>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</si>
  <si>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</si>
  <si>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</si>
  <si>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</si>
  <si>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</si>
  <si>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</si>
  <si>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</si>
  <si>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</si>
  <si>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</si>
  <si>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</si>
  <si>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</si>
  <si>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</si>
  <si>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</si>
  <si>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</si>
  <si>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</si>
  <si>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</si>
  <si>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</si>
  <si>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</si>
  <si>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</si>
  <si>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</si>
  <si>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</si>
  <si>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</si>
  <si>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</si>
  <si>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</si>
  <si>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</si>
  <si>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</si>
  <si>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</si>
  <si>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</si>
  <si>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</si>
  <si>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</si>
  <si>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</si>
  <si>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</si>
  <si>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</si>
  <si>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</si>
  <si>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</si>
  <si>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</si>
  <si>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</si>
  <si>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</si>
  <si>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</si>
  <si>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</si>
  <si>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</si>
  <si>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</si>
  <si>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</si>
  <si>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</si>
  <si>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</si>
  <si>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</si>
  <si>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</si>
  <si>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</si>
  <si>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</si>
  <si>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</si>
  <si>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</si>
  <si>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</si>
  <si>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</si>
  <si>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</si>
  <si>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</si>
  <si>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</si>
  <si>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</si>
  <si>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</si>
  <si>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</si>
  <si>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</si>
  <si>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</si>
  <si>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</si>
  <si>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</si>
  <si>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</si>
  <si>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</si>
  <si>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</si>
  <si>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</si>
  <si>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</si>
  <si>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</si>
  <si>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</si>
  <si>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</si>
  <si>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</si>
  <si>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</si>
  <si>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</si>
  <si>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</si>
  <si>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</si>
  <si>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</si>
  <si>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</si>
  <si>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</si>
  <si>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</si>
  <si>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</si>
  <si>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</si>
  <si>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</si>
  <si>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</si>
  <si>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</si>
  <si>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</si>
  <si>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</si>
  <si>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</si>
  <si>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</si>
  <si>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</si>
  <si>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</si>
  <si>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</si>
  <si>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</si>
  <si>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</si>
  <si>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</si>
  <si>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</si>
  <si>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</si>
  <si>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</si>
  <si>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</si>
  <si>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</si>
  <si>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</si>
  <si>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</si>
  <si>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</si>
  <si>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</si>
  <si>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</si>
  <si>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</si>
  <si>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</si>
  <si>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</si>
  <si>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</si>
  <si>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</si>
  <si>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</si>
  <si>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</si>
  <si>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</si>
  <si>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</si>
  <si>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</si>
  <si>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</si>
  <si>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</si>
  <si>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</si>
  <si>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</si>
  <si>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</si>
  <si>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</si>
  <si>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</si>
  <si>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</si>
  <si>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</si>
  <si>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</si>
  <si>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</si>
  <si>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</si>
  <si>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</si>
  <si>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</si>
  <si>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</si>
  <si>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</si>
  <si>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</si>
  <si>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</si>
  <si>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</si>
  <si>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</si>
  <si>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</si>
  <si>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</si>
  <si>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</si>
  <si>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</si>
  <si>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</si>
  <si>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</si>
  <si>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</si>
  <si>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</si>
  <si>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</si>
  <si>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</si>
  <si>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</si>
  <si>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</si>
  <si>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</si>
  <si>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</si>
  <si>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</si>
  <si>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</si>
  <si>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</si>
  <si>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</si>
  <si>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</si>
  <si>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</si>
  <si>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</si>
  <si>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</si>
  <si>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</si>
  <si>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</si>
  <si>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</si>
  <si>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</si>
  <si>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</si>
  <si>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</si>
  <si>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</si>
  <si>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</si>
  <si>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</si>
  <si>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</si>
  <si>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</si>
  <si>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</si>
  <si>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</si>
  <si>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</si>
  <si>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</si>
  <si>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</si>
  <si>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</si>
  <si>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</si>
  <si>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</si>
  <si>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</si>
  <si>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</si>
  <si>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</si>
  <si>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</si>
  <si>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</si>
  <si>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</si>
  <si>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</si>
  <si>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</si>
  <si>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</si>
  <si>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</si>
  <si>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</si>
  <si>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</si>
  <si>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</si>
  <si>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</si>
  <si>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</si>
  <si>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</si>
  <si>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</si>
  <si>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</si>
  <si>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</si>
  <si>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</si>
  <si>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</si>
  <si>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</si>
  <si>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</si>
  <si>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</si>
  <si>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</si>
  <si>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</si>
  <si>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</si>
  <si>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</si>
  <si>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</si>
  <si>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</si>
  <si>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</si>
  <si>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</si>
  <si>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</si>
  <si>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</si>
  <si>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</si>
  <si>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</si>
  <si>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</si>
  <si>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</si>
  <si>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</si>
  <si>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</si>
  <si>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</si>
  <si>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</si>
  <si>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</si>
  <si>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</si>
  <si>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</si>
  <si>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</si>
  <si>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</si>
  <si>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</si>
  <si>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</si>
  <si>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</si>
  <si>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</si>
  <si>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</si>
  <si>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</si>
  <si>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</si>
  <si>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</si>
  <si>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</si>
  <si>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</si>
  <si>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</si>
  <si>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</si>
  <si>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</si>
  <si>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</si>
  <si>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</si>
  <si>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</si>
  <si>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</si>
  <si>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</si>
  <si>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</si>
  <si>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</si>
  <si>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</si>
  <si>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</si>
  <si>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</si>
  <si>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</si>
  <si>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</si>
  <si>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</si>
  <si>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</si>
  <si>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</si>
  <si>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</si>
  <si>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</si>
  <si>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</si>
  <si>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</si>
  <si>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</si>
  <si>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</si>
  <si>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</si>
  <si>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</si>
  <si>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</si>
  <si>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</si>
  <si>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</si>
  <si>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</si>
  <si>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</si>
  <si>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</si>
  <si>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</si>
  <si>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</si>
  <si>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</si>
  <si>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</si>
  <si>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</si>
  <si>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</si>
  <si>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</si>
  <si>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</si>
  <si>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</si>
  <si>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</si>
  <si>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</si>
  <si>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</si>
  <si>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</si>
  <si>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</si>
  <si>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</si>
  <si>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</si>
  <si>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</si>
  <si>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</si>
  <si>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</si>
  <si>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</si>
  <si>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</si>
  <si>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</si>
  <si>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</si>
  <si>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</si>
  <si>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</si>
  <si>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</si>
  <si>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</si>
  <si>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</si>
  <si>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</si>
  <si>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</si>
  <si>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</si>
  <si>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</si>
  <si>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</si>
  <si>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</si>
  <si>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</si>
  <si>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</si>
  <si>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</si>
  <si>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</si>
  <si>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</si>
  <si>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</si>
  <si>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</si>
  <si>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</si>
  <si>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</si>
  <si>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</si>
  <si>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</si>
  <si>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</si>
  <si>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</si>
  <si>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</si>
  <si>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</si>
  <si>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</si>
  <si>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</si>
  <si>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</si>
  <si>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</si>
  <si>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</si>
  <si>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</si>
  <si>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</si>
  <si>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</si>
  <si>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</si>
  <si>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</si>
  <si>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</si>
  <si>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</si>
  <si>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</si>
  <si>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</si>
  <si>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</si>
  <si>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</si>
  <si>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</si>
  <si>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</si>
  <si>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</si>
  <si>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</si>
  <si>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</si>
  <si>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</si>
  <si>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</si>
  <si>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</si>
  <si>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</si>
  <si>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</si>
  <si>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</si>
  <si>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</si>
  <si>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</si>
  <si>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</si>
  <si>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</si>
  <si>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</si>
  <si>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</si>
  <si>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</si>
  <si>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</si>
  <si>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</si>
  <si>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</si>
  <si>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</si>
  <si>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</si>
  <si>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</si>
  <si>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</si>
  <si>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</si>
  <si>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</si>
  <si>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</si>
  <si>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</si>
  <si>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</si>
  <si>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</si>
  <si>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</si>
  <si>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</si>
  <si>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</si>
  <si>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</si>
  <si>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</si>
  <si>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</si>
  <si>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</si>
  <si>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</si>
  <si>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</si>
  <si>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</si>
  <si>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</si>
  <si>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</si>
  <si>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</si>
  <si>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</si>
  <si>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</si>
  <si>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</si>
  <si>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</si>
  <si>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</si>
  <si>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</si>
  <si>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</si>
  <si>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</si>
  <si>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</si>
  <si>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</si>
  <si>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</si>
  <si>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</si>
  <si>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</si>
  <si>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</si>
  <si>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</si>
  <si>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</si>
  <si>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</si>
  <si>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</si>
  <si>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</si>
  <si>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</si>
  <si>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</si>
  <si>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</si>
  <si>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</si>
  <si>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</si>
  <si>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</si>
  <si>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</si>
  <si>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</si>
  <si>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</si>
  <si>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</si>
  <si>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</si>
  <si>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</si>
  <si>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</si>
  <si>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</si>
  <si>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</si>
  <si>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</si>
  <si>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</si>
  <si>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</si>
  <si>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</si>
  <si>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</si>
  <si>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</si>
  <si>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</si>
  <si>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</si>
  <si>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</si>
  <si>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</si>
  <si>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</si>
  <si>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</si>
  <si>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</si>
  <si>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</si>
  <si>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</si>
  <si>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</si>
  <si>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</si>
  <si>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</si>
  <si>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</si>
  <si>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</si>
  <si>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</si>
  <si>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</si>
  <si>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</si>
  <si>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</si>
  <si>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</si>
  <si>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</si>
  <si>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</si>
  <si>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</si>
  <si>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</si>
  <si>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</si>
  <si>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</si>
  <si>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</si>
  <si>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</si>
  <si>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</si>
  <si>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</si>
  <si>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</si>
  <si>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</si>
  <si>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</si>
  <si>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</si>
  <si>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</si>
  <si>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</si>
  <si>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</si>
  <si>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</si>
  <si>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</si>
  <si>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</si>
  <si>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</si>
  <si>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</si>
  <si>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</si>
  <si>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</si>
  <si>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</si>
  <si>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</si>
  <si>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</si>
  <si>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</si>
  <si>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</si>
  <si>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</si>
  <si>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</si>
  <si>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</si>
  <si>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</si>
  <si>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</si>
  <si>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</si>
  <si>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</si>
  <si>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</si>
  <si>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</si>
  <si>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</si>
  <si>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</si>
  <si>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</si>
  <si>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</si>
  <si>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</si>
  <si>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</si>
  <si>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</si>
  <si>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</si>
  <si>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</si>
  <si>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</si>
  <si>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</si>
  <si>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</si>
  <si>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</si>
  <si>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</si>
  <si>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</si>
  <si>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</si>
  <si>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</si>
  <si>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</si>
  <si>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</si>
  <si>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</si>
  <si>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</si>
  <si>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</si>
  <si>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</si>
  <si>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</si>
  <si>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</si>
  <si>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</si>
  <si>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</si>
  <si>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</si>
  <si>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</si>
  <si>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</si>
  <si>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</si>
  <si>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</si>
  <si>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</si>
  <si>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</si>
  <si>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</si>
  <si>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</si>
  <si>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</si>
  <si>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</si>
  <si>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</si>
  <si>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</si>
  <si>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</si>
  <si>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</si>
  <si>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</si>
  <si>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</si>
  <si>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</si>
  <si>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</si>
  <si>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</si>
  <si>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</si>
  <si>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</si>
  <si>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</si>
  <si>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</si>
  <si>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</si>
  <si>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</si>
  <si>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</si>
  <si>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</si>
  <si>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</si>
  <si>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</si>
  <si>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</si>
  <si>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</si>
  <si>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</si>
  <si>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</si>
  <si>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</si>
  <si>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</si>
  <si>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</si>
  <si>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</si>
  <si>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</si>
  <si>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</si>
  <si>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</si>
  <si>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</si>
  <si>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</si>
  <si>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</si>
  <si>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</si>
  <si>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</si>
  <si>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</si>
  <si>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</si>
  <si>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</si>
  <si>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</si>
  <si>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</si>
  <si>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</si>
  <si>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</si>
  <si>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</si>
  <si>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</si>
  <si>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</si>
  <si>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</si>
  <si>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</si>
  <si>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</si>
  <si>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</si>
  <si>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</si>
  <si>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</si>
  <si>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</si>
  <si>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</si>
  <si>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</si>
  <si>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</si>
  <si>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</si>
  <si>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</si>
  <si>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</si>
  <si>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</si>
  <si>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</si>
  <si>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</si>
  <si>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</si>
  <si>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</si>
  <si>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</si>
  <si>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</si>
  <si>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</si>
  <si>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</si>
  <si>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</si>
  <si>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</si>
  <si>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</si>
  <si>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</si>
  <si>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</si>
  <si>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</si>
  <si>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</si>
  <si>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</si>
  <si>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</si>
  <si>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</si>
  <si>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</si>
  <si>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</si>
  <si>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</si>
  <si>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</si>
  <si>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</si>
  <si>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</si>
  <si>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</si>
  <si>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</si>
  <si>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</si>
  <si>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</si>
  <si>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</si>
  <si>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</si>
  <si>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</si>
  <si>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</si>
  <si>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</si>
  <si>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</si>
  <si>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</si>
  <si>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</si>
  <si>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</si>
  <si>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</si>
  <si>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</si>
  <si>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</si>
  <si>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</si>
  <si>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</si>
  <si>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</si>
  <si>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</si>
  <si>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</si>
  <si>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</si>
  <si>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</si>
  <si>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</si>
  <si>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</si>
  <si>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</si>
  <si>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</si>
  <si>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</si>
  <si>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</si>
  <si>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</si>
  <si>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</si>
  <si>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</si>
  <si>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</si>
  <si>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</si>
  <si>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</si>
  <si>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</si>
  <si>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</si>
  <si>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</si>
  <si>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</si>
  <si>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</si>
  <si>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</si>
  <si>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</si>
  <si>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</si>
  <si>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</si>
  <si>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</si>
  <si>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</si>
  <si>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</si>
  <si>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</si>
  <si>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</si>
  <si>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</si>
  <si>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</si>
  <si>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</si>
  <si>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</si>
  <si>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</si>
  <si>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</si>
  <si>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</si>
  <si>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</si>
  <si>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</si>
  <si>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</si>
  <si>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</si>
  <si>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</si>
  <si>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</si>
  <si>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</si>
  <si>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</si>
  <si>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</si>
  <si>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</si>
  <si>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</si>
  <si>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</si>
  <si>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</si>
  <si>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</si>
  <si>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</si>
  <si>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</si>
  <si>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</si>
  <si>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</si>
  <si>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</si>
  <si>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</si>
  <si>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</si>
  <si>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</si>
  <si>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</si>
  <si>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</si>
  <si>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</si>
  <si>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</si>
  <si>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</si>
  <si>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</si>
  <si>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</si>
  <si>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</si>
  <si>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</si>
  <si>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</si>
  <si>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</si>
  <si>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</si>
  <si>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</si>
  <si>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</si>
  <si>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</si>
  <si>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</si>
  <si>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</si>
  <si>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</si>
  <si>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</si>
  <si>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</si>
  <si>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</si>
  <si>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</si>
  <si>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</si>
  <si>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</si>
  <si>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</si>
  <si>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</si>
  <si>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</si>
  <si>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</si>
  <si>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</si>
  <si>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</si>
  <si>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</si>
  <si>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</si>
  <si>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</si>
  <si>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</si>
  <si>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</si>
  <si>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</si>
  <si>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</si>
  <si>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</si>
  <si>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</si>
  <si>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</si>
  <si>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</si>
  <si>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</si>
  <si>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</si>
  <si>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</si>
  <si>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</si>
  <si>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</si>
  <si>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</si>
  <si>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</si>
  <si>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</si>
  <si>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</si>
  <si>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</si>
  <si>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</si>
  <si>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</si>
  <si>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</si>
  <si>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</si>
  <si>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</si>
  <si>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</si>
  <si>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</si>
  <si>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</si>
  <si>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</si>
  <si>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</si>
  <si>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</si>
  <si>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</si>
  <si>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</si>
  <si>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</si>
  <si>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</si>
  <si>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</si>
  <si>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</si>
  <si>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</si>
  <si>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</si>
  <si>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</si>
  <si>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</si>
  <si>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</si>
  <si>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</si>
  <si>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</si>
  <si>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</si>
  <si>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</si>
  <si>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</si>
  <si>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</si>
  <si>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</si>
  <si>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</si>
  <si>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</si>
  <si>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</si>
  <si>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</si>
  <si>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</si>
  <si>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</si>
  <si>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</si>
  <si>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</si>
  <si>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</si>
  <si>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</si>
  <si>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</si>
  <si>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</si>
  <si>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</si>
  <si>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</si>
  <si>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</si>
  <si>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</si>
  <si>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</si>
  <si>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</si>
  <si>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</si>
  <si>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</si>
  <si>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</si>
  <si>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</si>
  <si>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</si>
  <si>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</si>
  <si>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</si>
  <si>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</si>
  <si>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</si>
  <si>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</si>
  <si>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</si>
  <si>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</si>
  <si>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</si>
  <si>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</si>
  <si>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</si>
  <si>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</si>
  <si>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</si>
  <si>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</si>
  <si>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</si>
  <si>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</si>
  <si>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</si>
  <si>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</si>
  <si>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</si>
  <si>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</si>
  <si>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</si>
  <si>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</si>
  <si>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</si>
  <si>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</si>
  <si>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</si>
  <si>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</si>
  <si>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</si>
  <si>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</si>
  <si>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</si>
  <si>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</si>
  <si>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</si>
  <si>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</si>
  <si>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</si>
  <si>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</si>
  <si>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</si>
  <si>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</si>
  <si>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</si>
  <si>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</si>
  <si>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</si>
  <si>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</si>
  <si>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</si>
  <si>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</si>
  <si>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</si>
  <si>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</si>
  <si>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</si>
  <si>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</si>
  <si>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</si>
  <si>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</si>
  <si>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</si>
  <si>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</si>
  <si>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</si>
  <si>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</si>
  <si>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</si>
  <si>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</si>
  <si>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</si>
  <si>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</si>
  <si>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</si>
  <si>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</si>
  <si>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</si>
  <si>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</si>
  <si>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</si>
  <si>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</si>
  <si>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</si>
  <si>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</si>
  <si>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</si>
  <si>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</si>
  <si>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</si>
  <si>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</si>
  <si>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</si>
  <si>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</si>
  <si>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</si>
  <si>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</si>
  <si>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</si>
  <si>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</si>
  <si>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</si>
  <si>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</si>
  <si>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</si>
  <si>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</si>
  <si>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</si>
  <si>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</si>
  <si>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</si>
  <si>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</si>
  <si>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</si>
  <si>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</si>
  <si>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</si>
  <si>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</si>
  <si>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</si>
  <si>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</si>
  <si>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</si>
  <si>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</si>
  <si>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</si>
  <si>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</si>
  <si>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</si>
  <si>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</si>
  <si>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</si>
  <si>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</si>
  <si>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</si>
  <si>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</si>
  <si>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</si>
  <si>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</si>
  <si>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</si>
  <si>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</si>
  <si>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</si>
  <si>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</si>
  <si>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</si>
  <si>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</si>
  <si>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</si>
  <si>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</si>
  <si>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</si>
  <si>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</si>
  <si>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</si>
  <si>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</si>
  <si>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</si>
  <si>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</si>
  <si>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</si>
  <si>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</si>
  <si>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</si>
  <si>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</si>
  <si>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</si>
  <si>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</si>
  <si>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</si>
  <si>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</si>
  <si>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</si>
  <si>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</si>
  <si>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</si>
  <si>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</si>
  <si>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</si>
  <si>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</si>
  <si>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</si>
  <si>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</si>
  <si>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</si>
  <si>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</si>
  <si>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</si>
  <si>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</si>
  <si>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</si>
  <si>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</si>
  <si>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</si>
  <si>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</si>
  <si>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</si>
  <si>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</si>
  <si>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</si>
  <si>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</si>
  <si>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</si>
  <si>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</si>
  <si>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</si>
  <si>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</si>
  <si>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</si>
  <si>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</si>
  <si>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</si>
  <si>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</si>
  <si>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</si>
  <si>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</si>
  <si>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</si>
  <si>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</si>
  <si>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</si>
  <si>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</si>
  <si>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</si>
  <si>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</si>
  <si>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</si>
  <si>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</si>
  <si>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</si>
  <si>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</si>
  <si>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</si>
  <si>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</si>
  <si>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</si>
  <si>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</si>
  <si>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</si>
  <si>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</si>
  <si>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</si>
  <si>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</si>
  <si>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</si>
  <si>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</si>
  <si>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</si>
  <si>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</si>
  <si>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</si>
  <si>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</si>
  <si>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</si>
  <si>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</si>
  <si>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</si>
  <si>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</si>
  <si>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</si>
  <si>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</si>
  <si>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</si>
  <si>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</si>
  <si>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</si>
  <si>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</si>
  <si>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</si>
  <si>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</si>
  <si>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</si>
  <si>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</si>
  <si>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</si>
  <si>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</si>
  <si>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</si>
  <si>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</si>
  <si>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</si>
  <si>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</si>
  <si>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</si>
  <si>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</si>
  <si>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</si>
  <si>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</si>
  <si>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</si>
  <si>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</si>
  <si>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</si>
  <si>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</si>
  <si>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</si>
  <si>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</si>
  <si>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</si>
  <si>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</si>
  <si>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</si>
  <si>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</si>
  <si>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</si>
  <si>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</si>
  <si>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</si>
  <si>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</si>
  <si>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</si>
  <si>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</si>
  <si>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</si>
  <si>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</si>
  <si>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</si>
  <si>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</si>
  <si>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</si>
  <si>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</si>
  <si>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</si>
  <si>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</si>
  <si>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</si>
  <si>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</si>
  <si>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</si>
  <si>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</si>
  <si>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</si>
  <si>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</si>
  <si>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</si>
  <si>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</si>
  <si>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</si>
  <si>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</si>
  <si>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</si>
  <si>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</si>
  <si>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</si>
  <si>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</si>
  <si>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</si>
  <si>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</si>
  <si>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</si>
  <si>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</si>
  <si>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</si>
  <si>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</si>
  <si>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</si>
  <si>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</si>
  <si>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</si>
  <si>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</si>
  <si>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</si>
  <si>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</si>
  <si>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</si>
  <si>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</si>
  <si>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</si>
  <si>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</si>
  <si>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</si>
  <si>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</si>
  <si>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</si>
  <si>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</si>
  <si>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</si>
  <si>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</si>
  <si>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</si>
  <si>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</si>
  <si>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</si>
  <si>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</si>
  <si>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</si>
  <si>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</si>
  <si>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</si>
  <si>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</si>
  <si>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</si>
  <si>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</si>
  <si>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</si>
  <si>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</si>
  <si>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</si>
  <si>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</si>
  <si>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</si>
  <si>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</si>
  <si>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</si>
  <si>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</si>
  <si>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</si>
  <si>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</si>
  <si>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</si>
  <si>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</si>
  <si>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</si>
  <si>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</si>
  <si>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</si>
  <si>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</si>
  <si>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</si>
  <si>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</si>
  <si>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</si>
  <si>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</si>
  <si>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</si>
  <si>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</si>
  <si>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</si>
  <si>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</si>
  <si>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</si>
  <si>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</si>
  <si>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</si>
  <si>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</si>
  <si>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</si>
  <si>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</si>
  <si>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</si>
  <si>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</si>
  <si>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</si>
  <si>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</si>
  <si>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</si>
  <si>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</si>
  <si>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</si>
  <si>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</si>
  <si>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</si>
  <si>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</si>
  <si>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</si>
  <si>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</si>
  <si>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</si>
  <si>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</si>
  <si>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</si>
  <si>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</si>
  <si>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</si>
  <si>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</si>
  <si>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</si>
  <si>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</si>
  <si>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</si>
  <si>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</si>
  <si>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</si>
  <si>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</si>
  <si>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</si>
  <si>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</si>
  <si>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</si>
  <si>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</si>
  <si>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</si>
  <si>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</si>
  <si>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</si>
  <si>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</si>
  <si>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</si>
  <si>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</si>
  <si>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</si>
  <si>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</si>
  <si>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</si>
  <si>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</si>
  <si>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</si>
  <si>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</si>
  <si>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</si>
  <si>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</si>
  <si>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</si>
  <si>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</si>
  <si>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</si>
  <si>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</si>
  <si>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</si>
  <si>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</si>
  <si>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</si>
  <si>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</si>
  <si>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</si>
  <si>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</si>
  <si>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</si>
  <si>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</si>
  <si>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</si>
  <si>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</si>
  <si>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</si>
  <si>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</si>
  <si>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</si>
  <si>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</si>
  <si>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</si>
  <si>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</si>
  <si>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</si>
  <si>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</si>
  <si>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</si>
  <si>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</si>
  <si>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</si>
  <si>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</si>
  <si>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</si>
  <si>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</si>
  <si>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</si>
  <si>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</si>
  <si>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</si>
  <si>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</si>
  <si>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</si>
  <si>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</si>
  <si>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</si>
  <si>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</si>
  <si>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</si>
  <si>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</si>
  <si>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</si>
  <si>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</si>
  <si>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</si>
  <si>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</si>
  <si>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</si>
  <si>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</si>
  <si>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</si>
  <si>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</si>
  <si>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</si>
  <si>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</si>
  <si>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</si>
  <si>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</si>
  <si>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</si>
  <si>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</si>
  <si>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</si>
  <si>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</si>
  <si>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</si>
  <si>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</si>
  <si>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</si>
  <si>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</si>
  <si>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</si>
  <si>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</si>
  <si>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</si>
  <si>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</si>
  <si>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</si>
  <si>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</si>
  <si>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</si>
  <si>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</si>
  <si>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</si>
  <si>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</si>
  <si>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</si>
  <si>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</si>
  <si>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</si>
  <si>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</si>
  <si>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</si>
  <si>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</si>
  <si>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</si>
  <si>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</si>
  <si>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</si>
  <si>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</si>
  <si>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</si>
  <si>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</si>
  <si>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</si>
  <si>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</si>
  <si>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</si>
  <si>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</si>
  <si>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</si>
  <si>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</si>
  <si>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</si>
  <si>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</si>
  <si>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</si>
  <si>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</si>
  <si>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</si>
  <si>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</si>
  <si>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</si>
  <si>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</si>
  <si>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</si>
  <si>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</si>
  <si>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</si>
  <si>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</si>
  <si>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</si>
  <si>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</si>
  <si>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</si>
  <si>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</si>
  <si>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</si>
  <si>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</si>
  <si>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</si>
  <si>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</si>
  <si>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</si>
  <si>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</si>
  <si>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</si>
  <si>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</si>
  <si>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</si>
  <si>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</si>
  <si>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</si>
  <si>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</si>
  <si>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</si>
  <si>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</si>
  <si>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</si>
  <si>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</si>
  <si>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</si>
  <si>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</si>
  <si>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</si>
  <si>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</si>
  <si>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</si>
  <si>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</si>
  <si>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</si>
  <si>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</si>
  <si>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</si>
  <si>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</si>
  <si>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</si>
  <si>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</si>
  <si>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</si>
  <si>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</si>
  <si>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</si>
  <si>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</si>
  <si>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</si>
  <si>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</si>
  <si>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</si>
  <si>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</si>
  <si>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</si>
  <si>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</si>
  <si>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</si>
  <si>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</si>
  <si>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</si>
  <si>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</si>
  <si>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</si>
  <si>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</si>
  <si>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</si>
  <si>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</si>
  <si>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</si>
  <si>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</si>
  <si>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</si>
  <si>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</si>
  <si>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</si>
  <si>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</si>
  <si>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</si>
  <si>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</si>
  <si>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</si>
  <si>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</si>
  <si>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</si>
  <si>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</si>
  <si>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</si>
  <si>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</si>
  <si>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</si>
  <si>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</si>
  <si>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</si>
  <si>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</si>
  <si>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</si>
  <si>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</si>
  <si>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</si>
  <si>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</si>
  <si>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</si>
  <si>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</si>
  <si>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</si>
  <si>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</si>
  <si>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</si>
  <si>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</si>
  <si>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</si>
  <si>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</si>
  <si>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</si>
  <si>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</si>
  <si>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</si>
  <si>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</si>
  <si>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</si>
  <si>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</si>
  <si>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</si>
  <si>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</si>
  <si>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</si>
  <si>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</si>
  <si>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</si>
  <si>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</si>
  <si>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</si>
  <si>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</si>
  <si>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</si>
  <si>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</si>
  <si>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</si>
  <si>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</si>
  <si>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</si>
  <si>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</si>
  <si>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</si>
  <si>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</si>
  <si>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</si>
  <si>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</si>
  <si>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</si>
  <si>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</si>
  <si>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</si>
  <si>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</si>
  <si>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</si>
  <si>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</si>
  <si>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</si>
  <si>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</si>
  <si>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</si>
  <si>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</si>
  <si>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</si>
  <si>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</si>
  <si>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</si>
  <si>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</si>
  <si>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</si>
  <si>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</si>
  <si>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</si>
  <si>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</si>
  <si>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</si>
  <si>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</si>
  <si>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</si>
  <si>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</si>
  <si>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</si>
  <si>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</si>
  <si>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</si>
  <si>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</si>
  <si>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</si>
  <si>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</si>
  <si>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</si>
  <si>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</si>
  <si>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</si>
  <si>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</si>
  <si>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</si>
  <si>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</si>
  <si>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</si>
  <si>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</si>
  <si>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</si>
  <si>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</si>
  <si>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</si>
  <si>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</si>
  <si>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</si>
  <si>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</si>
  <si>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</si>
  <si>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</si>
  <si>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</si>
  <si>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</si>
  <si>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</si>
  <si>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</si>
  <si>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</si>
  <si>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</si>
  <si>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</si>
  <si>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</si>
  <si>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</si>
  <si>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</si>
  <si>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</si>
  <si>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</si>
  <si>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</si>
  <si>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</si>
  <si>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</si>
  <si>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</si>
  <si>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</si>
  <si>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</si>
  <si>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</si>
  <si>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</si>
  <si>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</si>
  <si>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</si>
  <si>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</si>
  <si>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</si>
  <si>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</si>
  <si>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</si>
  <si>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</si>
  <si>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</si>
  <si>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</si>
  <si>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</si>
  <si>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</si>
  <si>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</si>
  <si>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</si>
  <si>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</si>
  <si>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</si>
  <si>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</si>
  <si>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</si>
  <si>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</si>
  <si>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</si>
  <si>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</si>
  <si>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</si>
  <si>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</si>
  <si>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</si>
  <si>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</si>
  <si>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</si>
  <si>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</si>
  <si>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</si>
  <si>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</si>
  <si>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</si>
  <si>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</si>
  <si>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</si>
  <si>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</si>
  <si>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</si>
  <si>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</si>
  <si>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</si>
  <si>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</si>
  <si>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</si>
  <si>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</si>
  <si>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</si>
  <si>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</si>
  <si>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</si>
  <si>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</si>
  <si>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</si>
  <si>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</si>
  <si>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</si>
  <si>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</si>
  <si>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</si>
  <si>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</si>
  <si>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</si>
  <si>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</si>
  <si>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</si>
  <si>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</si>
  <si>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</si>
  <si>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</si>
  <si>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</si>
  <si>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</si>
  <si>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</si>
  <si>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</si>
  <si>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</si>
  <si>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</si>
  <si>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</si>
  <si>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</si>
  <si>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</si>
  <si>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</si>
  <si>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</si>
  <si>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</si>
  <si>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</si>
  <si>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</si>
  <si>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</si>
  <si>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</si>
  <si>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</si>
  <si>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</si>
  <si>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</si>
  <si>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</si>
  <si>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</si>
  <si>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</si>
  <si>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</si>
  <si>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</si>
  <si>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</si>
  <si>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</si>
  <si>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</si>
  <si>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</si>
  <si>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</si>
  <si>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</si>
  <si>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</si>
  <si>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</si>
  <si>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</si>
  <si>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</si>
  <si>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</si>
  <si>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</si>
  <si>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</si>
  <si>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</si>
  <si>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</si>
  <si>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</si>
  <si>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</si>
  <si>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</si>
  <si>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</si>
  <si>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</si>
  <si>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</si>
  <si>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</si>
  <si>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</si>
  <si>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</si>
  <si>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</si>
  <si>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</si>
  <si>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</si>
  <si>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</si>
  <si>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</si>
  <si>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</si>
  <si>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</si>
  <si>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</si>
  <si>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</si>
  <si>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</si>
  <si>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</si>
  <si>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</si>
  <si>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</si>
  <si>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</si>
  <si>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</si>
  <si>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</si>
  <si>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</si>
  <si>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</si>
  <si>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</si>
  <si>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</si>
  <si>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</si>
  <si>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</si>
  <si>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</si>
  <si>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</si>
  <si>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</si>
  <si>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</si>
  <si>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</si>
  <si>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</si>
  <si>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</si>
  <si>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</si>
  <si>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</si>
  <si>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</si>
  <si>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</si>
  <si>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</si>
  <si>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</si>
  <si>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</si>
  <si>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</si>
  <si>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</si>
  <si>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</si>
  <si>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</si>
  <si>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</si>
  <si>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</si>
  <si>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</si>
  <si>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</si>
  <si>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</si>
  <si>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</si>
  <si>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</si>
  <si>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</si>
  <si>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</si>
  <si>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</si>
  <si>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</si>
  <si>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</si>
  <si>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</si>
  <si>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</si>
  <si>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</si>
  <si>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</si>
  <si>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</si>
  <si>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</si>
  <si>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</si>
  <si>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</si>
  <si>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</si>
  <si>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</si>
  <si>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</si>
  <si>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</si>
  <si>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</si>
  <si>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</si>
  <si>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</si>
  <si>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</si>
  <si>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</si>
  <si>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</si>
  <si>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</si>
  <si>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</si>
  <si>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</si>
  <si>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</si>
  <si>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</si>
  <si>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</si>
  <si>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</si>
  <si>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</si>
  <si>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</si>
  <si>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</si>
  <si>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</si>
  <si>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</si>
  <si>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</si>
  <si>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</si>
  <si>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</si>
  <si>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</si>
  <si>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</si>
  <si>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</si>
  <si>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</si>
  <si>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</si>
  <si>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</si>
  <si>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</si>
  <si>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</si>
  <si>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</si>
  <si>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</si>
  <si>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</si>
  <si>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</si>
  <si>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</si>
  <si>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</si>
  <si>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</si>
  <si>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</si>
  <si>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</si>
  <si>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</si>
  <si>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</si>
  <si>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</si>
  <si>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</si>
  <si>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</si>
  <si>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</si>
  <si>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</si>
  <si>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</si>
  <si>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</si>
  <si>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</si>
  <si>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</si>
  <si>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</si>
  <si>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</si>
  <si>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</si>
  <si>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</si>
  <si>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</si>
  <si>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</si>
  <si>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</si>
  <si>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</si>
  <si>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</si>
  <si>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</si>
  <si>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</si>
  <si>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</si>
  <si>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</si>
  <si>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</si>
  <si>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</si>
  <si>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</si>
  <si>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</si>
  <si>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</si>
  <si>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</si>
  <si>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</si>
  <si>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</si>
  <si>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</si>
  <si>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</si>
  <si>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</si>
  <si>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</si>
  <si>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</si>
  <si>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</si>
  <si>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</si>
  <si>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</si>
  <si>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</si>
  <si>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</si>
  <si>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</si>
  <si>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</si>
  <si>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</si>
  <si>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</si>
  <si>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</si>
  <si>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</si>
  <si>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</si>
  <si>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</si>
  <si>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</si>
  <si>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</si>
  <si>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</si>
  <si>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</si>
  <si>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</si>
  <si>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</si>
  <si>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</si>
  <si>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</si>
  <si>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</si>
  <si>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</si>
  <si>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</si>
  <si>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</si>
  <si>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</si>
  <si>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</si>
  <si>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</si>
  <si>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</si>
  <si>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</si>
  <si>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</si>
  <si>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</si>
  <si>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</si>
  <si>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</si>
  <si>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</si>
  <si>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</si>
  <si>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</si>
  <si>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</si>
  <si>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</si>
  <si>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</si>
  <si>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</si>
  <si>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</si>
  <si>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</si>
  <si>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</si>
  <si>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</si>
  <si>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</si>
  <si>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</si>
  <si>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</si>
  <si>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</si>
  <si>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</si>
  <si>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</si>
  <si>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</si>
  <si>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</si>
  <si>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</si>
  <si>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</si>
  <si>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</si>
  <si>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</si>
  <si>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</si>
  <si>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</si>
  <si>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</si>
  <si>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</si>
  <si>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</si>
  <si>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</si>
  <si>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</si>
  <si>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</si>
  <si>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</si>
  <si>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</si>
  <si>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</si>
  <si>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</si>
  <si>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</si>
  <si>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</si>
  <si>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</si>
  <si>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</si>
  <si>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</si>
  <si>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</si>
  <si>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</si>
  <si>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</si>
  <si>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</si>
  <si>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</si>
  <si>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</si>
  <si>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</si>
  <si>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</si>
  <si>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</si>
  <si>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</si>
  <si>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</si>
  <si>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</si>
  <si>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</si>
  <si>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</si>
  <si>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</si>
  <si>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</si>
  <si>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</si>
  <si>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</si>
  <si>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</si>
  <si>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</si>
  <si>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</si>
  <si>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</si>
  <si>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</si>
  <si>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</si>
  <si>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</si>
  <si>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</si>
  <si>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</si>
  <si>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</si>
  <si>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</si>
  <si>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</si>
  <si>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</si>
  <si>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</si>
  <si>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</si>
  <si>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</si>
  <si>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</si>
  <si>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</si>
  <si>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</si>
  <si>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</si>
  <si>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</si>
  <si>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</si>
  <si>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</si>
  <si>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</si>
  <si>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</si>
  <si>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</si>
  <si>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</si>
  <si>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</si>
  <si>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</si>
  <si>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</si>
  <si>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</si>
  <si>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</si>
  <si>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</si>
  <si>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</si>
  <si>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</si>
  <si>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</si>
  <si>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</si>
  <si>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</si>
  <si>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</si>
  <si>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</si>
  <si>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</si>
  <si>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</si>
  <si>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</si>
  <si>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</si>
  <si>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</si>
  <si>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</si>
  <si>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</si>
  <si>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</si>
  <si>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</si>
  <si>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</si>
  <si>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</si>
  <si>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</si>
  <si>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</si>
  <si>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</si>
  <si>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</si>
  <si>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</si>
  <si>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</si>
  <si>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</si>
  <si>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</si>
  <si>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</si>
  <si>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</si>
  <si>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</si>
  <si>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</si>
  <si>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</si>
  <si>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</si>
  <si>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</si>
  <si>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</si>
  <si>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</si>
  <si>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</si>
  <si>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</si>
  <si>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</si>
  <si>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</si>
  <si>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</si>
  <si>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</si>
  <si>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</si>
  <si>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</si>
  <si>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</si>
  <si>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</si>
  <si>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</si>
  <si>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</si>
  <si>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</si>
  <si>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</si>
  <si>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</si>
  <si>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</si>
  <si>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</si>
  <si>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</si>
  <si>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</si>
  <si>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</si>
  <si>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</si>
  <si>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</si>
  <si>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</si>
  <si>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</si>
  <si>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</si>
  <si>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</si>
  <si>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</si>
  <si>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</si>
  <si>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</si>
  <si>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</si>
  <si>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</si>
  <si>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</si>
  <si>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</si>
  <si>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</si>
  <si>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</si>
  <si>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</si>
  <si>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</si>
  <si>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</si>
  <si>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</si>
  <si>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</si>
  <si>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</si>
  <si>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</si>
  <si>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</si>
  <si>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</si>
  <si>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</si>
  <si>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</si>
  <si>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</si>
  <si>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</si>
  <si>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</si>
  <si>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</si>
  <si>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</si>
  <si>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</si>
  <si>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</si>
  <si>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</si>
  <si>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</si>
  <si>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</si>
  <si>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</si>
  <si>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</si>
  <si>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</si>
  <si>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</si>
  <si>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</si>
  <si>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</si>
  <si>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</si>
  <si>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</si>
  <si>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</si>
  <si>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</si>
  <si>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</si>
  <si>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</si>
  <si>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</si>
  <si>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</si>
  <si>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</si>
  <si>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</si>
  <si>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</si>
  <si>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</si>
  <si>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</si>
  <si>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</si>
  <si>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</si>
  <si>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</si>
  <si>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</si>
  <si>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</si>
  <si>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</si>
  <si>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</si>
  <si>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</si>
  <si>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</si>
  <si>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</si>
  <si>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</si>
  <si>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</si>
  <si>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</si>
  <si>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</si>
  <si>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</si>
  <si>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</si>
  <si>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</si>
  <si>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</si>
  <si>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</si>
  <si>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</si>
  <si>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</si>
  <si>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</si>
  <si>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</si>
  <si>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</si>
  <si>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</si>
  <si>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</si>
  <si>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</si>
  <si>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</si>
  <si>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</si>
  <si>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</si>
  <si>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</si>
  <si>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</si>
  <si>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</si>
  <si>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</si>
  <si>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</si>
  <si>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</si>
  <si>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</si>
  <si>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</si>
  <si>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</si>
  <si>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</si>
  <si>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</si>
  <si>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</si>
  <si>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</si>
  <si>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</si>
  <si>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</si>
  <si>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</si>
  <si>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</si>
  <si>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</si>
  <si>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</si>
  <si>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</si>
  <si>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</si>
  <si>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</si>
  <si>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</si>
  <si>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</si>
  <si>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</si>
  <si>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</si>
  <si>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</si>
  <si>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</si>
  <si>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</si>
  <si>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</si>
  <si>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</si>
  <si>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</si>
  <si>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</si>
  <si>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</si>
  <si>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</si>
  <si>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</si>
  <si>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</si>
  <si>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</si>
  <si>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</si>
  <si>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</si>
  <si>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</si>
  <si>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</si>
  <si>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</si>
  <si>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</si>
  <si>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</si>
  <si>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</si>
  <si>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</si>
  <si>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</si>
  <si>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</si>
  <si>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</si>
  <si>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</si>
  <si>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</si>
  <si>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</si>
  <si>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</si>
  <si>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</si>
  <si>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</si>
  <si>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</si>
  <si>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</si>
  <si>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</si>
  <si>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</si>
  <si>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</si>
  <si>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</si>
  <si>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</si>
  <si>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</si>
  <si>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</si>
  <si>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</si>
  <si>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</si>
  <si>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</si>
  <si>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</si>
  <si>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</si>
  <si>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</si>
  <si>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</si>
  <si>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</si>
  <si>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</si>
  <si>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</si>
  <si>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</si>
  <si>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</si>
  <si>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</si>
  <si>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</si>
  <si>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</si>
  <si>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</si>
  <si>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</si>
  <si>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</si>
  <si>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</si>
  <si>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</si>
  <si>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</si>
  <si>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</si>
  <si>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</si>
  <si>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</si>
  <si>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</si>
  <si>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</si>
  <si>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</si>
  <si>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</si>
  <si>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</si>
  <si>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</si>
  <si>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</si>
  <si>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</si>
  <si>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</si>
  <si>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</si>
  <si>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</si>
  <si>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</si>
  <si>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</si>
  <si>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</si>
  <si>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</si>
  <si>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</si>
  <si>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</si>
  <si>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</si>
  <si>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</si>
  <si>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</si>
  <si>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</si>
  <si>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</si>
  <si>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</si>
  <si>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</si>
  <si>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</si>
  <si>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</si>
  <si>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</si>
  <si>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</si>
  <si>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</si>
  <si>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</si>
  <si>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</si>
  <si>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</si>
  <si>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</si>
  <si>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</si>
  <si>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办公楼</t>
  </si>
  <si>
    <t>办公楼</t>
    <phoneticPr fontId="3" type="noConversion"/>
  </si>
  <si>
    <t>地上</t>
  </si>
  <si>
    <t>是</t>
  </si>
  <si>
    <t>办公楼</t>
    <phoneticPr fontId="7" type="noConversion"/>
  </si>
  <si>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</si>
  <si>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</si>
  <si>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</si>
  <si>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</si>
  <si>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</si>
  <si>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</si>
  <si>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</si>
  <si>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</si>
  <si>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</si>
  <si>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</si>
  <si>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</si>
  <si>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</si>
  <si>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</si>
  <si>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</si>
  <si>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</si>
  <si>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标准办公楼</t>
  </si>
  <si>
    <t>标准办公楼</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</si>
  <si>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</si>
  <si>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</si>
  <si>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</si>
  <si>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</si>
  <si>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</si>
  <si>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</si>
  <si>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</si>
  <si>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</si>
  <si>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</si>
  <si>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</si>
  <si>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</si>
  <si>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</si>
  <si>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</si>
  <si>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</si>
  <si>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</si>
  <si>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</si>
  <si>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</si>
  <si>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</si>
  <si>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</si>
  <si>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</si>
  <si>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</si>
  <si>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</si>
  <si>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</si>
  <si>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</si>
  <si>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</si>
  <si>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</si>
  <si>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</si>
  <si>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</si>
  <si>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</si>
  <si>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</si>
  <si>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</si>
  <si>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</si>
  <si>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</si>
  <si>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</si>
  <si>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</si>
  <si>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</si>
  <si>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</si>
  <si>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</si>
  <si>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</si>
  <si>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</si>
  <si>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</si>
  <si>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</si>
  <si>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</si>
  <si>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r>
      <t>0-1</t>
    </r>
    <r>
      <rPr>
        <sz val="10"/>
        <color indexed="8"/>
        <rFont val="宋体"/>
        <family val="3"/>
        <charset val="134"/>
      </rPr>
      <t>（含）</t>
    </r>
    <phoneticPr fontId="25" type="noConversion"/>
  </si>
  <si>
    <r>
      <t>1-2</t>
    </r>
    <r>
      <rPr>
        <sz val="10"/>
        <color indexed="8"/>
        <rFont val="宋体"/>
        <family val="3"/>
        <charset val="134"/>
      </rPr>
      <t>（含）</t>
    </r>
    <phoneticPr fontId="25" type="noConversion"/>
  </si>
  <si>
    <r>
      <t>2-3</t>
    </r>
    <r>
      <rPr>
        <sz val="10"/>
        <color indexed="8"/>
        <rFont val="宋体"/>
        <family val="3"/>
        <charset val="134"/>
      </rPr>
      <t>（含）</t>
    </r>
    <phoneticPr fontId="25" type="noConversion"/>
  </si>
  <si>
    <r>
      <t>3-4</t>
    </r>
    <r>
      <rPr>
        <sz val="10"/>
        <color indexed="8"/>
        <rFont val="宋体"/>
        <family val="3"/>
        <charset val="134"/>
      </rPr>
      <t>（含）</t>
    </r>
    <phoneticPr fontId="25" type="noConversion"/>
  </si>
  <si>
    <r>
      <t>4-5</t>
    </r>
    <r>
      <rPr>
        <sz val="10"/>
        <color indexed="8"/>
        <rFont val="宋体"/>
        <family val="3"/>
        <charset val="134"/>
      </rPr>
      <t>（含）</t>
    </r>
    <phoneticPr fontId="25" type="noConversion"/>
  </si>
  <si>
    <t>4-5（含）</t>
  </si>
  <si>
    <t>1-2（含）</t>
  </si>
  <si>
    <t>0-1（含）</t>
  </si>
  <si>
    <t>3-4（含）</t>
  </si>
  <si>
    <t>已包含在土地取得成本中</t>
  </si>
  <si>
    <t>好</t>
  </si>
  <si>
    <t>其他省市请录依据文件名称：鲁政字〔2018〕309号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</si>
</sst>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037922AB-5DBA-4BB5-921F-74CAFDB6FBBC}"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估价对象为房地产，为所有。根据《国有土地使用证》[]，估价对象（分摊）出让国有建设用地使用权面积为424平方米，建筑面积为1809.36平方米。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估价对象为房地产,属开发建设的，该项目尚在开发建设中。根据《国有土地使用证》[]，估价对象（分摊）出让国有建设用地使用权面积为424平方米，规划建筑面积为1809.36平方米。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本次评估采用的主估价方法为收益法和比较法。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795</v>
      </c>
    </row>
    <row r="21" spans="1:2" s="1594" customFormat="1">
      <c r="A21" s="1592" t="s">
        <v>1231</v>
      </c>
      <c r="B21" s="1593">
        <f ca="1">'预评函-2'!D7</f>
        <v>4394</v>
      </c>
    </row>
    <row r="22" spans="1:2" s="1594" customFormat="1">
      <c r="A22" s="1592" t="s">
        <v>1232</v>
      </c>
      <c r="B22" s="1593" t="str">
        <f ca="1">'预评函-2'!D6</f>
        <v>柒佰玖拾伍万元整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795</v>
      </c>
    </row>
    <row r="31" spans="1:2" s="1594" customFormat="1">
      <c r="A31" s="1592" t="s">
        <v>1270</v>
      </c>
      <c r="B31" s="1593">
        <f ca="1">'预评函-2'!D15</f>
        <v>4394</v>
      </c>
    </row>
    <row r="32" spans="1:2" s="1594" customFormat="1">
      <c r="A32" s="1592" t="s">
        <v>1237</v>
      </c>
      <c r="B32" s="1593" t="str">
        <f ca="1">'预评函-2'!D14</f>
        <v>柒佰玖拾伍万元整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1809.36</v>
      </c>
    </row>
    <row r="44" spans="1:2" s="1594" customFormat="1">
      <c r="A44" s="1592" t="s">
        <v>1269</v>
      </c>
      <c r="B44" s="1593" t="str">
        <f>'预评函-3'!C2</f>
        <v>(分摊)土地面积</v>
      </c>
    </row>
    <row r="45" spans="1:2" s="1594" customFormat="1">
      <c r="A45" s="1592" t="s">
        <v>1241</v>
      </c>
      <c r="B45" s="1593">
        <f>'预评函-3'!C4</f>
        <v>424</v>
      </c>
    </row>
    <row r="46" spans="1:2" s="1594" customFormat="1">
      <c r="A46" s="1592" t="s">
        <v>1267</v>
      </c>
      <c r="B46" s="1593" t="str">
        <f>'预评函-3'!D2</f>
        <v>出让国有建设用地使用权价值</v>
      </c>
    </row>
    <row r="47" spans="1:2" s="1594" customFormat="1">
      <c r="A47" s="1592" t="s">
        <v>1242</v>
      </c>
      <c r="B47" s="1593">
        <f ca="1">'预评函-3'!D4</f>
        <v>795</v>
      </c>
    </row>
    <row r="48" spans="1:2" s="1594" customFormat="1">
      <c r="A48" s="1592" t="s">
        <v>1243</v>
      </c>
      <c r="B48" s="1593">
        <f ca="1">'预评函-3'!E4</f>
        <v>4394</v>
      </c>
    </row>
    <row r="49" spans="1:2" s="1594" customFormat="1">
      <c r="A49" s="1592" t="s">
        <v>1244</v>
      </c>
      <c r="B49" s="1593" t="str">
        <f ca="1">'预评函-3'!D5</f>
        <v>柒佰玖拾伍万元整</v>
      </c>
    </row>
    <row r="50" spans="1:2" s="1594" customFormat="1">
      <c r="A50" s="1592" t="s">
        <v>1268</v>
      </c>
      <c r="B50" s="1593" t="str">
        <f>'预评函-3'!F2</f>
        <v>在建建筑物价值</v>
      </c>
    </row>
    <row r="51" spans="1:2" s="1594" customFormat="1">
      <c r="A51" s="1592" t="s">
        <v>1245</v>
      </c>
      <c r="B51" s="1593">
        <f ca="1">'预评函-3'!F4</f>
        <v>0</v>
      </c>
    </row>
    <row r="52" spans="1:2" s="1594" customFormat="1">
      <c r="A52" s="1592" t="s">
        <v>1246</v>
      </c>
      <c r="B52" s="1593">
        <f ca="1">'预评函-3'!G4</f>
        <v>0</v>
      </c>
    </row>
    <row r="53" spans="1:2" s="1594" customFormat="1">
      <c r="A53" s="1592" t="s">
        <v>1274</v>
      </c>
      <c r="B53" s="1593" t="str">
        <f ca="1">'预评函-3'!F5</f>
        <v>零元整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8" t="str">
        <f>IF(B10="北京市","北京市",C10)&amp;F10&amp;IF(结果表!G1="在建","出让国有建设用地使用权及在建建筑物",IF(结果表!G1="土地","出让国有建设用地使用权",))&amp;B9&amp;"预评估"</f>
        <v>房地产抵押价值预评估</v>
      </c>
      <c r="C1" s="3019"/>
      <c r="D1" s="3019"/>
      <c r="E1" s="3019"/>
      <c r="F1" s="3019"/>
      <c r="G1" s="3019"/>
      <c r="H1" s="3019"/>
      <c r="I1" s="302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1773</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1774</v>
      </c>
      <c r="B3" s="2036"/>
      <c r="C3" s="2037" t="s">
        <v>1775</v>
      </c>
      <c r="D3" s="2036">
        <v>43551</v>
      </c>
      <c r="E3" s="2026"/>
      <c r="F3" s="2026"/>
      <c r="G3" s="2026"/>
      <c r="H3" s="2026"/>
      <c r="I3" s="2026"/>
      <c r="J3" s="2026"/>
      <c r="K3" s="2027"/>
      <c r="L3" s="2028"/>
      <c r="M3" s="2028"/>
      <c r="N3" s="2029"/>
      <c r="O3" s="2030"/>
      <c r="P3" s="2029"/>
      <c r="Q3" s="2029"/>
      <c r="R3" s="2029"/>
      <c r="S3" s="2031"/>
    </row>
    <row r="4" spans="1:19" ht="18" customHeight="1" thickBot="1">
      <c r="A4" s="2038" t="s">
        <v>1776</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3049</v>
      </c>
      <c r="C8" s="2056"/>
      <c r="D8" s="3021" t="s">
        <v>1781</v>
      </c>
      <c r="E8" s="2057" t="s">
        <v>3050</v>
      </c>
      <c r="F8" s="2058"/>
      <c r="G8" s="2026"/>
      <c r="H8" s="2026"/>
      <c r="I8" s="2026"/>
      <c r="J8" s="2042"/>
      <c r="K8" s="2043"/>
      <c r="L8" s="2028"/>
      <c r="M8" s="2028"/>
      <c r="N8" s="2029"/>
      <c r="O8" s="2030"/>
      <c r="P8" s="2029"/>
      <c r="Q8" s="2029"/>
      <c r="R8" s="2029"/>
    </row>
    <row r="9" spans="1:19" ht="18" customHeight="1" thickBot="1">
      <c r="A9" s="2040" t="s">
        <v>1782</v>
      </c>
      <c r="B9" s="2059" t="s">
        <v>3050</v>
      </c>
      <c r="C9" s="2060"/>
      <c r="D9" s="3022"/>
      <c r="E9" s="2059"/>
      <c r="F9" s="2061"/>
      <c r="G9" s="2062"/>
      <c r="H9" s="2062"/>
      <c r="I9" s="2062"/>
      <c r="J9" s="2042"/>
      <c r="K9" s="2054"/>
      <c r="L9" s="2028"/>
      <c r="M9" s="2028"/>
      <c r="N9" s="2029"/>
      <c r="O9" s="2030"/>
      <c r="P9" s="2029"/>
      <c r="Q9" s="2029"/>
      <c r="R9" s="2029"/>
    </row>
    <row r="10" spans="1:19" ht="18" customHeight="1" thickTop="1">
      <c r="A10" s="2063" t="s">
        <v>1783</v>
      </c>
      <c r="B10" s="2064"/>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3051</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1795</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1797</v>
      </c>
      <c r="B16" s="3028"/>
      <c r="C16" s="3029"/>
      <c r="D16" s="3030"/>
      <c r="E16" s="2086" t="s">
        <v>1798</v>
      </c>
      <c r="F16" s="3031"/>
      <c r="G16" s="3032"/>
      <c r="H16" s="3032"/>
      <c r="I16" s="3033"/>
      <c r="J16" s="2029"/>
      <c r="K16" s="2083"/>
      <c r="L16" s="2084"/>
      <c r="M16" s="2084"/>
      <c r="N16" s="2085"/>
      <c r="O16" s="2084"/>
      <c r="P16" s="2085"/>
      <c r="Q16" s="2029"/>
      <c r="R16" s="2029"/>
    </row>
    <row r="17" spans="1:22" ht="18" customHeight="1">
      <c r="A17" s="2087" t="s">
        <v>1799</v>
      </c>
      <c r="B17" s="2035" t="s">
        <v>1800</v>
      </c>
      <c r="C17" s="1057">
        <f>'数据-汇总表'!E3</f>
        <v>1809.36</v>
      </c>
      <c r="D17" s="2088" t="s">
        <v>1801</v>
      </c>
      <c r="E17" s="3034" t="s">
        <v>1802</v>
      </c>
      <c r="F17" s="3035"/>
      <c r="G17" s="3035"/>
      <c r="H17" s="3035"/>
      <c r="I17" s="3036"/>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5">
        <f>'数据-汇总表'!D3</f>
        <v>424</v>
      </c>
      <c r="D18" s="2091" t="s">
        <v>1801</v>
      </c>
      <c r="E18" s="3037" t="s">
        <v>1805</v>
      </c>
      <c r="F18" s="3038"/>
      <c r="G18" s="3038"/>
      <c r="H18" s="3038"/>
      <c r="I18" s="3039"/>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4" t="s">
        <v>1810</v>
      </c>
      <c r="C20" s="3025"/>
      <c r="D20" s="3026" t="s">
        <v>1811</v>
      </c>
      <c r="E20" s="3027"/>
      <c r="F20" s="2098" t="s">
        <v>1812</v>
      </c>
      <c r="G20" s="2042"/>
      <c r="H20" s="2042"/>
      <c r="I20" s="2042"/>
      <c r="J20" s="2042"/>
      <c r="K20" s="302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1"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1"/>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1"/>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2"/>
      <c r="B30" s="2035" t="s">
        <v>1829</v>
      </c>
      <c r="C30" s="3013"/>
      <c r="D30" s="301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5"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10" t="s">
        <v>1839</v>
      </c>
      <c r="T34" s="2135" t="str">
        <f>NUMBERSTRING(7-K34,1)&amp;"通"</f>
        <v>七通</v>
      </c>
      <c r="U34" s="2029"/>
      <c r="V34" s="2029"/>
    </row>
    <row r="35" spans="1:22" ht="18" customHeight="1">
      <c r="A35" s="2136"/>
      <c r="B35" s="3017" t="s">
        <v>1840</v>
      </c>
      <c r="C35" s="3017"/>
      <c r="D35" s="3017"/>
      <c r="E35" s="301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424</v>
      </c>
      <c r="B3" s="14">
        <f>IF(C3="否",G5-AT5,G5)</f>
        <v>1809.36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1809.36</v>
      </c>
      <c r="H5" s="16">
        <f t="shared" ref="H5:AT5" si="0">SUM(H13:H656)</f>
        <v>1809.36</v>
      </c>
      <c r="I5" s="16">
        <f t="shared" si="0"/>
        <v>1809.36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1809.36</v>
      </c>
      <c r="BA5" s="18">
        <f t="shared" si="1"/>
        <v>1809.36</v>
      </c>
      <c r="BB5" s="18">
        <f t="shared" si="1"/>
        <v>1809.36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424</v>
      </c>
      <c r="F6" s="16" t="s">
        <v>1</v>
      </c>
      <c r="G6" s="16" t="s">
        <v>2</v>
      </c>
      <c r="H6" s="20">
        <f>SUMIF(I$12:AB$12,"总值",I6:AB6)</f>
        <v>424</v>
      </c>
      <c r="I6" s="16">
        <f t="shared" ref="I6:AB6" si="2">ROUND($A$3*I5/$B$3,2)</f>
        <v>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424</v>
      </c>
      <c r="AZ6" s="16" t="s">
        <v>3</v>
      </c>
      <c r="BA6" s="16">
        <f>ROUND($AY$6*BA5/$AZ$5,2)</f>
        <v>424</v>
      </c>
      <c r="BB6" s="16">
        <f>ROUND($AY$6*BB5/$AZ$5,2)</f>
        <v>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4" t="s">
        <v>1891</v>
      </c>
      <c r="AD8" s="2189"/>
      <c r="AE8" s="2181"/>
      <c r="AF8" s="1818"/>
      <c r="AG8" s="1818"/>
      <c r="AH8" s="1818"/>
      <c r="AI8" s="1818"/>
      <c r="AJ8" s="1818"/>
      <c r="AK8" s="1818"/>
      <c r="AL8" s="1818"/>
      <c r="AM8" s="1818"/>
      <c r="AN8" s="1818"/>
      <c r="AO8" s="1818"/>
      <c r="AP8" s="1818"/>
      <c r="AQ8" s="1818"/>
      <c r="AR8" s="1818"/>
      <c r="AS8" s="1818"/>
      <c r="AT8" s="1293" t="s">
        <v>1892</v>
      </c>
      <c r="AU8" s="2183" t="s">
        <v>1893</v>
      </c>
      <c r="AV8" s="1293"/>
      <c r="AW8" s="2166"/>
      <c r="AX8" s="1293"/>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1896</v>
      </c>
      <c r="I9" s="2192" t="s">
        <v>3054</v>
      </c>
      <c r="J9" s="984"/>
      <c r="K9" s="2192"/>
      <c r="L9" s="984"/>
      <c r="M9" s="2192"/>
      <c r="N9" s="984"/>
      <c r="O9" s="2192"/>
      <c r="P9" s="984"/>
      <c r="Q9" s="2192"/>
      <c r="R9" s="984"/>
      <c r="S9" s="2192"/>
      <c r="T9" s="984"/>
      <c r="U9" s="2192"/>
      <c r="V9" s="984"/>
      <c r="W9" s="2192"/>
      <c r="X9" s="2193"/>
      <c r="Y9" s="2192"/>
      <c r="Z9" s="984"/>
      <c r="AA9" s="2192"/>
      <c r="AB9" s="984"/>
      <c r="AC9" s="2184"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4"/>
      <c r="AT9" s="2183"/>
      <c r="AU9" s="2183" t="s">
        <v>1899</v>
      </c>
      <c r="AV9" s="1293"/>
      <c r="AW9" s="2166"/>
      <c r="AX9" s="1293"/>
      <c r="AY9" s="28"/>
      <c r="AZ9" s="28" t="s">
        <v>1889</v>
      </c>
      <c r="BA9" s="2195" t="s">
        <v>1900</v>
      </c>
      <c r="BB9" s="2196"/>
      <c r="BC9" s="1339"/>
      <c r="BD9" s="1339"/>
      <c r="BE9" s="1339"/>
      <c r="BF9" s="1339"/>
      <c r="BG9" s="1339"/>
      <c r="BH9" s="1339"/>
      <c r="BI9" s="1339"/>
      <c r="BJ9" s="1339"/>
      <c r="BK9" s="2197"/>
      <c r="BL9" s="15" t="s">
        <v>1901</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3"/>
      <c r="AD10" s="15" t="s">
        <v>1902</v>
      </c>
      <c r="AE10" s="2199"/>
      <c r="AF10" s="15" t="s">
        <v>1902</v>
      </c>
      <c r="AG10" s="2199"/>
      <c r="AH10" s="15" t="s">
        <v>1903</v>
      </c>
      <c r="AI10" s="2199"/>
      <c r="AJ10" s="15" t="s">
        <v>1903</v>
      </c>
      <c r="AK10" s="2199"/>
      <c r="AL10" s="15" t="s">
        <v>1904</v>
      </c>
      <c r="AM10" s="1299"/>
      <c r="AN10" s="15" t="s">
        <v>1904</v>
      </c>
      <c r="AO10" s="1299"/>
      <c r="AP10" s="15" t="s">
        <v>1905</v>
      </c>
      <c r="AQ10" s="1299"/>
      <c r="AR10" s="15" t="s">
        <v>1905</v>
      </c>
      <c r="AS10" s="1299"/>
      <c r="AT10" s="2183"/>
      <c r="AU10" s="2183"/>
      <c r="AV10" s="1293"/>
      <c r="AW10" s="2166"/>
      <c r="AX10" s="1293"/>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3053</v>
      </c>
      <c r="D13" s="2214" t="s">
        <v>3055</v>
      </c>
      <c r="E13" s="16">
        <f>IF($C$3="是",ROUND($A$3*G13/$B$3,2),ROUND($A$3*(G13-AT13)/$B$3,2))</f>
        <v>424</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办公楼</v>
      </c>
      <c r="AY13" s="1806">
        <f>ROUND($AY$6*AZ13/$AZ$5,2)</f>
        <v>424</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51" t="s">
        <v>1936</v>
      </c>
      <c r="B2" s="3051"/>
      <c r="C2" s="3051"/>
      <c r="D2" s="970" t="s">
        <v>1912</v>
      </c>
      <c r="E2" s="2228" t="s">
        <v>1913</v>
      </c>
      <c r="F2" s="1393"/>
      <c r="G2" s="2229"/>
      <c r="H2" s="2230"/>
      <c r="I2" s="2231" t="s">
        <v>1937</v>
      </c>
      <c r="J2" s="1393"/>
      <c r="K2" s="1393"/>
      <c r="L2" s="1393"/>
      <c r="M2" s="1393"/>
      <c r="N2" s="1428"/>
      <c r="O2" s="1393"/>
      <c r="P2" s="1393"/>
    </row>
    <row r="3" spans="1:16" ht="15.75" thickBot="1">
      <c r="A3" s="3052" t="s">
        <v>1910</v>
      </c>
      <c r="B3" s="3052"/>
      <c r="C3" s="3052"/>
      <c r="D3" s="46">
        <f>'数据-基础表'!AY6</f>
        <v>424</v>
      </c>
      <c r="E3" s="46">
        <f>'数据-基础表'!AZ5</f>
        <v>1809.36</v>
      </c>
      <c r="F3" s="1393"/>
      <c r="G3" s="1400"/>
      <c r="H3" s="1248" t="s">
        <v>1911</v>
      </c>
      <c r="I3" s="55">
        <f>ROUND('数据-基础表'!B3/'数据-基础表'!A3,2)</f>
        <v>4.2699999999999996</v>
      </c>
      <c r="J3" s="1393"/>
      <c r="K3" s="1393"/>
      <c r="L3" s="1393"/>
      <c r="M3" s="1393"/>
      <c r="N3" s="1428"/>
      <c r="O3" s="1393"/>
      <c r="P3" s="1393"/>
    </row>
    <row r="4" spans="1:16" ht="15">
      <c r="A4" s="3053"/>
      <c r="B4" s="3054"/>
      <c r="C4" s="3055"/>
      <c r="D4" s="2232" t="s">
        <v>1912</v>
      </c>
      <c r="E4" s="2233" t="s">
        <v>1913</v>
      </c>
      <c r="F4" s="1393"/>
      <c r="G4" s="2234" t="s">
        <v>1938</v>
      </c>
      <c r="H4" s="1248" t="s">
        <v>1918</v>
      </c>
      <c r="I4" s="55">
        <f>ROUND(SUMIF('数据-基础表'!I9:AS9,"地上",'数据-基础表'!I5:AS5)/'数据-基础表'!A3,2)</f>
        <v>4.2699999999999996</v>
      </c>
      <c r="J4" s="1393"/>
      <c r="K4" s="1393"/>
      <c r="L4" s="1393"/>
      <c r="M4" s="1393"/>
      <c r="N4" s="1428"/>
      <c r="O4" s="1393"/>
      <c r="P4" s="1393"/>
    </row>
    <row r="5" spans="1:16">
      <c r="A5" s="47" t="s">
        <v>1914</v>
      </c>
      <c r="B5" s="3056" t="s">
        <v>1915</v>
      </c>
      <c r="C5" s="3056"/>
      <c r="D5" s="48">
        <f>ROUND($D$3*E5/$E$3,2)</f>
        <v>0</v>
      </c>
      <c r="E5" s="49">
        <f>SUMIF('数据-基础表'!$11:$11,"住宅",'数据-基础表'!$5:$5)</f>
        <v>0</v>
      </c>
      <c r="F5" s="1393"/>
      <c r="G5" s="1400"/>
      <c r="H5" s="1248" t="s">
        <v>1911</v>
      </c>
      <c r="I5" s="55">
        <f>ROUND(E31/D31,2)</f>
        <v>4.2699999999999996</v>
      </c>
      <c r="J5" s="1393"/>
      <c r="K5" s="1393"/>
      <c r="L5" s="1393"/>
      <c r="M5" s="1393"/>
      <c r="N5" s="1393"/>
      <c r="O5" s="1393"/>
      <c r="P5" s="1393"/>
    </row>
    <row r="6" spans="1:16" ht="15" thickBot="1">
      <c r="A6" s="2235"/>
      <c r="B6" s="3056" t="s">
        <v>1916</v>
      </c>
      <c r="C6" s="3056"/>
      <c r="D6" s="48">
        <f>ROUND($D$3*E6/$E$3,2)</f>
        <v>424</v>
      </c>
      <c r="E6" s="49">
        <f>E3-E5</f>
        <v>1809.36</v>
      </c>
      <c r="F6" s="1393"/>
      <c r="G6" s="2236" t="s">
        <v>1917</v>
      </c>
      <c r="H6" s="1400" t="s">
        <v>1918</v>
      </c>
      <c r="I6" s="942">
        <f>ROUND(F31/D31,2)</f>
        <v>4.2699999999999996</v>
      </c>
      <c r="J6" s="1393"/>
      <c r="K6" s="1393"/>
      <c r="L6" s="1393"/>
      <c r="M6" s="1393"/>
      <c r="N6" s="1393"/>
      <c r="O6" s="1393"/>
      <c r="P6" s="1393"/>
    </row>
    <row r="7" spans="1:16" ht="15">
      <c r="A7" s="3048"/>
      <c r="B7" s="3049"/>
      <c r="C7" s="3050"/>
      <c r="D7" s="2232" t="s">
        <v>1912</v>
      </c>
      <c r="E7" s="2237" t="s">
        <v>1919</v>
      </c>
      <c r="F7" s="1393"/>
      <c r="G7" s="2229" t="s">
        <v>1920</v>
      </c>
      <c r="H7" s="64"/>
      <c r="I7" s="420"/>
      <c r="J7" s="1393"/>
      <c r="K7" s="1393"/>
      <c r="L7" s="1393"/>
      <c r="M7" s="1393"/>
      <c r="N7" s="1393"/>
      <c r="O7" s="1393"/>
      <c r="P7" s="1393"/>
    </row>
    <row r="8" spans="1:16">
      <c r="A8" s="47" t="s">
        <v>1921</v>
      </c>
      <c r="B8" s="50" t="s">
        <v>1922</v>
      </c>
      <c r="C8" s="48" t="s">
        <v>1923</v>
      </c>
      <c r="D8" s="48">
        <f t="shared" ref="D8:D15" si="0">ROUND($D$3*E8/$E$3,2)</f>
        <v>424</v>
      </c>
      <c r="E8" s="51">
        <f>SUMIF('数据-基础表'!BB10:BK10,"地上",'数据-基础表'!BB5:BK5)</f>
        <v>1809.36</v>
      </c>
      <c r="F8" s="1393"/>
      <c r="G8" s="2238"/>
      <c r="H8" s="2238"/>
      <c r="I8" s="1393"/>
      <c r="J8" s="1393"/>
      <c r="K8" s="1393"/>
      <c r="L8" s="1393"/>
      <c r="M8" s="1393"/>
      <c r="N8" s="1393"/>
      <c r="O8" s="1393"/>
      <c r="P8" s="1393"/>
    </row>
    <row r="9" spans="1:16">
      <c r="A9" s="2239"/>
      <c r="B9" s="2240"/>
      <c r="C9" s="48" t="s">
        <v>1924</v>
      </c>
      <c r="D9" s="48">
        <f t="shared" si="0"/>
        <v>0</v>
      </c>
      <c r="E9" s="52">
        <v>0</v>
      </c>
      <c r="F9" s="1393"/>
      <c r="G9" s="2238"/>
      <c r="H9" s="2238"/>
      <c r="I9" s="1393"/>
      <c r="J9" s="1393"/>
      <c r="K9" s="1393"/>
      <c r="L9" s="1393"/>
      <c r="M9" s="1393"/>
      <c r="N9" s="1393"/>
      <c r="O9" s="1393"/>
      <c r="P9" s="1393"/>
    </row>
    <row r="10" spans="1:16">
      <c r="A10" s="2239"/>
      <c r="B10" s="2240"/>
      <c r="C10" s="48" t="s">
        <v>1933</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1925</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1926</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1927</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1939</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1934</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1928</v>
      </c>
      <c r="D16" s="50">
        <f>SUM(D8:D15)</f>
        <v>424</v>
      </c>
      <c r="E16" s="53">
        <f>SUM(E8:E15)</f>
        <v>1809.36</v>
      </c>
      <c r="F16" s="1393"/>
      <c r="G16" s="2238"/>
      <c r="H16" s="2241" t="s">
        <v>1940</v>
      </c>
      <c r="I16" s="2242"/>
      <c r="J16" s="1393"/>
      <c r="K16" s="3045" t="s">
        <v>1940</v>
      </c>
      <c r="L16" s="3046"/>
      <c r="M16" s="3046"/>
      <c r="N16" s="3046"/>
      <c r="O16" s="3046"/>
      <c r="P16" s="3047"/>
    </row>
    <row r="17" spans="1:19" ht="15">
      <c r="A17" s="2243" t="s">
        <v>1941</v>
      </c>
      <c r="B17" s="2244" t="s">
        <v>1942</v>
      </c>
      <c r="C17" s="2245" t="s">
        <v>1943</v>
      </c>
      <c r="D17" s="2246" t="s">
        <v>1931</v>
      </c>
      <c r="E17" s="2247" t="s">
        <v>1932</v>
      </c>
      <c r="F17" s="2248"/>
      <c r="G17" s="2249"/>
      <c r="H17" s="2250" t="s">
        <v>1944</v>
      </c>
      <c r="I17" s="2251" t="s">
        <v>1929</v>
      </c>
      <c r="J17" s="1393"/>
      <c r="K17" s="3042" t="s">
        <v>1945</v>
      </c>
      <c r="L17" s="3043"/>
      <c r="M17" s="3044"/>
      <c r="N17" s="3042" t="s">
        <v>1946</v>
      </c>
      <c r="O17" s="3043"/>
      <c r="P17" s="3044"/>
      <c r="R17" s="2229" t="s">
        <v>1947</v>
      </c>
      <c r="S17" s="64"/>
    </row>
    <row r="18" spans="1:19" ht="15">
      <c r="A18" s="2239"/>
      <c r="B18" s="2252"/>
      <c r="C18" s="2253"/>
      <c r="D18" s="2254"/>
      <c r="E18" s="2255" t="s">
        <v>1948</v>
      </c>
      <c r="F18" s="2256" t="s">
        <v>1949</v>
      </c>
      <c r="G18" s="2257" t="s">
        <v>1950</v>
      </c>
      <c r="H18" s="1263" t="s">
        <v>1951</v>
      </c>
      <c r="I18" s="2258" t="s">
        <v>1952</v>
      </c>
      <c r="J18" s="1393"/>
      <c r="K18" s="1263" t="s">
        <v>1953</v>
      </c>
      <c r="L18" s="2259" t="s">
        <v>1954</v>
      </c>
      <c r="M18" s="1049" t="s">
        <v>1955</v>
      </c>
      <c r="N18" s="1263" t="s">
        <v>1953</v>
      </c>
      <c r="O18" s="2259" t="s">
        <v>1954</v>
      </c>
      <c r="P18" s="1049" t="s">
        <v>1955</v>
      </c>
      <c r="R18" s="1248" t="s">
        <v>1956</v>
      </c>
      <c r="S18" s="1248" t="s">
        <v>1957</v>
      </c>
    </row>
    <row r="19" spans="1:19">
      <c r="A19" s="2260"/>
      <c r="B19" s="50" t="s">
        <v>1930</v>
      </c>
      <c r="C19" s="2946" t="s">
        <v>3056</v>
      </c>
      <c r="D19" s="48">
        <f>ROUND($D$3*E19/$E$3,2)</f>
        <v>424</v>
      </c>
      <c r="E19" s="56">
        <f t="shared" ref="E19:E26" si="1">SUM(F19:G19)</f>
        <v>1809.36</v>
      </c>
      <c r="F19" s="57">
        <f>'数据-基础表'!G5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424</v>
      </c>
      <c r="S19" s="1249">
        <f t="shared" si="5"/>
        <v>1809.36</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1958</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1958</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1958</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1958</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1959</v>
      </c>
      <c r="D27" s="1394">
        <f>SUM(D19:D26)</f>
        <v>424</v>
      </c>
      <c r="E27" s="1395">
        <f>IF(SUM(E19:E26)='数据-基础表'!BA5,SUM(E19:E26),IF(F27="地上面积有误","面积有误","地下面积有误"))</f>
        <v>1809.36</v>
      </c>
      <c r="F27" s="1394">
        <f>IF(SUM(F19:F26)=E8,SUM(F19:F26),"地上面积有误")</f>
        <v>1809.36</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424</v>
      </c>
      <c r="S27" s="1248">
        <f>IF(SUM(S19:S26)=$E$3,SUM(S19:S26),SUM(S19:S26)&amp;"误差"&amp;ROUND(SUM(S19:S26)-E3,2))</f>
        <v>1809.36</v>
      </c>
    </row>
    <row r="28" spans="1:19">
      <c r="A28" s="2264"/>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1960</v>
      </c>
      <c r="C29" s="2268"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1963</v>
      </c>
      <c r="D31" s="729">
        <f>D27+D30</f>
        <v>424</v>
      </c>
      <c r="E31" s="729">
        <f>E27+E30</f>
        <v>1809.36</v>
      </c>
      <c r="F31" s="730">
        <f>F27+F30</f>
        <v>1809.36</v>
      </c>
      <c r="G31" s="731">
        <f>G27+G30</f>
        <v>0</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1966</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3057</v>
      </c>
      <c r="O5" s="2297" t="s">
        <v>1986</v>
      </c>
      <c r="P5" s="2300" t="s">
        <v>1987</v>
      </c>
      <c r="Q5" s="69" t="s">
        <v>1988</v>
      </c>
      <c r="R5" s="2301" t="s">
        <v>1989</v>
      </c>
      <c r="S5" s="2302" t="s">
        <v>1990</v>
      </c>
      <c r="T5" s="2303" t="s">
        <v>1991</v>
      </c>
      <c r="U5" s="1268" t="s">
        <v>1992</v>
      </c>
      <c r="V5" s="1269" t="s">
        <v>1993</v>
      </c>
      <c r="W5" s="1269" t="s">
        <v>1994</v>
      </c>
      <c r="X5" s="71"/>
      <c r="Y5" s="70" t="s">
        <v>1995</v>
      </c>
      <c r="Z5" s="2304" t="s">
        <v>1992</v>
      </c>
      <c r="AA5" s="1269" t="s">
        <v>1993</v>
      </c>
      <c r="AB5" s="1269" t="s">
        <v>1994</v>
      </c>
      <c r="AC5" s="71"/>
      <c r="AD5" s="71" t="s">
        <v>1995</v>
      </c>
      <c r="AE5" s="1268" t="s">
        <v>1996</v>
      </c>
      <c r="AF5" s="1269" t="s">
        <v>1997</v>
      </c>
      <c r="AG5" s="70" t="s">
        <v>1998</v>
      </c>
      <c r="AH5" s="1268" t="s">
        <v>1999</v>
      </c>
      <c r="AI5" s="2304" t="s">
        <v>2000</v>
      </c>
      <c r="AJ5" s="2304" t="s">
        <v>2001</v>
      </c>
      <c r="AK5" s="1269" t="s">
        <v>2002</v>
      </c>
      <c r="AL5" s="1269" t="s">
        <v>2003</v>
      </c>
      <c r="AM5" s="70"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办公楼</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424</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37.28</v>
      </c>
      <c r="AF6" s="1804"/>
      <c r="AG6" s="147">
        <f>IF(AF6="",0,AE6-AF6)</f>
        <v>0</v>
      </c>
      <c r="AH6" s="83"/>
      <c r="AI6" s="85">
        <v>365</v>
      </c>
      <c r="AJ6" s="86"/>
      <c r="AK6" s="87">
        <v>1.4999999999999999E-2</v>
      </c>
      <c r="AL6" s="88">
        <v>1.5E-3</v>
      </c>
      <c r="AM6" s="89">
        <v>0.01</v>
      </c>
      <c r="AN6" s="2310" t="s">
        <v>3058</v>
      </c>
      <c r="AO6" s="55">
        <f ca="1">SUMIF(INDIRECT("'"&amp;AN6&amp;"'"&amp;"!A:A"),"总价",INDIRECT("'"&amp;AN6&amp;"'"&amp;"!B:B"))</f>
        <v>838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8"/>
      <c r="D16" s="2315"/>
      <c r="E16" s="97"/>
      <c r="F16" s="97"/>
      <c r="G16" s="98">
        <f>ROUND(SUMPRODUCT(G6:G13,K6:K13)/SUMPRODUCT((G6:G13&gt;0)*(K6:K13)),3)</f>
        <v>0.91800000000000004</v>
      </c>
      <c r="H16" s="99">
        <f>ROUND(SUMPRODUCT(H6:H13,K6:K13)/SUMPRODUCT((H6:H13&gt;0)*(K6:K13)),3)</f>
        <v>0.05</v>
      </c>
      <c r="I16" s="100"/>
      <c r="J16" s="100"/>
      <c r="K16" s="101">
        <f>SUM(K6:K15)</f>
        <v>1809.36</v>
      </c>
      <c r="L16" s="102">
        <f>ROUND(M16*10000/SUM(K6:K14),0)</f>
        <v>1597</v>
      </c>
      <c r="M16" s="102">
        <f>SUM(M6:M14)</f>
        <v>289</v>
      </c>
      <c r="N16" s="103">
        <f>ROUND(SUMPRODUCT(M6:M14,N6:N14)/M16,3)</f>
        <v>0.74</v>
      </c>
      <c r="O16" s="102">
        <f>SUM(O6:O14)</f>
        <v>0</v>
      </c>
      <c r="P16" s="102">
        <f>SUM(P6:P14)</f>
        <v>0</v>
      </c>
      <c r="Q16" s="104">
        <f>ROUND(SUMPRODUCT(Q6:Q13,K6:K13)/SUMPRODUCT((Q6:Q13&gt;0)*(K6:K13)),2)</f>
        <v>0.1</v>
      </c>
      <c r="R16" s="1256">
        <f ca="1">SUM(R6:R13)</f>
        <v>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2">
        <v>0</v>
      </c>
      <c r="C19" s="2278" t="s">
        <v>2017</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3">
        <v>1</v>
      </c>
      <c r="C20" s="2278" t="s">
        <v>2019</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6"/>
      <c r="C27" s="1765" t="s">
        <v>2028</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c r="C29" s="1765" t="s">
        <v>2031</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0.05</v>
      </c>
      <c r="C33" s="1764" t="s">
        <v>2036</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v>
      </c>
      <c r="C34" s="1764" t="s">
        <v>2038</v>
      </c>
      <c r="D34" s="2279" t="s">
        <v>2039</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4" t="s">
        <v>2041</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4" t="s">
        <v>2043</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4">
        <v>0.02</v>
      </c>
      <c r="C37" s="1764" t="s">
        <v>2045</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2">
        <v>0.02</v>
      </c>
      <c r="C38" s="1764" t="s">
        <v>2045</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4.3499999999999997E-2</v>
      </c>
      <c r="C40" s="1764" t="s">
        <v>2049</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8">
        <v>7.0000000000000007E-2</v>
      </c>
      <c r="C44" s="1764" t="s">
        <v>2054</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6">
        <v>0.03</v>
      </c>
      <c r="C45" s="1765" t="s">
        <v>2056</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6">
        <v>0.02</v>
      </c>
      <c r="C46" s="1765" t="s">
        <v>2058</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9">
        <v>2.9999999999999997E-4</v>
      </c>
      <c r="C47" s="1765" t="s">
        <v>2060</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30">
        <v>0.03</v>
      </c>
      <c r="C48" s="1771" t="s">
        <v>2062</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6">
        <v>5.0000000000000001E-4</v>
      </c>
      <c r="C49" s="1771" t="s">
        <v>2064</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965" t="s">
        <v>3128</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2080</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7"/>
      <c r="G2" s="2365" t="s">
        <v>2082</v>
      </c>
      <c r="H2" s="2368"/>
      <c r="I2" s="2368"/>
      <c r="J2" s="2368"/>
      <c r="K2" s="2368"/>
      <c r="L2" s="2368"/>
      <c r="M2" s="2368"/>
      <c r="N2" s="2368"/>
      <c r="O2" s="2368"/>
      <c r="P2" s="2368"/>
      <c r="Q2" s="2368"/>
      <c r="R2" s="2368"/>
    </row>
    <row r="3" spans="1:29" ht="54">
      <c r="A3" s="415" t="s">
        <v>2083</v>
      </c>
      <c r="B3" s="1269"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4"/>
      <c r="G8" s="1134"/>
      <c r="H8" s="2368"/>
      <c r="I8" s="2368"/>
      <c r="J8" s="2368"/>
      <c r="K8" s="2368"/>
      <c r="L8" s="2368"/>
      <c r="M8" s="2368"/>
      <c r="N8" s="2368"/>
      <c r="O8" s="2368"/>
      <c r="P8" s="2368"/>
      <c r="Q8" s="2368"/>
      <c r="R8" s="2368"/>
    </row>
    <row r="9" spans="1:29" ht="27">
      <c r="A9" s="431"/>
      <c r="B9" s="1795" t="s">
        <v>2101</v>
      </c>
      <c r="C9" s="2374" t="s">
        <v>2102</v>
      </c>
      <c r="D9" s="2371"/>
      <c r="E9" s="2377"/>
      <c r="F9" s="1134"/>
      <c r="G9" s="1134"/>
      <c r="H9" s="2368"/>
      <c r="I9" s="2368"/>
      <c r="J9" s="2368"/>
      <c r="K9" s="2368"/>
      <c r="L9" s="2368"/>
      <c r="M9" s="2368"/>
      <c r="N9" s="2368"/>
      <c r="O9" s="2368"/>
      <c r="P9" s="2368"/>
      <c r="Q9" s="2368"/>
      <c r="R9" s="2368"/>
    </row>
    <row r="10" spans="1:29" s="117" customFormat="1" ht="15.75" thickBot="1">
      <c r="A10" s="2381"/>
      <c r="B10" s="2382" t="s">
        <v>2103</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8" t="s">
        <v>2084</v>
      </c>
      <c r="C15" s="2403" t="str">
        <f>C3</f>
        <v>估价对象周边居住用地比例、居住小区规模和社区发展完善程度，综合评价居住社区成熟度一般</v>
      </c>
      <c r="D15" s="2371"/>
      <c r="E15" s="2404" t="s">
        <v>2108</v>
      </c>
      <c r="F15" s="1268"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70"/>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70"/>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70"/>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35" sqref="H3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1809.36</v>
      </c>
      <c r="C1" s="1743"/>
      <c r="D1" s="1743"/>
      <c r="E1" s="1743"/>
      <c r="F1" s="1743"/>
      <c r="G1" s="1741"/>
    </row>
    <row r="2" spans="1:10" ht="16.5">
      <c r="A2" s="1744" t="s">
        <v>1349</v>
      </c>
      <c r="B2" s="1744">
        <f>SUM(C14:C23)</f>
        <v>424</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795</v>
      </c>
      <c r="C5" s="1744">
        <f ca="1">ROUND(B5*10000/$B$1,0)</f>
        <v>4394</v>
      </c>
      <c r="D5" s="1744">
        <f ca="1">ROUND(B5*10000/$B$2,0)</f>
        <v>18750</v>
      </c>
      <c r="E5" s="1743"/>
      <c r="F5" s="1741"/>
      <c r="G5" s="1741"/>
    </row>
    <row r="6" spans="1:10" ht="16.5">
      <c r="A6" s="1744" t="s">
        <v>1352</v>
      </c>
      <c r="B6" s="1744">
        <f ca="1">SUM(G14:G23)</f>
        <v>795</v>
      </c>
      <c r="C6" s="1744">
        <f ca="1">ROUND(B6*10000/$B$1,0)</f>
        <v>4394</v>
      </c>
      <c r="D6" s="1744">
        <f ca="1">ROUND(B6*10000/$B$2,0)</f>
        <v>18750</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1809.36</v>
      </c>
      <c r="C14" s="1742">
        <f>结果表!C118</f>
        <v>424</v>
      </c>
      <c r="D14" s="1742">
        <f ca="1">结果表!H118</f>
        <v>795</v>
      </c>
      <c r="E14" s="1742">
        <f ca="1">ROUND(D14*10000/B14,0)</f>
        <v>4394</v>
      </c>
      <c r="F14" s="1742">
        <f ca="1">ROUND(D14*10000/C14,0)</f>
        <v>18750</v>
      </c>
      <c r="G14" s="1742">
        <f ca="1">结果表!D122</f>
        <v>795</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2117</v>
      </c>
      <c r="B1" s="2419"/>
      <c r="C1" s="2420" t="s">
        <v>3052</v>
      </c>
      <c r="D1" s="2419"/>
      <c r="E1" s="2419"/>
      <c r="F1" s="2421" t="s">
        <v>2118</v>
      </c>
      <c r="G1" s="2071" t="s">
        <v>3097</v>
      </c>
      <c r="H1" s="2422" t="str">
        <f>IF(G1="现房","——","估价对象范围")</f>
        <v>——</v>
      </c>
      <c r="I1" s="2423"/>
    </row>
    <row r="2" spans="1:12" ht="21.75" customHeight="1" thickBot="1">
      <c r="A2" s="3092" t="str">
        <f>项目基本情况!S2</f>
        <v>房地产</v>
      </c>
      <c r="B2" s="3093"/>
      <c r="C2" s="3093"/>
      <c r="D2" s="3093"/>
      <c r="E2" s="3093"/>
      <c r="F2" s="3093"/>
      <c r="G2" s="3093"/>
      <c r="H2" s="3093"/>
      <c r="I2" s="3094"/>
    </row>
    <row r="3" spans="1:12" ht="12.75">
      <c r="A3" s="3096" t="s">
        <v>2119</v>
      </c>
      <c r="B3" s="3097"/>
      <c r="C3" s="3097"/>
      <c r="D3" s="3097"/>
      <c r="E3" s="3097"/>
      <c r="F3" s="3097"/>
      <c r="G3" s="3097"/>
      <c r="H3" s="3097"/>
      <c r="I3" s="3097"/>
    </row>
    <row r="4" spans="1:12" ht="14.25">
      <c r="A4" s="2426" t="s">
        <v>2120</v>
      </c>
      <c r="B4" s="2427" t="s">
        <v>2121</v>
      </c>
      <c r="C4" s="2428" t="s">
        <v>3058</v>
      </c>
      <c r="D4" s="2428" t="s">
        <v>3098</v>
      </c>
      <c r="E4" s="3089" t="s">
        <v>2122</v>
      </c>
      <c r="F4" s="3090"/>
      <c r="G4" s="3090"/>
      <c r="H4" s="3090"/>
      <c r="I4" s="3098"/>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072" t="s">
        <v>2123</v>
      </c>
      <c r="B5" s="3010">
        <v>25</v>
      </c>
      <c r="C5" s="3075"/>
      <c r="D5" s="3095"/>
      <c r="E5" s="140" t="s">
        <v>2124</v>
      </c>
      <c r="F5" s="2430"/>
      <c r="G5" s="2430"/>
      <c r="H5" s="2430"/>
      <c r="I5" s="1831"/>
    </row>
    <row r="6" spans="1:12" ht="12.75">
      <c r="A6" s="3072"/>
      <c r="B6" s="3010"/>
      <c r="C6" s="3076"/>
      <c r="D6" s="3095"/>
      <c r="E6" s="140" t="s">
        <v>2125</v>
      </c>
      <c r="F6" s="2430"/>
      <c r="G6" s="2430"/>
      <c r="H6" s="2430"/>
      <c r="I6" s="1831"/>
    </row>
    <row r="7" spans="1:12" ht="12.75">
      <c r="A7" s="3072"/>
      <c r="B7" s="3010"/>
      <c r="C7" s="3077"/>
      <c r="D7" s="3095"/>
      <c r="E7" s="140" t="s">
        <v>2126</v>
      </c>
      <c r="F7" s="2430"/>
      <c r="G7" s="2430"/>
      <c r="H7" s="2430"/>
      <c r="I7" s="1831"/>
    </row>
    <row r="8" spans="1:12" ht="12.75">
      <c r="A8" s="3072" t="s">
        <v>2127</v>
      </c>
      <c r="B8" s="3010">
        <v>15</v>
      </c>
      <c r="C8" s="3075"/>
      <c r="D8" s="3095"/>
      <c r="E8" s="140" t="s">
        <v>2128</v>
      </c>
      <c r="F8" s="2430"/>
      <c r="G8" s="2430"/>
      <c r="H8" s="2430"/>
      <c r="I8" s="1831"/>
    </row>
    <row r="9" spans="1:12" ht="12.75">
      <c r="A9" s="3072"/>
      <c r="B9" s="3010"/>
      <c r="C9" s="3077"/>
      <c r="D9" s="3095"/>
      <c r="E9" s="140" t="s">
        <v>2129</v>
      </c>
      <c r="F9" s="2430"/>
      <c r="G9" s="2430"/>
      <c r="H9" s="2430"/>
      <c r="I9" s="1831"/>
    </row>
    <row r="10" spans="1:12" ht="12.75">
      <c r="A10" s="3072" t="s">
        <v>2130</v>
      </c>
      <c r="B10" s="3010">
        <v>15</v>
      </c>
      <c r="C10" s="3075"/>
      <c r="D10" s="3095"/>
      <c r="E10" s="140" t="s">
        <v>2131</v>
      </c>
      <c r="F10" s="2430"/>
      <c r="G10" s="2430"/>
      <c r="H10" s="2430"/>
      <c r="I10" s="1831"/>
    </row>
    <row r="11" spans="1:12" ht="12.75">
      <c r="A11" s="3072"/>
      <c r="B11" s="3010"/>
      <c r="C11" s="3077"/>
      <c r="D11" s="3095"/>
      <c r="E11" s="140" t="s">
        <v>2132</v>
      </c>
      <c r="F11" s="2430"/>
      <c r="G11" s="2430"/>
      <c r="H11" s="2430"/>
      <c r="I11" s="1831"/>
    </row>
    <row r="12" spans="1:12" ht="12.75">
      <c r="A12" s="3072" t="s">
        <v>2133</v>
      </c>
      <c r="B12" s="3010">
        <v>15</v>
      </c>
      <c r="C12" s="3075"/>
      <c r="D12" s="3095"/>
      <c r="E12" s="140" t="s">
        <v>2134</v>
      </c>
      <c r="F12" s="2430"/>
      <c r="G12" s="2430"/>
      <c r="H12" s="2430"/>
      <c r="I12" s="1831"/>
    </row>
    <row r="13" spans="1:12" ht="12.75">
      <c r="A13" s="3072"/>
      <c r="B13" s="3010"/>
      <c r="C13" s="3077"/>
      <c r="D13" s="3095"/>
      <c r="E13" s="140" t="s">
        <v>2135</v>
      </c>
      <c r="F13" s="2430"/>
      <c r="G13" s="2430"/>
      <c r="H13" s="2430"/>
      <c r="I13" s="1831"/>
    </row>
    <row r="14" spans="1:12" ht="12.75">
      <c r="A14" s="3072" t="s">
        <v>2136</v>
      </c>
      <c r="B14" s="3010">
        <v>30</v>
      </c>
      <c r="C14" s="3075">
        <v>5</v>
      </c>
      <c r="D14" s="3095">
        <v>5</v>
      </c>
      <c r="E14" s="140" t="s">
        <v>2137</v>
      </c>
      <c r="F14" s="2430"/>
      <c r="G14" s="2430"/>
      <c r="H14" s="2430"/>
      <c r="I14" s="1831"/>
    </row>
    <row r="15" spans="1:12" ht="12.75">
      <c r="A15" s="3072"/>
      <c r="B15" s="3010"/>
      <c r="C15" s="3076"/>
      <c r="D15" s="3095"/>
      <c r="E15" s="140" t="s">
        <v>2138</v>
      </c>
      <c r="F15" s="2430"/>
      <c r="G15" s="2430"/>
      <c r="H15" s="2430"/>
      <c r="I15" s="1831"/>
    </row>
    <row r="16" spans="1:12" ht="12.75">
      <c r="A16" s="3072"/>
      <c r="B16" s="3010"/>
      <c r="C16" s="3077"/>
      <c r="D16" s="3095"/>
      <c r="E16" s="140" t="s">
        <v>2139</v>
      </c>
      <c r="F16" s="2430"/>
      <c r="G16" s="2430"/>
      <c r="H16" s="2430"/>
      <c r="I16" s="1831"/>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1809.36</v>
      </c>
      <c r="M18" s="2429">
        <f>IF(C1="",'数据-汇总表'!E3,SUMIF(项目类型,C1,'数据-汇总表'!E17:E26))</f>
        <v>1809.36</v>
      </c>
    </row>
    <row r="19" spans="1:35" ht="15">
      <c r="A19" s="2435" t="s">
        <v>2145</v>
      </c>
      <c r="B19" s="2436" t="s">
        <v>2146</v>
      </c>
      <c r="C19" s="143">
        <f ca="1">SUMIF(INDIRECT("'"&amp;C4&amp;"'"&amp;"!A:A"),结果表!B19,INDIRECT("'"&amp;C4&amp;"'"&amp;"!B:B"))</f>
        <v>838</v>
      </c>
      <c r="D19" s="144">
        <f ca="1">SUMIF(INDIRECT("'"&amp;D4&amp;"'"&amp;"!A:A"),结果表!B19,INDIRECT("'"&amp;D4&amp;"'"&amp;"!B:B"))</f>
        <v>751</v>
      </c>
      <c r="E19" s="2435" t="s">
        <v>2147</v>
      </c>
      <c r="F19" s="2436" t="s">
        <v>2146</v>
      </c>
      <c r="G19" s="145">
        <f ca="1">ROUND(C19*$C$18+D19*$D$18,0)</f>
        <v>795</v>
      </c>
      <c r="H19" s="2437" t="s">
        <v>2148</v>
      </c>
      <c r="I19" s="138"/>
      <c r="K19" s="2429" t="s">
        <v>2149</v>
      </c>
      <c r="L19" s="2429">
        <f>IF(C1="",'数据-汇总表'!D3,SUMIF(项目类型,C1,'数据-汇总表'!D17:D26)+SUMIF(项目类型,C1,'数据-汇总表'!H17:H27))</f>
        <v>424</v>
      </c>
      <c r="M19" s="2429">
        <f>IF(C1="",'数据-汇总表'!D3,SUMIF(项目类型,C1,'数据-汇总表'!D17:D26))</f>
        <v>424</v>
      </c>
    </row>
    <row r="20" spans="1:35" ht="15">
      <c r="A20" s="2438"/>
      <c r="B20" s="1248" t="s">
        <v>2150</v>
      </c>
      <c r="C20" s="146">
        <f ca="1">SUMIF(INDIRECT("'"&amp;C4&amp;"'"&amp;"!A:A"),结果表!B20,INDIRECT("'"&amp;C4&amp;"'"&amp;"!B:B"))</f>
        <v>4631</v>
      </c>
      <c r="D20" s="147">
        <f ca="1">SUMIF(INDIRECT("'"&amp;D4&amp;"'"&amp;"!A:A"),结果表!B20,INDIRECT("'"&amp;D4&amp;"'"&amp;"!B:B"))</f>
        <v>4149</v>
      </c>
      <c r="E20" s="2438"/>
      <c r="F20" s="1248" t="s">
        <v>2150</v>
      </c>
      <c r="G20" s="148">
        <f ca="1">ROUND(C20*$C$18+D20*$D$18,0)</f>
        <v>4390</v>
      </c>
      <c r="H20" s="983" t="s">
        <v>2151</v>
      </c>
      <c r="I20" s="138"/>
    </row>
    <row r="21" spans="1:35" ht="15" customHeight="1" thickBot="1">
      <c r="A21" s="1003"/>
      <c r="B21" s="2439" t="s">
        <v>2152</v>
      </c>
      <c r="C21" s="789">
        <f ca="1">ROUND(C19*10000/L19,0)</f>
        <v>19764</v>
      </c>
      <c r="D21" s="790">
        <f ca="1">ROUND(D19*10000/L19,0)</f>
        <v>17712</v>
      </c>
      <c r="E21" s="1003"/>
      <c r="F21" s="2439" t="s">
        <v>2152</v>
      </c>
      <c r="G21" s="149">
        <f ca="1">ROUND(G19*10000/L19,0)</f>
        <v>18750</v>
      </c>
      <c r="H21" s="2440" t="s">
        <v>2151</v>
      </c>
      <c r="I21" s="138"/>
    </row>
    <row r="22" spans="1:35" ht="15" thickBot="1">
      <c r="A22" s="2282" t="s">
        <v>2153</v>
      </c>
      <c r="B22" s="2441"/>
      <c r="C22" s="2442"/>
      <c r="D22" s="791">
        <f ca="1">IF(C19&lt;D19,D19/C19-1,C19/D19-1)</f>
        <v>0.11584553928095875</v>
      </c>
      <c r="E22" s="138"/>
      <c r="F22" s="138"/>
      <c r="G22" s="138"/>
      <c r="H22" s="138"/>
      <c r="I22" s="138"/>
    </row>
    <row r="23" spans="1:35" ht="13.5" thickBot="1">
      <c r="A23" s="2419"/>
      <c r="B23" s="2419"/>
      <c r="C23" s="2419"/>
      <c r="D23" s="2419"/>
      <c r="E23" s="138"/>
      <c r="F23" s="138"/>
      <c r="G23" s="138"/>
      <c r="H23" s="138"/>
      <c r="I23" s="138"/>
    </row>
    <row r="24" spans="1:35" ht="14.25">
      <c r="A24" s="3066" t="s">
        <v>2154</v>
      </c>
      <c r="B24" s="2436" t="s">
        <v>2146</v>
      </c>
      <c r="C24" s="145">
        <f>IF(B30=0,0,D30)</f>
        <v>0</v>
      </c>
      <c r="D24" s="2443"/>
      <c r="E24" s="138"/>
      <c r="F24" s="138"/>
      <c r="G24" s="138"/>
      <c r="H24" s="138"/>
      <c r="I24" s="138"/>
    </row>
    <row r="25" spans="1:35" ht="14.25">
      <c r="A25" s="3067"/>
      <c r="B25" s="1248"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26" t="s">
        <v>3032</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795</v>
      </c>
      <c r="D32" s="2450" t="s">
        <v>2161</v>
      </c>
      <c r="E32" s="138"/>
      <c r="F32" s="138"/>
      <c r="G32" s="138"/>
      <c r="H32" s="138"/>
      <c r="I32" s="138"/>
    </row>
    <row r="33" spans="1:15" ht="15">
      <c r="A33" s="960" t="s">
        <v>2162</v>
      </c>
      <c r="B33" s="2451"/>
      <c r="C33" s="2452" t="s">
        <v>3099</v>
      </c>
      <c r="D33" s="2453" t="s">
        <v>3098</v>
      </c>
      <c r="E33" s="2454" t="s">
        <v>2163</v>
      </c>
      <c r="F33" s="2455" t="str">
        <f>IF(D32="楼面单价","取值（单价）","取值（总价）")</f>
        <v>取值（总价）</v>
      </c>
      <c r="G33" s="138"/>
      <c r="H33" s="138"/>
      <c r="I33" s="138"/>
    </row>
    <row r="34" spans="1:15" ht="15">
      <c r="A34" s="2456"/>
      <c r="B34" s="2457" t="s">
        <v>2164</v>
      </c>
      <c r="C34" s="157">
        <f ca="1">IF(C33="自定义",F34,C32-C35)</f>
        <v>795</v>
      </c>
      <c r="D34" s="1058">
        <f ca="1">IF(C33="自定义",ROUND(C34/C32,3),IF(C33="收益比率",SUMIF(INDIRECT("'"&amp;D33&amp;"'"&amp;"!b:b"),"土地收益比率",INDIRECT("'"&amp;D33&amp;"'"&amp;"!c:c")),SUMIF(INDIRECT("'"&amp;D33&amp;"'"&amp;"!b:b"),"土地成本比率",INDIRECT("'"&amp;D33&amp;"'"&amp;"!c:c"))))</f>
        <v>0</v>
      </c>
      <c r="E34" s="2458" t="s">
        <v>2165</v>
      </c>
      <c r="F34" s="1737"/>
      <c r="G34" s="138"/>
      <c r="H34" s="138"/>
      <c r="I34" s="138"/>
    </row>
    <row r="35" spans="1:15" ht="15.75" thickBot="1">
      <c r="A35" s="2459"/>
      <c r="B35" s="2460" t="s">
        <v>2166</v>
      </c>
      <c r="C35" s="1442">
        <f ca="1">IF(C33="自定义",F35,ROUND(C32*D35,0))</f>
        <v>0</v>
      </c>
      <c r="D35" s="1443">
        <f ca="1">IF(C33="自定义",ROUND(C35/C32,3),IF(C33="收益比率",SUMIF(INDIRECT("'"&amp;D33&amp;"'"&amp;"!b:b"),"建筑物收益比率",INDIRECT("'"&amp;D33&amp;"'"&amp;"!c:c")),SUMIF(INDIRECT("'"&amp;D33&amp;"'"&amp;"!b:b"),"建筑物成本比率",INDIRECT("'"&amp;D33&amp;"'"&amp;"!c:c"))))</f>
        <v>0</v>
      </c>
      <c r="E35" s="2461" t="s">
        <v>2167</v>
      </c>
      <c r="F35" s="163"/>
      <c r="G35" s="138"/>
      <c r="H35" s="138"/>
      <c r="I35" s="138"/>
    </row>
    <row r="36" spans="1:15" ht="15.75" thickBot="1">
      <c r="A36" s="3084" t="s">
        <v>2168</v>
      </c>
      <c r="B36" s="2462" t="s">
        <v>2169</v>
      </c>
      <c r="C36" s="154"/>
      <c r="D36" s="2463"/>
      <c r="E36" s="2464"/>
      <c r="F36" s="2465"/>
      <c r="G36" s="138"/>
      <c r="H36" s="138"/>
      <c r="I36" s="138"/>
    </row>
    <row r="37" spans="1:15" ht="15.75" thickBot="1">
      <c r="A37" s="3085"/>
      <c r="B37" s="2268" t="s">
        <v>2170</v>
      </c>
      <c r="C37" s="156"/>
      <c r="D37" s="1393"/>
      <c r="E37" s="1393"/>
      <c r="F37" s="2465"/>
      <c r="G37" s="138"/>
      <c r="H37" s="138"/>
      <c r="I37" s="138"/>
    </row>
    <row r="38" spans="1:15" ht="15.75" thickBot="1">
      <c r="A38" s="3086"/>
      <c r="B38" s="2466" t="s">
        <v>2171</v>
      </c>
      <c r="C38" s="727"/>
      <c r="D38" s="2467" t="s">
        <v>2172</v>
      </c>
      <c r="E38" s="1393"/>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63" t="s">
        <v>2182</v>
      </c>
      <c r="B45" s="3064"/>
      <c r="C45" s="3065"/>
      <c r="D45" s="164">
        <f ca="1">ROUND(H101*F45,0)</f>
        <v>795</v>
      </c>
      <c r="E45" s="165" t="s">
        <v>2183</v>
      </c>
      <c r="F45" s="166">
        <v>1</v>
      </c>
      <c r="G45" s="167" t="s">
        <v>2184</v>
      </c>
      <c r="H45" s="138"/>
      <c r="I45" s="138"/>
      <c r="J45" s="3123" t="s">
        <v>2185</v>
      </c>
      <c r="K45" s="3123"/>
      <c r="L45" s="3123"/>
      <c r="M45" s="3123"/>
      <c r="N45" s="3123"/>
      <c r="O45" s="3123"/>
    </row>
    <row r="46" spans="1:15" ht="14.25" customHeight="1">
      <c r="A46" s="3060" t="s">
        <v>2186</v>
      </c>
      <c r="B46" s="3061"/>
      <c r="C46" s="3061"/>
      <c r="D46" s="3061"/>
      <c r="E46" s="3061"/>
      <c r="F46" s="3061"/>
      <c r="G46" s="3062"/>
      <c r="H46" s="2481"/>
      <c r="I46" s="168"/>
      <c r="J46" s="1809">
        <v>1</v>
      </c>
      <c r="K46" s="3123" t="s">
        <v>2187</v>
      </c>
      <c r="L46" s="3123"/>
      <c r="M46" s="3143"/>
      <c r="N46" s="3143"/>
      <c r="O46" s="3143"/>
    </row>
    <row r="47" spans="1:15" ht="12" customHeight="1">
      <c r="A47" s="169" t="s">
        <v>2188</v>
      </c>
      <c r="B47" s="170"/>
      <c r="C47" s="171"/>
      <c r="D47" s="172" t="s">
        <v>2189</v>
      </c>
      <c r="E47" s="24" t="s">
        <v>2190</v>
      </c>
      <c r="F47" s="173" t="s">
        <v>2191</v>
      </c>
      <c r="G47" s="174" t="s">
        <v>2192</v>
      </c>
      <c r="H47" s="2481"/>
      <c r="I47" s="168"/>
      <c r="J47" s="1809">
        <v>2</v>
      </c>
      <c r="K47" s="3123" t="s">
        <v>2193</v>
      </c>
      <c r="L47" s="3123"/>
      <c r="M47" s="3144">
        <f>'数据-取费表'!B2</f>
        <v>43551</v>
      </c>
      <c r="N47" s="3144"/>
      <c r="O47" s="3144"/>
    </row>
    <row r="48" spans="1:15" ht="25.5">
      <c r="A48" s="3091" t="s">
        <v>2194</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123" t="s">
        <v>2197</v>
      </c>
      <c r="L48" s="3123"/>
      <c r="M48" s="3145">
        <f ca="1">H101</f>
        <v>795</v>
      </c>
      <c r="N48" s="3145"/>
      <c r="O48" s="3145"/>
    </row>
    <row r="49" spans="1:35" ht="25.5" customHeight="1">
      <c r="A49" s="176" t="s">
        <v>2198</v>
      </c>
      <c r="B49" s="3059" t="s">
        <v>2199</v>
      </c>
      <c r="C49" s="3059"/>
      <c r="D49" s="177">
        <v>0</v>
      </c>
      <c r="E49" s="23" t="s">
        <v>2200</v>
      </c>
      <c r="F49" s="28" t="s">
        <v>34</v>
      </c>
      <c r="G49" s="3129"/>
      <c r="H49" s="138"/>
      <c r="I49" s="2484"/>
      <c r="J49" s="1809">
        <v>4</v>
      </c>
      <c r="K49" s="3123" t="str">
        <f>IF(项目基本情况!E8="房地产抵押价值","房地产抵押价值","抵押担保权已注销时的房地产抵押价值")</f>
        <v>房地产抵押价值</v>
      </c>
      <c r="L49" s="3123"/>
      <c r="M49" s="3145">
        <f ca="1">IF(项目基本情况!E8="房地产抵押价值",H107,H109)</f>
        <v>795</v>
      </c>
      <c r="N49" s="3145"/>
      <c r="O49" s="3145"/>
    </row>
    <row r="50" spans="1:35" ht="25.5" customHeight="1">
      <c r="A50" s="178"/>
      <c r="B50" s="3059" t="s">
        <v>2201</v>
      </c>
      <c r="C50" s="3059"/>
      <c r="D50" s="179"/>
      <c r="E50" s="31"/>
      <c r="F50" s="180"/>
      <c r="G50" s="3130"/>
      <c r="H50" s="138"/>
      <c r="I50" s="2484"/>
      <c r="J50" s="3123" t="s">
        <v>2202</v>
      </c>
      <c r="K50" s="3123"/>
      <c r="L50" s="3123"/>
      <c r="M50" s="3123"/>
      <c r="N50" s="3123"/>
      <c r="O50" s="3123"/>
    </row>
    <row r="51" spans="1:35" ht="12" customHeight="1">
      <c r="A51" s="181"/>
      <c r="B51" s="3059" t="s">
        <v>2203</v>
      </c>
      <c r="C51" s="3059"/>
      <c r="D51" s="182"/>
      <c r="E51" s="30"/>
      <c r="F51" s="180"/>
      <c r="G51" s="3131"/>
      <c r="H51" s="138"/>
      <c r="I51" s="2484"/>
      <c r="J51" s="2485" t="s">
        <v>2204</v>
      </c>
      <c r="K51" s="3123" t="s">
        <v>2205</v>
      </c>
      <c r="L51" s="3123"/>
      <c r="M51" s="2485" t="s">
        <v>2206</v>
      </c>
      <c r="N51" s="2485" t="s">
        <v>2207</v>
      </c>
      <c r="O51" s="2485" t="s">
        <v>2208</v>
      </c>
    </row>
    <row r="52" spans="1:35" ht="24" customHeight="1">
      <c r="A52" s="183" t="s">
        <v>2209</v>
      </c>
      <c r="B52" s="3059" t="s">
        <v>2210</v>
      </c>
      <c r="C52" s="3059"/>
      <c r="D52" s="182">
        <f ca="1">ROUND(D45*'数据-取费表'!B41/(1+'数据-取费表'!C42),0)</f>
        <v>43</v>
      </c>
      <c r="E52" s="11" t="s">
        <v>2211</v>
      </c>
      <c r="F52" s="184">
        <f>'数据-取费表'!B41</f>
        <v>5.6300000000000003E-2</v>
      </c>
      <c r="G52" s="2486"/>
      <c r="H52" s="138"/>
      <c r="I52" s="2484"/>
      <c r="J52" s="1809">
        <v>1</v>
      </c>
      <c r="K52" s="3124" t="s">
        <v>2212</v>
      </c>
      <c r="L52" s="3124"/>
      <c r="M52" s="1752">
        <f>D48</f>
        <v>0</v>
      </c>
      <c r="N52" s="1809" t="str">
        <f>E48</f>
        <v>销售额×税（费）率</v>
      </c>
      <c r="O52" s="1753" t="str">
        <f>F48</f>
        <v>免征</v>
      </c>
    </row>
    <row r="53" spans="1:35" ht="12" customHeight="1">
      <c r="A53" s="183" t="s">
        <v>2213</v>
      </c>
      <c r="B53" s="3082" t="s">
        <v>2214</v>
      </c>
      <c r="C53" s="3083"/>
      <c r="D53" s="182">
        <f ca="1">ROUND(D45*'数据-取费表'!B41/(1+'数据-取费表'!C42),0)</f>
        <v>43</v>
      </c>
      <c r="E53" s="11" t="s">
        <v>2211</v>
      </c>
      <c r="F53" s="184">
        <f>'数据-取费表'!B41</f>
        <v>5.6300000000000003E-2</v>
      </c>
      <c r="G53" s="2486"/>
      <c r="H53" s="138"/>
      <c r="I53" s="2484"/>
      <c r="J53" s="1809">
        <v>2</v>
      </c>
      <c r="K53" s="3124" t="s">
        <v>2215</v>
      </c>
      <c r="L53" s="3124"/>
      <c r="M53" s="1752">
        <f t="shared" ref="M53:O54" ca="1" si="0">D55</f>
        <v>0</v>
      </c>
      <c r="N53" s="1809" t="str">
        <f t="shared" si="0"/>
        <v>销售额×税（费）率</v>
      </c>
      <c r="O53" s="1753">
        <f t="shared" si="0"/>
        <v>5.0000000000000001E-4</v>
      </c>
    </row>
    <row r="54" spans="1:35" ht="12" customHeight="1">
      <c r="A54" s="183" t="s">
        <v>2216</v>
      </c>
      <c r="B54" s="3082" t="s">
        <v>2217</v>
      </c>
      <c r="C54" s="3083"/>
      <c r="D54" s="182">
        <f ca="1">C68</f>
        <v>43</v>
      </c>
      <c r="E54" s="30" t="s">
        <v>2218</v>
      </c>
      <c r="F54" s="184">
        <f>'数据-取费表'!B41</f>
        <v>5.6300000000000003E-2</v>
      </c>
      <c r="G54" s="2486"/>
      <c r="H54" s="2487"/>
      <c r="I54" s="2484"/>
      <c r="J54" s="1809">
        <v>3</v>
      </c>
      <c r="K54" s="3124" t="s">
        <v>2219</v>
      </c>
      <c r="L54" s="3124"/>
      <c r="M54" s="1752">
        <f t="shared" ca="1" si="0"/>
        <v>449</v>
      </c>
      <c r="N54" s="1809" t="str">
        <f t="shared" si="0"/>
        <v>增值额×税（费）率</v>
      </c>
      <c r="O54" s="1754" t="str">
        <f t="shared" si="0"/>
        <v>——</v>
      </c>
    </row>
    <row r="55" spans="1:35" ht="24" customHeight="1">
      <c r="A55" s="3073" t="s">
        <v>2220</v>
      </c>
      <c r="B55" s="3074"/>
      <c r="C55" s="3074"/>
      <c r="D55" s="185">
        <f ca="1">IF(H55="个人住宅",0,ROUND(D45*I55,0))</f>
        <v>0</v>
      </c>
      <c r="E55" s="11" t="s">
        <v>2221</v>
      </c>
      <c r="F55" s="184">
        <f>IF(H55="正常",I55,"免征")</f>
        <v>5.0000000000000001E-4</v>
      </c>
      <c r="G55" s="2486"/>
      <c r="H55" s="2483" t="s">
        <v>2222</v>
      </c>
      <c r="I55" s="186">
        <f>'数据-取费表'!B49</f>
        <v>5.0000000000000001E-4</v>
      </c>
      <c r="J55" s="1809" t="str">
        <f>IF(H59="非个人房产","",4)</f>
        <v/>
      </c>
      <c r="K55" s="3124" t="str">
        <f>IF(H59="非个人房产","——","个人所得税")</f>
        <v>——</v>
      </c>
      <c r="L55" s="3124"/>
      <c r="M55" s="1755" t="str">
        <f>D59</f>
        <v>——</v>
      </c>
      <c r="N55" s="1807" t="str">
        <f>E59</f>
        <v>——</v>
      </c>
      <c r="O55" s="1756" t="str">
        <f>F59</f>
        <v>——</v>
      </c>
    </row>
    <row r="56" spans="1:35" ht="24.75">
      <c r="A56" s="3073" t="s">
        <v>2223</v>
      </c>
      <c r="B56" s="3074"/>
      <c r="C56" s="3074"/>
      <c r="D56" s="185">
        <f ca="1">IF(H56="个人住宅",D57,D58)</f>
        <v>449</v>
      </c>
      <c r="E56" s="11" t="s">
        <v>2224</v>
      </c>
      <c r="F56" s="184" t="str">
        <f>IF(H56="正常",F58,"免征")</f>
        <v>——</v>
      </c>
      <c r="G56" s="2488" t="s">
        <v>2225</v>
      </c>
      <c r="H56" s="2489" t="s">
        <v>2222</v>
      </c>
      <c r="I56" s="2490"/>
      <c r="J56" s="1809" t="str">
        <f>IF(项目基本情况!K6="上海银行",IF(J55="",4,J55+1),"")</f>
        <v/>
      </c>
      <c r="K56" s="3147" t="str">
        <f>IF(项目基本情况!K6="上海银行","其他处置费用","")</f>
        <v/>
      </c>
      <c r="L56" s="3148"/>
      <c r="M56" s="1752" t="str">
        <f>IF(项目基本情况!K6="上海银行",M69,"")</f>
        <v/>
      </c>
      <c r="N56" s="3150" t="str">
        <f>IF(项目基本情况!K6="上海银行","包含处置中涉及的律师、诉讼、拍卖、评估等费用","")</f>
        <v/>
      </c>
      <c r="O56" s="3151"/>
    </row>
    <row r="57" spans="1:35" ht="12.75">
      <c r="A57" s="183" t="s">
        <v>2198</v>
      </c>
      <c r="B57" s="3089" t="s">
        <v>2226</v>
      </c>
      <c r="C57" s="3098"/>
      <c r="D57" s="187">
        <v>0</v>
      </c>
      <c r="E57" s="23" t="s">
        <v>2200</v>
      </c>
      <c r="F57" s="155"/>
      <c r="G57" s="2486"/>
      <c r="H57" s="2490"/>
      <c r="I57" s="2490"/>
      <c r="J57" s="3124">
        <f>IF(AND(J55="",J56=""),4,IF(项目基本情况!K6="上海银行",结果表!J56+1,结果表!J55+1))</f>
        <v>4</v>
      </c>
      <c r="K57" s="3124" t="s">
        <v>2227</v>
      </c>
      <c r="L57" s="2491" t="s">
        <v>2228</v>
      </c>
      <c r="M57" s="1757"/>
      <c r="N57" s="1758">
        <f ca="1">SUMIF(M52:M56,"&lt;9e307")</f>
        <v>449</v>
      </c>
      <c r="O57" s="2492"/>
      <c r="P57" s="1751">
        <f ca="1">N57/M49</f>
        <v>0.56477987421383646</v>
      </c>
    </row>
    <row r="58" spans="1:35" ht="24.75">
      <c r="A58" s="183" t="s">
        <v>2209</v>
      </c>
      <c r="B58" s="3089" t="s">
        <v>2229</v>
      </c>
      <c r="C58" s="3090"/>
      <c r="D58" s="185">
        <f ca="1">IF(H58="转让取得",C81,C97)</f>
        <v>449</v>
      </c>
      <c r="E58" s="11" t="s">
        <v>2224</v>
      </c>
      <c r="F58" s="24" t="s">
        <v>34</v>
      </c>
      <c r="G58" s="2486"/>
      <c r="H58" s="2489" t="s">
        <v>2230</v>
      </c>
      <c r="I58" s="2490"/>
      <c r="J58" s="3124"/>
      <c r="K58" s="3124"/>
      <c r="L58" s="2491" t="s">
        <v>2231</v>
      </c>
      <c r="M58" s="1759"/>
      <c r="N58" s="2493" t="str">
        <f ca="1">NUMBERSTRING(INT(N57*10000),2)&amp;"元整"</f>
        <v>肆佰肆拾玖万元整</v>
      </c>
      <c r="O58" s="2494"/>
    </row>
    <row r="59" spans="1:35" ht="24.75" thickBot="1">
      <c r="A59" s="3127" t="s">
        <v>2232</v>
      </c>
      <c r="B59" s="3128"/>
      <c r="C59" s="3128"/>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25">
        <f>J57+1</f>
        <v>5</v>
      </c>
      <c r="K59" s="3124" t="s">
        <v>2234</v>
      </c>
      <c r="L59" s="1809" t="s">
        <v>2228</v>
      </c>
      <c r="M59" s="1760"/>
      <c r="N59" s="1761">
        <f ca="1">M49-N57</f>
        <v>346</v>
      </c>
      <c r="O59" s="2496"/>
    </row>
    <row r="60" spans="1:35" ht="12" customHeight="1">
      <c r="A60" s="2497"/>
      <c r="B60" s="2419"/>
      <c r="C60" s="2419"/>
      <c r="D60" s="2419"/>
      <c r="E60" s="2167"/>
      <c r="F60" s="2490"/>
      <c r="G60" s="2490"/>
      <c r="H60" s="2498"/>
      <c r="I60" s="138"/>
      <c r="J60" s="3126"/>
      <c r="K60" s="3124"/>
      <c r="L60" s="2491" t="s">
        <v>2231</v>
      </c>
      <c r="M60" s="1759"/>
      <c r="N60" s="2493" t="str">
        <f ca="1">NUMBERSTRING(INT(N59*10000),2)&amp;"元整"</f>
        <v>叁佰肆拾陆万元整</v>
      </c>
      <c r="O60" s="2494"/>
    </row>
    <row r="61" spans="1:35" ht="13.5" thickBot="1">
      <c r="A61" s="3071" t="s">
        <v>2235</v>
      </c>
      <c r="B61" s="3071"/>
      <c r="C61" s="3071"/>
      <c r="D61" s="3071"/>
      <c r="E61" s="3071"/>
      <c r="F61" s="2490"/>
      <c r="G61" s="2490"/>
      <c r="H61" s="2498"/>
      <c r="I61" s="138"/>
      <c r="J61" s="1809">
        <f>J59+1</f>
        <v>6</v>
      </c>
      <c r="K61" s="3124" t="s">
        <v>2236</v>
      </c>
      <c r="L61" s="3124"/>
      <c r="M61" s="1762"/>
      <c r="N61" s="1763">
        <f ca="1">ROUND(N59*10000/'数据-汇总表'!E3,0)</f>
        <v>1912</v>
      </c>
      <c r="O61" s="2499"/>
    </row>
    <row r="62" spans="1:35" ht="12.75">
      <c r="A62" s="3087" t="s">
        <v>2237</v>
      </c>
      <c r="B62" s="3088"/>
      <c r="C62" s="1801"/>
      <c r="D62" s="1801" t="s">
        <v>2238</v>
      </c>
      <c r="E62" s="192" t="s">
        <v>2239</v>
      </c>
      <c r="F62" s="2490"/>
      <c r="G62" s="2490"/>
      <c r="H62" s="2498"/>
      <c r="I62" s="138"/>
    </row>
    <row r="63" spans="1:35" ht="12.75">
      <c r="A63" s="203" t="s">
        <v>775</v>
      </c>
      <c r="B63" s="193" t="s">
        <v>2240</v>
      </c>
      <c r="C63" s="194">
        <f ca="1">ROUND((C64+C65)/(1+'数据-取费表'!C42),0)</f>
        <v>757</v>
      </c>
      <c r="D63" s="195"/>
      <c r="E63" s="196"/>
      <c r="F63" s="2490"/>
      <c r="G63" s="2490"/>
      <c r="H63" s="2498"/>
      <c r="I63" s="138"/>
      <c r="J63" s="3149" t="s">
        <v>2241</v>
      </c>
      <c r="K63" s="2500" t="s">
        <v>2242</v>
      </c>
      <c r="L63" s="1750">
        <f ca="1">IF(M49&gt;10000,M49*0.5%,IF(AND(M49&gt;1000,M49&lt;=10000),M49*1%,IF(AND(M49&gt;100,M49&lt;=1000),M49*3%,IF(AND(M49&gt;10,M49&lt;=100),M49*5%,M49*8%))))</f>
        <v>23.849999999999998</v>
      </c>
      <c r="M63" s="24">
        <f ca="1">ROUND(L63,1)</f>
        <v>23.9</v>
      </c>
      <c r="Z63" s="2424"/>
      <c r="AI63" s="2425"/>
    </row>
    <row r="64" spans="1:35" ht="14.25" customHeight="1">
      <c r="A64" s="197" t="s">
        <v>770</v>
      </c>
      <c r="B64" s="198" t="s">
        <v>2243</v>
      </c>
      <c r="C64" s="199">
        <f ca="1">D45</f>
        <v>795</v>
      </c>
      <c r="D64" s="200" t="s">
        <v>32</v>
      </c>
      <c r="E64" s="201"/>
      <c r="F64" s="2490"/>
      <c r="G64" s="2490"/>
      <c r="H64" s="2498"/>
      <c r="I64" s="138"/>
      <c r="J64" s="3149"/>
      <c r="K64" s="2500" t="s">
        <v>2244</v>
      </c>
      <c r="L64" s="1750">
        <f ca="1">IF(M49&gt;2000,M49*0.5%,IF(AND(M49&gt;1000,M49&lt;=2000),M49*0.6%,IF(AND(M49&gt;500,M49&lt;=1000),M49*0.7%,IF(AND(M49&gt;200,M49&lt;=500),M49*0.8%,IF(AND(M49&gt;100,M49&lt;=200),M49*0.9%,IF(AND(M49&gt;50,M49&lt;=100),M49*1%,IF(AND(M49&gt;20,M49&lt;=50),M49*1.5%,IF(AND(M49&gt;10,M49&lt;=20),M49*2%,IF(AND(M49&gt;1,M49&lt;=10),M49*2.5%)))))))))</f>
        <v>5.5649999999999995</v>
      </c>
      <c r="M64" s="24">
        <f t="shared" ref="M64:M65" ca="1" si="1">ROUND(L64,1)</f>
        <v>5.6</v>
      </c>
      <c r="N64" s="138" t="s">
        <v>2245</v>
      </c>
      <c r="Z64" s="2424"/>
      <c r="AI64" s="2425"/>
    </row>
    <row r="65" spans="1:35" ht="14.25" customHeight="1">
      <c r="A65" s="197" t="s">
        <v>771</v>
      </c>
      <c r="B65" s="198" t="s">
        <v>2246</v>
      </c>
      <c r="C65" s="202"/>
      <c r="D65" s="200"/>
      <c r="E65" s="201"/>
      <c r="F65" s="2490"/>
      <c r="G65" s="2490"/>
      <c r="H65" s="2498"/>
      <c r="I65" s="138"/>
      <c r="J65" s="3149"/>
      <c r="K65" s="2500" t="s">
        <v>2247</v>
      </c>
      <c r="L65" s="1750">
        <f ca="1">IF(M49&gt;1000,M49*0.1%,IF(AND(M49&gt;500,M49&lt;=1000),M49*0.5%,IF(AND(M49&gt;50,M49&lt;=500),M49*1%,IF(AND(M49&gt;1,M49&lt;=50),M49*1.5%))))</f>
        <v>3.9750000000000001</v>
      </c>
      <c r="M65" s="24">
        <f t="shared" ca="1" si="1"/>
        <v>4</v>
      </c>
      <c r="N65" s="138" t="s">
        <v>2245</v>
      </c>
      <c r="Z65" s="2424"/>
      <c r="AI65" s="2425"/>
    </row>
    <row r="66" spans="1:35" ht="14.25" customHeight="1">
      <c r="A66" s="203" t="s">
        <v>772</v>
      </c>
      <c r="B66" s="204" t="s">
        <v>2248</v>
      </c>
      <c r="C66" s="205"/>
      <c r="D66" s="206" t="s">
        <v>32</v>
      </c>
      <c r="E66" s="1773" t="s">
        <v>1367</v>
      </c>
      <c r="F66" s="2490"/>
      <c r="G66" s="2490"/>
      <c r="H66" s="2498"/>
      <c r="I66" s="138"/>
      <c r="J66" s="3149"/>
      <c r="K66" s="2500" t="s">
        <v>2249</v>
      </c>
      <c r="L66" s="1750">
        <f ca="1">M49*0.5%</f>
        <v>3.9750000000000001</v>
      </c>
      <c r="M66" s="24">
        <f ca="1">IF(L66&gt;0.5,0.5,ROUND(L66,0))</f>
        <v>0.5</v>
      </c>
      <c r="N66" s="138" t="s">
        <v>2250</v>
      </c>
      <c r="Z66" s="2424"/>
      <c r="AI66" s="2425"/>
    </row>
    <row r="67" spans="1:35" ht="14.25" customHeight="1">
      <c r="A67" s="203" t="s">
        <v>773</v>
      </c>
      <c r="B67" s="204" t="s">
        <v>2251</v>
      </c>
      <c r="C67" s="207">
        <f ca="1">C63-C66</f>
        <v>757</v>
      </c>
      <c r="D67" s="200" t="s">
        <v>32</v>
      </c>
      <c r="E67" s="201"/>
      <c r="F67" s="2490"/>
      <c r="G67" s="2490"/>
      <c r="H67" s="2498"/>
      <c r="I67" s="138"/>
      <c r="J67" s="3149"/>
      <c r="K67" s="2500" t="s">
        <v>2252</v>
      </c>
      <c r="L67" s="1750">
        <f ca="1">IF(M49&gt;=10000,(8.25+(M49-10000)*0.01%),IF(AND(M49&gt;=8000,M49&lt;10000),(7.85+(M49-8000)*0.02%),IF(AND(M49&gt;=5000,M49&lt;8000),(6.65+(M49-5000)*0.04%),IF(AND(M49&gt;=2000,M49&lt;5000),(4.25+(PM49-2000)*0.08%),IF(AND(M49&gt;=1000,M49&lt;2000),(2.75+(M49-1000)*0.15%),IF(AND(M49&gt;=100,M49&lt;1000),(0.5+(M49-100)*0.25%),IF(AND(M49&gt;0,M49&lt;100),M49*0.5%)))))))</f>
        <v>2.2374999999999998</v>
      </c>
      <c r="M67" s="24">
        <f ca="1">ROUND(L67*0.9,1)</f>
        <v>2</v>
      </c>
      <c r="Z67" s="2424"/>
      <c r="AI67" s="2425"/>
    </row>
    <row r="68" spans="1:35" ht="14.25" customHeight="1" thickBot="1">
      <c r="A68" s="208" t="s">
        <v>774</v>
      </c>
      <c r="B68" s="209" t="s">
        <v>2253</v>
      </c>
      <c r="C68" s="210">
        <f ca="1">IF(C67&lt;=0,0,ROUND(C67*D68,0))</f>
        <v>43</v>
      </c>
      <c r="D68" s="211">
        <f>'数据-取费表'!B41</f>
        <v>5.6300000000000003E-2</v>
      </c>
      <c r="E68" s="212"/>
      <c r="F68" s="2490"/>
      <c r="G68" s="2490"/>
      <c r="H68" s="2498"/>
      <c r="I68" s="138"/>
      <c r="J68" s="3149"/>
      <c r="K68" s="2500" t="s">
        <v>2254</v>
      </c>
      <c r="L68" s="1750">
        <f ca="1">IF(M49&gt;10000,M49*0.5%,IF(AND(M49&gt;5000,M49&lt;=10000),M49*1%,IF(AND(M49&gt;1000,M49&lt;=5000),M49*2%,IF(AND(M49&gt;200,M49&lt;=1000),M49*3%,M49*5%))))</f>
        <v>23.849999999999998</v>
      </c>
      <c r="M68" s="24">
        <f ca="1">ROUND(L68,1)</f>
        <v>23.9</v>
      </c>
      <c r="Z68" s="2424"/>
      <c r="AI68" s="2425"/>
    </row>
    <row r="69" spans="1:35" s="2447" customFormat="1" ht="16.5" customHeight="1">
      <c r="A69" s="2501"/>
      <c r="B69" s="2502"/>
      <c r="C69" s="2503"/>
      <c r="D69" s="2504"/>
      <c r="E69" s="2505"/>
      <c r="F69" s="2167"/>
      <c r="G69" s="2167"/>
      <c r="H69" s="2166"/>
      <c r="I69" s="2419"/>
      <c r="J69" s="3149"/>
      <c r="K69" s="2500" t="s">
        <v>2255</v>
      </c>
      <c r="L69" s="2506"/>
      <c r="M69" s="24">
        <f ca="1">ROUND(SUM(M63:M68),0)</f>
        <v>60</v>
      </c>
      <c r="N69" s="1751">
        <f ca="1">M69/M49</f>
        <v>7.5471698113207544E-2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8" t="s">
        <v>2256</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7" t="s">
        <v>2237</v>
      </c>
      <c r="B71" s="3088"/>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757</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82" t="s">
        <v>2265</v>
      </c>
      <c r="F76" s="3059"/>
      <c r="G76" s="3059"/>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5</v>
      </c>
      <c r="D78" s="226">
        <f>'数据-取费表'!B43</f>
        <v>6.3000000000000009E-3</v>
      </c>
      <c r="E78" s="3068" t="s">
        <v>2270</v>
      </c>
      <c r="F78" s="3069"/>
      <c r="G78" s="3069"/>
      <c r="H78" s="307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752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150.4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8" t="s">
        <v>2274</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7" t="s">
        <v>2237</v>
      </c>
      <c r="B84" s="3088"/>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757</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68" t="s">
        <v>2283</v>
      </c>
      <c r="F91" s="3069"/>
      <c r="G91" s="3069"/>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68" t="s">
        <v>2287</v>
      </c>
      <c r="F92" s="3069"/>
      <c r="G92" s="3069"/>
      <c r="H92" s="307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5</v>
      </c>
      <c r="D93" s="226">
        <f>'数据-取费表'!B43</f>
        <v>6.3000000000000009E-3</v>
      </c>
      <c r="E93" s="3068" t="s">
        <v>2270</v>
      </c>
      <c r="F93" s="3069"/>
      <c r="G93" s="3069"/>
      <c r="H93" s="307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079" t="s">
        <v>2291</v>
      </c>
      <c r="F94" s="3080"/>
      <c r="G94" s="3080"/>
      <c r="H94" s="308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752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150.4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2292</v>
      </c>
      <c r="B99" s="2419"/>
      <c r="C99" s="2419"/>
      <c r="D99" s="2419"/>
      <c r="E99" s="2167"/>
      <c r="F99" s="2167"/>
      <c r="G99" s="2167"/>
      <c r="H99" s="2166"/>
      <c r="I99" s="138"/>
    </row>
    <row r="100" spans="1:35" ht="18.75" customHeight="1">
      <c r="A100" s="3053" t="s">
        <v>2293</v>
      </c>
      <c r="B100" s="3054"/>
      <c r="C100" s="3054"/>
      <c r="D100" s="3070"/>
      <c r="E100" s="3054" t="s">
        <v>2294</v>
      </c>
      <c r="F100" s="3054"/>
      <c r="G100" s="3054"/>
      <c r="H100" s="3070"/>
      <c r="I100" s="138"/>
    </row>
    <row r="101" spans="1:35" ht="18.75" customHeight="1">
      <c r="A101" s="3132" t="s">
        <v>2295</v>
      </c>
      <c r="B101" s="3133"/>
      <c r="C101" s="736" t="str">
        <f>C4</f>
        <v>收益法</v>
      </c>
      <c r="D101" s="737" t="str">
        <f>D4</f>
        <v>比较法-办公</v>
      </c>
      <c r="E101" s="3146" t="s">
        <v>2296</v>
      </c>
      <c r="F101" s="3100"/>
      <c r="G101" s="2521" t="s">
        <v>2297</v>
      </c>
      <c r="H101" s="1048">
        <f ca="1">H118</f>
        <v>795</v>
      </c>
      <c r="I101" s="138"/>
    </row>
    <row r="102" spans="1:35" ht="18.75" customHeight="1">
      <c r="A102" s="3102" t="s">
        <v>2298</v>
      </c>
      <c r="B102" s="2521" t="s">
        <v>2297</v>
      </c>
      <c r="C102" s="736">
        <f ca="1">C19</f>
        <v>838</v>
      </c>
      <c r="D102" s="737">
        <f ca="1">D19</f>
        <v>751</v>
      </c>
      <c r="E102" s="3146"/>
      <c r="F102" s="3100"/>
      <c r="G102" s="2521" t="s">
        <v>2299</v>
      </c>
      <c r="H102" s="371">
        <f ca="1">I118</f>
        <v>4394</v>
      </c>
      <c r="I102" s="138"/>
    </row>
    <row r="103" spans="1:35" ht="42.75" customHeight="1">
      <c r="A103" s="3102"/>
      <c r="B103" s="2521" t="s">
        <v>2299</v>
      </c>
      <c r="C103" s="738">
        <f ca="1">C20</f>
        <v>4631</v>
      </c>
      <c r="D103" s="739">
        <f ca="1">D20</f>
        <v>4149</v>
      </c>
      <c r="E103" s="3141" t="s">
        <v>2300</v>
      </c>
      <c r="F103" s="3142"/>
      <c r="G103" s="2522" t="s">
        <v>2301</v>
      </c>
      <c r="H103" s="1048">
        <f>IF(D36="正常操作",H104+H105+H106,H105+H106)</f>
        <v>0</v>
      </c>
      <c r="I103" s="138"/>
    </row>
    <row r="104" spans="1:35" ht="18.75" customHeight="1">
      <c r="A104" s="3102" t="s">
        <v>2302</v>
      </c>
      <c r="B104" s="2523" t="s">
        <v>2297</v>
      </c>
      <c r="C104" s="740">
        <f ca="1">H118</f>
        <v>795</v>
      </c>
      <c r="D104" s="741"/>
      <c r="E104" s="2268" t="s">
        <v>2303</v>
      </c>
      <c r="F104" s="2259"/>
      <c r="G104" s="2522" t="s">
        <v>2301</v>
      </c>
      <c r="H104" s="1049">
        <f>IF(D36="同一抵押权人同一抵押物续贷",C36&amp;"（未扣减，详见特别提示）",C36)</f>
        <v>0</v>
      </c>
      <c r="I104" s="138"/>
    </row>
    <row r="105" spans="1:35" ht="18.75" customHeight="1" thickBot="1">
      <c r="A105" s="3103"/>
      <c r="B105" s="2524" t="s">
        <v>2299</v>
      </c>
      <c r="C105" s="742">
        <f ca="1">I118</f>
        <v>4394</v>
      </c>
      <c r="D105" s="743"/>
      <c r="E105" s="2268" t="s">
        <v>2304</v>
      </c>
      <c r="F105" s="2259"/>
      <c r="G105" s="2522" t="s">
        <v>2301</v>
      </c>
      <c r="H105" s="1049">
        <f>C37</f>
        <v>0</v>
      </c>
      <c r="I105" s="138"/>
    </row>
    <row r="106" spans="1:35" ht="18.75" customHeight="1">
      <c r="A106" s="2419" t="s">
        <v>2305</v>
      </c>
      <c r="B106" s="2419"/>
      <c r="C106" s="2419"/>
      <c r="D106" s="2419"/>
      <c r="E106" s="2525" t="s">
        <v>2306</v>
      </c>
      <c r="F106" s="2259"/>
      <c r="G106" s="2522" t="s">
        <v>2301</v>
      </c>
      <c r="H106" s="1049">
        <f>C38</f>
        <v>0</v>
      </c>
      <c r="I106" s="138"/>
    </row>
    <row r="107" spans="1:35" ht="18.75" customHeight="1">
      <c r="A107" s="138"/>
      <c r="B107" s="138"/>
      <c r="C107" s="138"/>
      <c r="D107" s="138"/>
      <c r="E107" s="3099" t="str">
        <f>IF(项目基本情况!E8="已注销","——","3.房地产抵押价值")</f>
        <v>3.房地产抵押价值</v>
      </c>
      <c r="F107" s="3100"/>
      <c r="G107" s="2521" t="s">
        <v>2297</v>
      </c>
      <c r="H107" s="1048">
        <f ca="1">IF(E107="——","——",H101-H103)</f>
        <v>795</v>
      </c>
      <c r="I107" s="138"/>
    </row>
    <row r="108" spans="1:35" ht="18.75" customHeight="1">
      <c r="A108" s="138"/>
      <c r="B108" s="138"/>
      <c r="C108" s="138"/>
      <c r="D108" s="138"/>
      <c r="E108" s="3099"/>
      <c r="F108" s="3100"/>
      <c r="G108" s="2521" t="s">
        <v>2299</v>
      </c>
      <c r="H108" s="371">
        <f ca="1">ROUND(H107*10000/'数据-汇总表'!E3,0)</f>
        <v>4394</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1" t="s">
        <v>2297</v>
      </c>
      <c r="H109" s="348" t="str">
        <f>IF(E109="——","——",H101-H105-H106)</f>
        <v>——</v>
      </c>
      <c r="I109" s="138"/>
    </row>
    <row r="110" spans="1:35" ht="18.75" customHeight="1">
      <c r="A110" s="138"/>
      <c r="B110" s="138"/>
      <c r="C110" s="138"/>
      <c r="D110" s="138"/>
      <c r="E110" s="3099"/>
      <c r="F110" s="3100"/>
      <c r="G110" s="2521" t="s">
        <v>2299</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2297</v>
      </c>
      <c r="H111" s="1048" t="str">
        <f>IF(E111="——","——",N59)</f>
        <v>——</v>
      </c>
      <c r="I111" s="138"/>
    </row>
    <row r="112" spans="1:35" ht="18.75" customHeight="1" thickBot="1">
      <c r="A112" s="138"/>
      <c r="B112" s="138"/>
      <c r="C112" s="138"/>
      <c r="D112" s="138"/>
      <c r="E112" s="3136"/>
      <c r="F112" s="3137"/>
      <c r="G112" s="2526" t="s">
        <v>2299</v>
      </c>
      <c r="H112" s="790" t="str">
        <f>IF(E111="——","——",N61)</f>
        <v>——</v>
      </c>
      <c r="I112" s="138"/>
    </row>
    <row r="113" spans="1:11" ht="18.75" customHeight="1">
      <c r="A113" s="138"/>
      <c r="B113" s="138"/>
      <c r="C113" s="138"/>
      <c r="D113" s="138"/>
      <c r="E113" s="3104" t="s">
        <v>2305</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2307</v>
      </c>
      <c r="B115" s="3118"/>
      <c r="C115" s="3118"/>
      <c r="D115" s="3118"/>
      <c r="E115" s="3118"/>
      <c r="F115" s="3118"/>
      <c r="G115" s="3118"/>
      <c r="H115" s="3118"/>
      <c r="I115" s="3119"/>
    </row>
    <row r="116" spans="1:11" ht="27" customHeight="1">
      <c r="A116" s="3010" t="s">
        <v>2308</v>
      </c>
      <c r="B116" s="3105" t="s">
        <v>2309</v>
      </c>
      <c r="C116" s="3105" t="s">
        <v>2310</v>
      </c>
      <c r="D116" s="3121" t="s">
        <v>2311</v>
      </c>
      <c r="E116" s="3122"/>
      <c r="F116" s="3113" t="s">
        <v>2312</v>
      </c>
      <c r="G116" s="3113"/>
      <c r="H116" s="3010" t="s">
        <v>2313</v>
      </c>
      <c r="I116" s="3010"/>
    </row>
    <row r="117" spans="1:11" ht="18.75" customHeight="1">
      <c r="A117" s="3010"/>
      <c r="B117" s="3106"/>
      <c r="C117" s="3106"/>
      <c r="D117" s="1795" t="s">
        <v>2314</v>
      </c>
      <c r="E117" s="1795" t="s">
        <v>2315</v>
      </c>
      <c r="F117" s="1795" t="s">
        <v>2314</v>
      </c>
      <c r="G117" s="1795" t="s">
        <v>2316</v>
      </c>
      <c r="H117" s="1795" t="s">
        <v>2314</v>
      </c>
      <c r="I117" s="1795" t="s">
        <v>2316</v>
      </c>
    </row>
    <row r="118" spans="1:11" ht="24.75" customHeight="1">
      <c r="A118" s="2527" t="str">
        <f>项目基本情况!S2</f>
        <v>房地产</v>
      </c>
      <c r="B118" s="1795">
        <f>M18</f>
        <v>1809.36</v>
      </c>
      <c r="C118" s="1795">
        <f>M19</f>
        <v>424</v>
      </c>
      <c r="D118" s="1795">
        <f ca="1">ROUND(IF(D32="总价",C34,E118*B118/10000),0)</f>
        <v>795</v>
      </c>
      <c r="E118" s="1795">
        <f ca="1">ROUND(IF(C33="自定义",IF(D32="楼面单价",C34,D118*10000/B118),I118-G118),0)</f>
        <v>4394</v>
      </c>
      <c r="F118" s="1795">
        <f ca="1">ROUND(IF(D32="总价",C35,G118*B118/10000),0)</f>
        <v>0</v>
      </c>
      <c r="G118" s="1795">
        <f ca="1">ROUND(IF(D32="楼面单价",C35,F118*10000/B118),0)</f>
        <v>0</v>
      </c>
      <c r="H118" s="1795">
        <f ca="1">ROUND(IF(D32="总价",C32,I118*B118/10000),0)</f>
        <v>795</v>
      </c>
      <c r="I118" s="1795">
        <f ca="1">ROUND(IF(D32="楼面单价",C32,H118*10000/B118),0)</f>
        <v>4394</v>
      </c>
    </row>
    <row r="119" spans="1:11" ht="18.75" customHeight="1">
      <c r="A119" s="3010" t="s">
        <v>2317</v>
      </c>
      <c r="B119" s="3010"/>
      <c r="C119" s="3010"/>
      <c r="D119" s="3110" t="str">
        <f ca="1">NUMBERSTRING(INT(D118*10000),2)&amp;"元整"</f>
        <v>柒佰玖拾伍万元整</v>
      </c>
      <c r="E119" s="3112"/>
      <c r="F119" s="3110" t="str">
        <f ca="1">NUMBERSTRING(INT(F118*10000),2)&amp;"元整"</f>
        <v>零元整</v>
      </c>
      <c r="G119" s="3112"/>
      <c r="H119" s="3110" t="str">
        <f ca="1">NUMBERSTRING(INT(H118*10000),2)&amp;"元整"</f>
        <v>柒佰玖拾伍万元整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4" t="str">
        <f>IF(D120=0,"故，本次评估不存在"&amp;A120,"故，本次评估"&amp;A120&amp;"为人民币"&amp;D120&amp;"万元整。")</f>
        <v>故，本次评估不存在估价师知悉的法定优先受偿款</v>
      </c>
    </row>
    <row r="121" spans="1:11" ht="18.75" customHeight="1">
      <c r="A121" s="3114" t="s">
        <v>2317</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795</v>
      </c>
      <c r="E122" s="3139"/>
      <c r="F122" s="3139"/>
      <c r="G122" s="3139"/>
      <c r="H122" s="3139"/>
      <c r="I122" s="3140"/>
    </row>
    <row r="123" spans="1:11" ht="18.75" customHeight="1">
      <c r="A123" s="3010" t="s">
        <v>2317</v>
      </c>
      <c r="B123" s="3010"/>
      <c r="C123" s="3010"/>
      <c r="D123" s="3110" t="str">
        <f ca="1">NUMBERSTRING(INT(D122*10000),2)&amp;"元整"</f>
        <v>柒佰玖拾伍万元整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2317</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2317</v>
      </c>
      <c r="B127" s="3010"/>
      <c r="C127" s="3010"/>
      <c r="D127" s="3110" t="e">
        <f>NUMBERSTRING(INT(D126*10000),2)&amp;"元整"</f>
        <v>#VALUE!</v>
      </c>
      <c r="E127" s="3111"/>
      <c r="F127" s="3111"/>
      <c r="G127" s="3111"/>
      <c r="H127" s="3111"/>
      <c r="I127" s="3112"/>
    </row>
    <row r="128" spans="1:11" ht="21.75" customHeight="1">
      <c r="A128" s="3120" t="s">
        <v>2318</v>
      </c>
      <c r="B128" s="3120"/>
      <c r="C128" s="3120"/>
      <c r="D128" s="3120"/>
      <c r="E128" s="3120"/>
      <c r="F128" s="3120"/>
      <c r="G128" s="3120"/>
      <c r="H128" s="3120"/>
      <c r="I128" s="3120"/>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7"/>
      <c r="C1" s="242"/>
      <c r="D1" s="242"/>
      <c r="E1" s="242"/>
      <c r="F1" s="242"/>
      <c r="G1" s="1380">
        <f>MATCH(B1,'数据-取费表'!A6:A16,0)+5</f>
        <v>7</v>
      </c>
    </row>
    <row r="2" spans="1:9" s="244" customFormat="1" ht="18" customHeight="1">
      <c r="A2" s="245" t="s">
        <v>2327</v>
      </c>
      <c r="B2" s="246">
        <f ca="1">IF(D2="——",C52,C52-E2)</f>
        <v>314</v>
      </c>
      <c r="C2" s="243" t="s">
        <v>2328</v>
      </c>
      <c r="D2" s="2550" t="s">
        <v>70</v>
      </c>
      <c r="E2" s="1441"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1735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52" t="s">
        <v>2337</v>
      </c>
      <c r="B6" s="259" t="s">
        <v>2338</v>
      </c>
      <c r="C6" s="260"/>
      <c r="D6" s="261"/>
      <c r="E6" s="262"/>
      <c r="F6" s="262"/>
      <c r="G6" s="263"/>
    </row>
    <row r="7" spans="1:9" s="258" customFormat="1" ht="13.5" customHeight="1">
      <c r="A7" s="952" t="s">
        <v>2339</v>
      </c>
      <c r="B7" s="259" t="s">
        <v>2340</v>
      </c>
      <c r="C7" s="264">
        <f>ROUND(C6*F7,0)</f>
        <v>0</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0</v>
      </c>
      <c r="D8" s="266"/>
      <c r="E8" s="264"/>
      <c r="F8" s="265"/>
      <c r="G8" s="2553"/>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4"/>
      <c r="H9" s="1391"/>
      <c r="I9" s="2555" t="s">
        <v>2344</v>
      </c>
    </row>
    <row r="10" spans="1:9" s="258" customFormat="1" ht="13.5" customHeight="1">
      <c r="A10" s="953" t="s">
        <v>801</v>
      </c>
      <c r="B10" s="268" t="s">
        <v>2345</v>
      </c>
      <c r="C10" s="269">
        <f ca="1">ROUND(D10*E10/10000,0)</f>
        <v>27</v>
      </c>
      <c r="D10" s="1035">
        <f ca="1">IF(B1="",'数据-汇总表'!E6,IF(INDIRECT("'数据-取费表'!c"&amp;$G$1)="住宅",INDIRECT("'数据-取费表'!s"&amp;$G$1),INDIRECT("'数据-取费表'!k"&amp;$G$1)+INDIRECT("'数据-取费表'!s"&amp;$G$1)))</f>
        <v>1809.36</v>
      </c>
      <c r="E10" s="269">
        <f>'数据-取费表'!B28</f>
        <v>150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1809.36</v>
      </c>
      <c r="E19" s="255">
        <f>'数据-取费表'!B31</f>
        <v>200</v>
      </c>
      <c r="F19" s="275"/>
      <c r="G19" s="2553" t="s">
        <v>3126</v>
      </c>
    </row>
    <row r="20" spans="1:7" s="258" customFormat="1" ht="13.5" customHeight="1">
      <c r="A20" s="299" t="s">
        <v>2358</v>
      </c>
      <c r="B20" s="254" t="s">
        <v>2359</v>
      </c>
      <c r="C20" s="276">
        <f>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5">
        <f ca="1">ROUND(SUM(C23:C25),0)</f>
        <v>0</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6">
        <f ca="1">ROUND(IF('数据-取费表'!B22&lt;=1,C5*F22*'数据-取费表'!B23,C5*(POWER((1+F22),'数据-取费表'!B23)-1)),0)</f>
        <v>0</v>
      </c>
      <c r="D23" s="282"/>
      <c r="E23" s="282"/>
      <c r="F23" s="283"/>
      <c r="G23" s="284" t="s">
        <v>2369</v>
      </c>
    </row>
    <row r="24" spans="1:7" s="258" customFormat="1" ht="13.5" customHeight="1">
      <c r="A24" s="954" t="s">
        <v>2370</v>
      </c>
      <c r="B24" s="259" t="s">
        <v>2371</v>
      </c>
      <c r="C24" s="1356">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6">
        <f ca="1">ROUND(IF('数据-取费表'!B22&lt;=1,C20*F22*'数据-取费表'!B23/2,C20*(POWER((1+F22),'数据-取费表'!B23/2)-1)),0)</f>
        <v>0</v>
      </c>
      <c r="D25" s="282"/>
      <c r="E25" s="285"/>
      <c r="F25" s="283"/>
      <c r="G25" s="286" t="s">
        <v>2375</v>
      </c>
    </row>
    <row r="26" spans="1:7" s="258" customFormat="1">
      <c r="A26" s="954"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0</v>
      </c>
      <c r="D27" s="279">
        <f ca="1">C29</f>
        <v>2E-3</v>
      </c>
      <c r="E27" s="280" t="s">
        <v>2379</v>
      </c>
      <c r="F27" s="290">
        <f ca="1">IF(B1="",'数据-取费表'!Q16,INDIRECT("'数据-取费表'!q"&amp;$G$1))</f>
        <v>0.1</v>
      </c>
      <c r="G27" s="291" t="s">
        <v>2380</v>
      </c>
    </row>
    <row r="28" spans="1:7" s="258" customFormat="1" ht="13.5" customHeight="1">
      <c r="A28" s="954" t="s">
        <v>791</v>
      </c>
      <c r="B28" s="292" t="s">
        <v>2381</v>
      </c>
      <c r="C28" s="293">
        <f ca="1">ROUND((C5+C19+C20)*F27*'数据-取费表'!B21/'数据-取费表'!B20,0)</f>
        <v>0</v>
      </c>
      <c r="D28" s="279"/>
      <c r="E28" s="280"/>
      <c r="F28" s="290"/>
      <c r="G28" s="291"/>
    </row>
    <row r="29" spans="1:7" s="258" customFormat="1" ht="13.5" customHeight="1">
      <c r="A29" s="954"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5.3600000000000002E-2</v>
      </c>
      <c r="D30" s="280" t="s">
        <v>2379</v>
      </c>
      <c r="E30" s="285"/>
      <c r="F30" s="281">
        <f>'数据-取费表'!B41</f>
        <v>5.6300000000000003E-2</v>
      </c>
      <c r="G30" s="278" t="s">
        <v>2385</v>
      </c>
    </row>
    <row r="31" spans="1:7" ht="16.5" customHeight="1">
      <c r="A31" s="253">
        <v>1</v>
      </c>
      <c r="B31" s="254" t="s">
        <v>2386</v>
      </c>
      <c r="C31" s="255">
        <f ca="1">ROUND((C5+C19+C20+C22+C27)/(1-C21-D22-D27-C30),0)</f>
        <v>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343</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289</v>
      </c>
      <c r="D34" s="261"/>
      <c r="E34" s="264"/>
      <c r="F34" s="301">
        <f ca="1">IF('数据-取费表'!B24=0,1,IF(B1="",'数据-取费表'!N16,INDIRECT("'数据-取费表'!n"&amp;$G$1)))</f>
        <v>1</v>
      </c>
      <c r="G34" s="263" t="s">
        <v>2391</v>
      </c>
    </row>
    <row r="35" spans="1:7" ht="13.5" customHeight="1">
      <c r="A35" s="954" t="s">
        <v>796</v>
      </c>
      <c r="B35" s="259" t="s">
        <v>2392</v>
      </c>
      <c r="C35" s="264">
        <f ca="1">ROUND(C34*F35,0)</f>
        <v>14</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36</v>
      </c>
      <c r="D37" s="261">
        <f ca="1">D19</f>
        <v>1809.36</v>
      </c>
      <c r="E37" s="293">
        <f>'数据-取费表'!B35</f>
        <v>200</v>
      </c>
      <c r="F37" s="303"/>
      <c r="G37" s="305" t="s">
        <v>2397</v>
      </c>
    </row>
    <row r="38" spans="1:7" ht="13.5" customHeight="1">
      <c r="A38" s="954" t="s">
        <v>799</v>
      </c>
      <c r="B38" s="259" t="s">
        <v>2398</v>
      </c>
      <c r="C38" s="264">
        <f ca="1">ROUND(C34*F38,0)</f>
        <v>4</v>
      </c>
      <c r="D38" s="264"/>
      <c r="E38" s="264"/>
      <c r="F38" s="303">
        <f>'数据-取费表'!B36</f>
        <v>1.4999999999999999E-2</v>
      </c>
      <c r="G38" s="263" t="s">
        <v>2393</v>
      </c>
    </row>
    <row r="39" spans="1:7" s="258" customFormat="1" ht="13.5" customHeight="1">
      <c r="A39" s="299" t="s">
        <v>2399</v>
      </c>
      <c r="B39" s="254" t="s">
        <v>2400</v>
      </c>
      <c r="C39" s="276">
        <f ca="1">ROUND(C33*F20,0)</f>
        <v>7</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7</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7</v>
      </c>
      <c r="D42" s="282"/>
      <c r="E42" s="282"/>
      <c r="F42" s="283"/>
      <c r="G42" s="3152" t="s">
        <v>2409</v>
      </c>
    </row>
    <row r="43" spans="1:7" ht="13.5" customHeight="1">
      <c r="A43" s="954" t="s">
        <v>792</v>
      </c>
      <c r="B43" s="259" t="s">
        <v>2410</v>
      </c>
      <c r="C43" s="282">
        <f ca="1">ROUND(IF('数据-取费表'!B22&lt;=1,C39*F22*'数据-取费表'!B21/2,C39*(POWER((1+F22),'数据-取费表'!B21/2)-1)),0)</f>
        <v>0</v>
      </c>
      <c r="D43" s="282"/>
      <c r="E43" s="282"/>
      <c r="F43" s="283"/>
      <c r="G43" s="3153"/>
    </row>
    <row r="44" spans="1:7" ht="13.5" customHeight="1">
      <c r="A44" s="954" t="s">
        <v>793</v>
      </c>
      <c r="B44" s="259" t="s">
        <v>2411</v>
      </c>
      <c r="C44" s="282">
        <f ca="1">ROUND(IF('数据-取费表'!B22&lt;=1,C40*F22*'数据-取费表'!B21/2,C40*(POWER((1+F22),'数据-取费表'!B21/2)-1)),4)</f>
        <v>4.0000000000000002E-4</v>
      </c>
      <c r="D44" s="282"/>
      <c r="E44" s="282"/>
      <c r="F44" s="283"/>
      <c r="G44" s="3154"/>
    </row>
    <row r="45" spans="1:7" s="258" customFormat="1" ht="13.5" customHeight="1">
      <c r="A45" s="299" t="s">
        <v>2412</v>
      </c>
      <c r="B45" s="288" t="s">
        <v>2378</v>
      </c>
      <c r="C45" s="289">
        <f ca="1">C46</f>
        <v>35</v>
      </c>
      <c r="D45" s="279">
        <f ca="1">C47</f>
        <v>2E-3</v>
      </c>
      <c r="E45" s="280" t="s">
        <v>2404</v>
      </c>
      <c r="F45" s="290"/>
      <c r="G45" s="291" t="s">
        <v>2413</v>
      </c>
    </row>
    <row r="46" spans="1:7" s="258" customFormat="1" ht="13.5" customHeight="1">
      <c r="A46" s="954" t="s">
        <v>791</v>
      </c>
      <c r="B46" s="292" t="s">
        <v>2414</v>
      </c>
      <c r="C46" s="293">
        <f ca="1">ROUND((C33+C39)*F27,0)</f>
        <v>35</v>
      </c>
      <c r="D46" s="307"/>
      <c r="E46" s="280"/>
      <c r="F46" s="290"/>
      <c r="G46" s="291"/>
    </row>
    <row r="47" spans="1:7" s="258" customFormat="1" ht="13.5" customHeight="1">
      <c r="A47" s="954" t="s">
        <v>792</v>
      </c>
      <c r="B47" s="292" t="s">
        <v>2415</v>
      </c>
      <c r="C47" s="282">
        <f ca="1">ROUND(C40*F27,4)</f>
        <v>2E-3</v>
      </c>
      <c r="D47" s="307"/>
      <c r="E47" s="280"/>
      <c r="F47" s="290"/>
      <c r="G47" s="291"/>
    </row>
    <row r="48" spans="1:7" s="258" customFormat="1" ht="13.5" customHeight="1">
      <c r="A48" s="299" t="s">
        <v>2377</v>
      </c>
      <c r="B48" s="254" t="s">
        <v>2416</v>
      </c>
      <c r="C48" s="1729">
        <f>ROUND(F30/(1+'数据-取费表'!C42),4)</f>
        <v>5.3600000000000002E-2</v>
      </c>
      <c r="D48" s="280" t="s">
        <v>2404</v>
      </c>
      <c r="E48" s="276"/>
      <c r="F48" s="281"/>
      <c r="G48" s="278" t="s">
        <v>2417</v>
      </c>
    </row>
    <row r="49" spans="1:7" ht="16.5" customHeight="1">
      <c r="A49" s="299" t="s">
        <v>2383</v>
      </c>
      <c r="B49" s="254" t="s">
        <v>2418</v>
      </c>
      <c r="C49" s="276">
        <f ca="1">ROUND((C33+C39+C41+C45)/(1-C40-D41-D45-C48),0)</f>
        <v>424</v>
      </c>
      <c r="D49" s="276"/>
      <c r="E49" s="276"/>
      <c r="F49" s="308"/>
      <c r="G49" s="278" t="s">
        <v>2419</v>
      </c>
    </row>
    <row r="50" spans="1:7" s="302" customFormat="1" ht="24">
      <c r="A50" s="299" t="s">
        <v>2420</v>
      </c>
      <c r="B50" s="254" t="s">
        <v>2421</v>
      </c>
      <c r="C50" s="276"/>
      <c r="D50" s="276"/>
      <c r="E50" s="276"/>
      <c r="F50" s="308">
        <f>IF('数据-取费表'!B24=0,'数据-取费表'!N16,1)</f>
        <v>0.74</v>
      </c>
      <c r="G50" s="291" t="s">
        <v>2422</v>
      </c>
    </row>
    <row r="51" spans="1:7" ht="16.5" customHeight="1">
      <c r="A51" s="299" t="s">
        <v>2423</v>
      </c>
      <c r="B51" s="254" t="s">
        <v>2424</v>
      </c>
      <c r="C51" s="276">
        <f ca="1">ROUND(C49*F50,0)</f>
        <v>314</v>
      </c>
      <c r="D51" s="276"/>
      <c r="E51" s="276"/>
      <c r="F51" s="308"/>
      <c r="G51" s="278" t="s">
        <v>2425</v>
      </c>
    </row>
    <row r="52" spans="1:7" s="252" customFormat="1" ht="16.5" thickBot="1">
      <c r="A52" s="309" t="s">
        <v>2426</v>
      </c>
      <c r="B52" s="310"/>
      <c r="C52" s="311">
        <f ca="1">C31+C51</f>
        <v>314</v>
      </c>
      <c r="D52" s="310"/>
      <c r="E52" s="310"/>
      <c r="F52" s="310"/>
      <c r="G52" s="312"/>
    </row>
    <row r="55" spans="1:7" ht="15">
      <c r="B55" s="314" t="s">
        <v>2427</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7"/>
      <c r="C1" s="2556" t="s">
        <v>2428</v>
      </c>
      <c r="D1" s="242"/>
      <c r="E1" s="242"/>
      <c r="F1" s="242"/>
      <c r="G1" s="1380">
        <f>MATCH(B1,'数据-取费表'!A6:A16,0)+5</f>
        <v>7</v>
      </c>
      <c r="H1" s="1283" t="str">
        <f>IF(ISERROR(FIND("住宅",B1)),"非住宅","住宅")</f>
        <v>非住宅</v>
      </c>
    </row>
    <row r="2" spans="1:8" s="244" customFormat="1" ht="18" customHeight="1">
      <c r="A2" s="245" t="s">
        <v>2327</v>
      </c>
      <c r="B2" s="246">
        <f ca="1">ROUND(IF(D2="——",C52/10000,C52/10000-E2),0)</f>
        <v>396</v>
      </c>
      <c r="C2" s="243" t="s">
        <v>2328</v>
      </c>
      <c r="D2" s="2550" t="s">
        <v>70</v>
      </c>
      <c r="E2" s="1441"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2189</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271404</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271404</v>
      </c>
      <c r="D8" s="266"/>
      <c r="E8" s="264"/>
      <c r="F8" s="265"/>
      <c r="G8" s="2553"/>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271404</v>
      </c>
      <c r="D10" s="1035">
        <f ca="1">IF(B1="",'数据-汇总表'!E6,IF(INDIRECT("'数据-取费表'!c"&amp;$G$1)="住宅",INDIRECT("'数据-取费表'!s"&amp;$G$1),INDIRECT("'数据-取费表'!k"&amp;$G$1)+INDIRECT("'数据-取费表'!s"&amp;$G$1)))</f>
        <v>1809.36</v>
      </c>
      <c r="E10" s="269">
        <f>'数据-取费表'!B28</f>
        <v>150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361872</v>
      </c>
      <c r="D19" s="1039">
        <f ca="1">D9+D10</f>
        <v>1809.36</v>
      </c>
      <c r="E19" s="255">
        <f>'数据-取费表'!B31</f>
        <v>200</v>
      </c>
      <c r="F19" s="275"/>
      <c r="G19" s="2553"/>
    </row>
    <row r="20" spans="1:7" s="258" customFormat="1" ht="13.5" customHeight="1">
      <c r="A20" s="299" t="s">
        <v>2439</v>
      </c>
      <c r="B20" s="254" t="s">
        <v>2440</v>
      </c>
      <c r="C20" s="276">
        <f ca="1">ROUND((C5+C19)*F20,0)</f>
        <v>12666</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1">
        <f ca="1">ROUND(SUM(C23:C25),0)</f>
        <v>27822</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2">
        <f ca="1">ROUND(IF('数据-取费表'!B22&lt;=1,C5*F22*'数据-取费表'!B22,C5*(POWER((1+F22),'数据-取费表'!B22)-1)),0)</f>
        <v>11806</v>
      </c>
      <c r="D23" s="282"/>
      <c r="E23" s="282"/>
      <c r="F23" s="283"/>
      <c r="G23" s="284" t="s">
        <v>2449</v>
      </c>
    </row>
    <row r="24" spans="1:7" s="258" customFormat="1" ht="13.5" customHeight="1">
      <c r="A24" s="954" t="s">
        <v>2339</v>
      </c>
      <c r="B24" s="259" t="s">
        <v>2450</v>
      </c>
      <c r="C24" s="1382">
        <f ca="1">ROUND(IF('数据-取费表'!B22&lt;=1,C19*F22*('数据-取费表'!B19/2+'数据-取费表'!B20),C19*(POWER((1+F22),('数据-取费表'!B19/2+'数据-取费表'!B20))-1)),0)</f>
        <v>15741</v>
      </c>
      <c r="D24" s="282"/>
      <c r="E24" s="282"/>
      <c r="F24" s="283"/>
      <c r="G24" s="284" t="s">
        <v>2451</v>
      </c>
    </row>
    <row r="25" spans="1:7" s="258" customFormat="1" ht="24">
      <c r="A25" s="954" t="s">
        <v>2341</v>
      </c>
      <c r="B25" s="259" t="s">
        <v>2452</v>
      </c>
      <c r="C25" s="1382">
        <f ca="1">ROUND(IF('数据-取费表'!B22&lt;=1,C20*F22*'数据-取费表'!B22/2,C20*(POWER((1+F22),'数据-取费表'!B22/2)-1)),0)</f>
        <v>275</v>
      </c>
      <c r="D25" s="282"/>
      <c r="E25" s="285"/>
      <c r="F25" s="283"/>
      <c r="G25" s="286" t="s">
        <v>2453</v>
      </c>
    </row>
    <row r="26" spans="1:7" s="258" customFormat="1">
      <c r="A26" s="954"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64594</v>
      </c>
      <c r="D27" s="279">
        <f ca="1">C29</f>
        <v>2E-3</v>
      </c>
      <c r="E27" s="280" t="s">
        <v>2379</v>
      </c>
      <c r="F27" s="290">
        <f ca="1">IF(B1="",'数据-取费表'!Q16,INDIRECT("'数据-取费表'!q"&amp;$G$1))</f>
        <v>0.1</v>
      </c>
      <c r="G27" s="291" t="s">
        <v>2380</v>
      </c>
    </row>
    <row r="28" spans="1:7" s="258" customFormat="1" ht="13.5" customHeight="1">
      <c r="A28" s="954" t="s">
        <v>791</v>
      </c>
      <c r="B28" s="292" t="s">
        <v>2381</v>
      </c>
      <c r="C28" s="293">
        <f ca="1">ROUND((C5+C19+C20)*F27,0)</f>
        <v>64594</v>
      </c>
      <c r="D28" s="279"/>
      <c r="E28" s="280"/>
      <c r="F28" s="290"/>
      <c r="G28" s="291"/>
    </row>
    <row r="29" spans="1:7" s="258" customFormat="1" ht="13.5" customHeight="1">
      <c r="A29" s="954" t="s">
        <v>792</v>
      </c>
      <c r="B29" s="292" t="s">
        <v>2382</v>
      </c>
      <c r="C29" s="282">
        <f ca="1">ROUND(C21*F27,4)</f>
        <v>2E-3</v>
      </c>
      <c r="D29" s="279"/>
      <c r="E29" s="280"/>
      <c r="F29" s="290"/>
      <c r="G29" s="291"/>
    </row>
    <row r="30" spans="1:7" s="258" customFormat="1" ht="13.5" customHeight="1">
      <c r="A30" s="299" t="s">
        <v>2383</v>
      </c>
      <c r="B30" s="254" t="s">
        <v>2384</v>
      </c>
      <c r="C30" s="279">
        <f>ROUND(F30/(1+'数据-取费表'!C42),4)</f>
        <v>5.3600000000000002E-2</v>
      </c>
      <c r="D30" s="280" t="s">
        <v>2379</v>
      </c>
      <c r="E30" s="285"/>
      <c r="F30" s="281">
        <f>'数据-取费表'!B41</f>
        <v>5.6300000000000003E-2</v>
      </c>
      <c r="G30" s="278" t="s">
        <v>2385</v>
      </c>
    </row>
    <row r="31" spans="1:7" ht="16.5" customHeight="1">
      <c r="A31" s="253">
        <v>1</v>
      </c>
      <c r="B31" s="254" t="s">
        <v>2386</v>
      </c>
      <c r="C31" s="255">
        <f ca="1">ROUND((C5+C19+C20+C22+C27)/(1-C21-D22-D27-C30),0)</f>
        <v>799089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3445022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2894976</v>
      </c>
      <c r="D34" s="261"/>
      <c r="E34" s="264"/>
      <c r="F34" s="301"/>
      <c r="G34" s="263"/>
    </row>
    <row r="35" spans="1:7" ht="13.5" customHeight="1">
      <c r="A35" s="954" t="s">
        <v>796</v>
      </c>
      <c r="B35" s="259" t="s">
        <v>2392</v>
      </c>
      <c r="C35" s="264">
        <f ca="1">ROUND(C34*F35,0)</f>
        <v>144749</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361872</v>
      </c>
      <c r="D37" s="261">
        <f ca="1">D19</f>
        <v>1809.36</v>
      </c>
      <c r="E37" s="293">
        <f>'数据-取费表'!B35</f>
        <v>200</v>
      </c>
      <c r="F37" s="303"/>
      <c r="G37" s="305"/>
    </row>
    <row r="38" spans="1:7" ht="13.5" customHeight="1">
      <c r="A38" s="954" t="s">
        <v>799</v>
      </c>
      <c r="B38" s="259" t="s">
        <v>2398</v>
      </c>
      <c r="C38" s="264">
        <f ca="1">ROUND(C34*F38,0)</f>
        <v>43425</v>
      </c>
      <c r="D38" s="264"/>
      <c r="E38" s="264"/>
      <c r="F38" s="303">
        <f>'数据-取费表'!B36</f>
        <v>1.4999999999999999E-2</v>
      </c>
      <c r="G38" s="263" t="s">
        <v>2393</v>
      </c>
    </row>
    <row r="39" spans="1:7" s="258" customFormat="1" ht="13.5" customHeight="1">
      <c r="A39" s="299" t="s">
        <v>2399</v>
      </c>
      <c r="B39" s="254" t="s">
        <v>2400</v>
      </c>
      <c r="C39" s="276">
        <f ca="1">ROUND(C33*F20,0)</f>
        <v>68900</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76428</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74929</v>
      </c>
      <c r="D42" s="282"/>
      <c r="E42" s="282"/>
      <c r="F42" s="283"/>
      <c r="G42" s="3152" t="s">
        <v>2456</v>
      </c>
    </row>
    <row r="43" spans="1:7" ht="13.5" customHeight="1">
      <c r="A43" s="954" t="s">
        <v>792</v>
      </c>
      <c r="B43" s="259" t="s">
        <v>2410</v>
      </c>
      <c r="C43" s="282">
        <f ca="1">ROUND(IF('数据-取费表'!B22&lt;=1,C39*F22*'数据-取费表'!B20/2,C39*(POWER((1+F22),'数据-取费表'!B20/2)-1)),0)</f>
        <v>1499</v>
      </c>
      <c r="D43" s="282"/>
      <c r="E43" s="282"/>
      <c r="F43" s="283"/>
      <c r="G43" s="3153"/>
    </row>
    <row r="44" spans="1:7" ht="13.5" customHeight="1">
      <c r="A44" s="954" t="s">
        <v>793</v>
      </c>
      <c r="B44" s="259" t="s">
        <v>2411</v>
      </c>
      <c r="C44" s="282">
        <f ca="1">ROUND(IF('数据-取费表'!B22&lt;=1,C40*F22*'数据-取费表'!B20/2,C40*(POWER((1+F22),'数据-取费表'!B20/2)-1)),4)</f>
        <v>4.0000000000000002E-4</v>
      </c>
      <c r="D44" s="282"/>
      <c r="E44" s="282"/>
      <c r="F44" s="283"/>
      <c r="G44" s="3154"/>
    </row>
    <row r="45" spans="1:7" s="258" customFormat="1" ht="13.5" customHeight="1">
      <c r="A45" s="299" t="s">
        <v>2412</v>
      </c>
      <c r="B45" s="288" t="s">
        <v>2378</v>
      </c>
      <c r="C45" s="289">
        <f ca="1">C46</f>
        <v>351392</v>
      </c>
      <c r="D45" s="279">
        <f ca="1">C47</f>
        <v>2E-3</v>
      </c>
      <c r="E45" s="280" t="s">
        <v>2404</v>
      </c>
      <c r="F45" s="290"/>
      <c r="G45" s="291" t="s">
        <v>2413</v>
      </c>
    </row>
    <row r="46" spans="1:7" s="258" customFormat="1" ht="13.5" customHeight="1">
      <c r="A46" s="954" t="s">
        <v>791</v>
      </c>
      <c r="B46" s="292" t="s">
        <v>2414</v>
      </c>
      <c r="C46" s="293">
        <f ca="1">ROUND((C33+C39)*F27,0)</f>
        <v>351392</v>
      </c>
      <c r="D46" s="307"/>
      <c r="E46" s="280"/>
      <c r="F46" s="290"/>
      <c r="G46" s="291"/>
    </row>
    <row r="47" spans="1:7" s="258" customFormat="1" ht="13.5" customHeight="1">
      <c r="A47" s="954" t="s">
        <v>792</v>
      </c>
      <c r="B47" s="292" t="s">
        <v>2415</v>
      </c>
      <c r="C47" s="282">
        <f ca="1">ROUND(C40*F27,4)</f>
        <v>2E-3</v>
      </c>
      <c r="D47" s="307"/>
      <c r="E47" s="280"/>
      <c r="F47" s="290"/>
      <c r="G47" s="291"/>
    </row>
    <row r="48" spans="1:7" s="258" customFormat="1" ht="13.5" customHeight="1">
      <c r="A48" s="299" t="s">
        <v>2377</v>
      </c>
      <c r="B48" s="254" t="s">
        <v>2416</v>
      </c>
      <c r="C48" s="306">
        <f>ROUND(F30/(1+'数据-取费表'!C42),4)</f>
        <v>5.3600000000000002E-2</v>
      </c>
      <c r="D48" s="280" t="s">
        <v>2404</v>
      </c>
      <c r="E48" s="276"/>
      <c r="F48" s="281"/>
      <c r="G48" s="278" t="s">
        <v>2417</v>
      </c>
    </row>
    <row r="49" spans="1:7" ht="16.5" customHeight="1">
      <c r="A49" s="299" t="s">
        <v>2383</v>
      </c>
      <c r="B49" s="254" t="s">
        <v>2457</v>
      </c>
      <c r="C49" s="276">
        <f ca="1">ROUND((C33+C39+C41+C45)/(1-C40-D41-D45-C48),0)</f>
        <v>4265955</v>
      </c>
      <c r="D49" s="276"/>
      <c r="E49" s="276"/>
      <c r="F49" s="308"/>
      <c r="G49" s="278" t="s">
        <v>2419</v>
      </c>
    </row>
    <row r="50" spans="1:7" s="302" customFormat="1">
      <c r="A50" s="299" t="s">
        <v>2420</v>
      </c>
      <c r="B50" s="254" t="s">
        <v>2421</v>
      </c>
      <c r="C50" s="276"/>
      <c r="D50" s="276"/>
      <c r="E50" s="276"/>
      <c r="F50" s="308">
        <f>IF('数据-取费表'!B24=0,'数据-取费表'!N16,1)</f>
        <v>0.74</v>
      </c>
      <c r="G50" s="291"/>
    </row>
    <row r="51" spans="1:7" ht="16.5" customHeight="1">
      <c r="A51" s="299" t="s">
        <v>2423</v>
      </c>
      <c r="B51" s="254" t="s">
        <v>2458</v>
      </c>
      <c r="C51" s="276">
        <f ca="1">ROUND(C49*F50,0)</f>
        <v>3156807</v>
      </c>
      <c r="D51" s="276"/>
      <c r="E51" s="276"/>
      <c r="F51" s="308"/>
      <c r="G51" s="278" t="s">
        <v>2425</v>
      </c>
    </row>
    <row r="52" spans="1:7" s="252" customFormat="1" ht="16.5" thickBot="1">
      <c r="A52" s="309" t="s">
        <v>2426</v>
      </c>
      <c r="B52" s="310"/>
      <c r="C52" s="311">
        <f ca="1">C31+C51</f>
        <v>3955896</v>
      </c>
      <c r="D52" s="310"/>
      <c r="E52" s="310"/>
      <c r="F52" s="310"/>
      <c r="G52" s="312"/>
    </row>
    <row r="55" spans="1:7" ht="15">
      <c r="B55" s="314" t="s">
        <v>2427</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2"/>
      <c r="C1" s="1583"/>
      <c r="D1" s="1581"/>
      <c r="E1" s="320"/>
      <c r="F1" s="320"/>
      <c r="G1" s="1582"/>
      <c r="H1" s="320"/>
      <c r="I1" s="320"/>
      <c r="J1" s="320"/>
      <c r="K1" s="320">
        <f>MATCH(C1,'数据-取费表'!A6:A16,0)+5</f>
        <v>7</v>
      </c>
    </row>
    <row r="2" spans="1:33" ht="18" customHeight="1">
      <c r="A2" s="245" t="s">
        <v>2327</v>
      </c>
      <c r="B2" s="248">
        <f ca="1">C32</f>
        <v>-30</v>
      </c>
      <c r="C2" s="320" t="s">
        <v>2460</v>
      </c>
      <c r="D2" s="320"/>
      <c r="E2" s="320"/>
      <c r="F2" s="320"/>
      <c r="G2" s="320"/>
      <c r="H2" s="320"/>
      <c r="I2" s="320"/>
      <c r="J2" s="320"/>
      <c r="K2" s="320"/>
    </row>
    <row r="3" spans="1:33" ht="18" customHeight="1" thickBot="1">
      <c r="A3" s="247" t="s">
        <v>2329</v>
      </c>
      <c r="B3" s="248">
        <f ca="1">ROUND(B2*10000/IF(C1="",'数据-汇总表'!E3,INDIRECT("'数据-取费表'!K"&amp;$K$1)),0)</f>
        <v>-166</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7" t="s">
        <v>2465</v>
      </c>
      <c r="D5" s="2557" t="s">
        <v>2466</v>
      </c>
      <c r="E5" s="2557" t="s">
        <v>2467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1809.36</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1809.36</v>
      </c>
      <c r="E17" s="24">
        <f>'数据-取费表'!B32</f>
        <v>0</v>
      </c>
      <c r="F17" s="981"/>
      <c r="G17" s="140" t="s">
        <v>2491</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27</v>
      </c>
      <c r="D18" s="1036"/>
      <c r="E18" s="24"/>
      <c r="F18" s="979"/>
      <c r="G18" s="2559"/>
      <c r="H18" s="1578"/>
      <c r="I18" s="2560"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2495</v>
      </c>
      <c r="C20" s="24">
        <f ca="1">ROUND(D20*E20/10000,0)</f>
        <v>27</v>
      </c>
      <c r="D20" s="1036">
        <f ca="1">IF(C1="",'数据-汇总表'!E6,IF(INDIRECT("'数据-取费表'!c"&amp;$K$1)="住宅",INDIRECT("'数据-取费表'!s"&amp;$K$1),INDIRECT("'数据-取费表'!k"&amp;$K$1)+INDIRECT("'数据-取费表'!s"&amp;$K$1)))</f>
        <v>1809.36</v>
      </c>
      <c r="E20" s="24">
        <f>'数据-取费表'!B28</f>
        <v>150</v>
      </c>
      <c r="F20" s="979"/>
      <c r="G20" s="15"/>
      <c r="H20" s="984"/>
      <c r="I20" s="984"/>
      <c r="J20" s="984"/>
      <c r="K20" s="985"/>
    </row>
    <row r="21" spans="1:33" s="978" customFormat="1" ht="13.5" customHeight="1">
      <c r="A21" s="964" t="s">
        <v>802</v>
      </c>
      <c r="B21" s="988" t="s">
        <v>2496</v>
      </c>
      <c r="C21" s="989">
        <f ca="1">C16+C17+C18</f>
        <v>27</v>
      </c>
      <c r="D21" s="990"/>
      <c r="E21" s="325"/>
      <c r="F21" s="325"/>
      <c r="G21" s="140" t="s">
        <v>2497</v>
      </c>
      <c r="H21" s="982"/>
      <c r="I21" s="982"/>
      <c r="J21" s="982"/>
      <c r="K21" s="983"/>
    </row>
    <row r="22" spans="1:33" s="978" customFormat="1" ht="13.5" customHeight="1">
      <c r="A22" s="964" t="s">
        <v>2469</v>
      </c>
      <c r="B22" s="988" t="s">
        <v>2498</v>
      </c>
      <c r="C22" s="989">
        <f ca="1">ROUND(C21*F22,0)</f>
        <v>1</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2507</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2508</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2509</v>
      </c>
      <c r="B28" s="2562" t="s">
        <v>2510</v>
      </c>
      <c r="C28" s="331">
        <f ca="1">C30</f>
        <v>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3</v>
      </c>
      <c r="D30" s="328"/>
      <c r="E30" s="329"/>
      <c r="F30" s="334"/>
      <c r="G30" s="140"/>
      <c r="H30" s="982"/>
      <c r="I30" s="982"/>
      <c r="J30" s="982"/>
      <c r="K30" s="983"/>
    </row>
    <row r="31" spans="1:33" s="978" customFormat="1" ht="13.5" customHeight="1" thickBot="1">
      <c r="A31" s="2563" t="s">
        <v>2514</v>
      </c>
      <c r="B31" s="1008" t="s">
        <v>2515</v>
      </c>
      <c r="C31" s="1009">
        <f>ROUND(C4*F31/(1+'数据-取费表'!C42),0)</f>
        <v>0</v>
      </c>
      <c r="D31" s="1010"/>
      <c r="E31" s="1011"/>
      <c r="F31" s="1012">
        <f>'数据-取费表'!B41</f>
        <v>5.6300000000000003E-2</v>
      </c>
      <c r="G31" s="1013" t="s">
        <v>2516</v>
      </c>
      <c r="H31" s="1014"/>
      <c r="I31" s="1014"/>
      <c r="J31" s="1014"/>
      <c r="K31" s="1015"/>
    </row>
    <row r="32" spans="1:33" s="973" customFormat="1" ht="13.5" customHeight="1" thickBot="1">
      <c r="A32" s="1003" t="s">
        <v>2517</v>
      </c>
      <c r="B32" s="1004"/>
      <c r="C32" s="1005">
        <f ca="1">ROUND((C4-C21-C22-C23-C25-C28-C31)/(1+C24+D25+D28),0)</f>
        <v>-30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9" sqref="F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3052</v>
      </c>
      <c r="D1" s="1820" t="s">
        <v>70</v>
      </c>
      <c r="E1" s="1821" t="s">
        <v>1383</v>
      </c>
      <c r="F1" s="1284">
        <f ca="1">J53</f>
        <v>37.28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838</v>
      </c>
      <c r="C2" s="1845" t="s">
        <v>1512</v>
      </c>
      <c r="D2" s="1845"/>
      <c r="E2" s="1846"/>
      <c r="F2" s="1847"/>
      <c r="G2" s="1848"/>
      <c r="H2" s="1840"/>
      <c r="I2" s="1840"/>
      <c r="J2" s="1840"/>
      <c r="K2" s="1841"/>
      <c r="L2" s="1840"/>
      <c r="M2" s="1840"/>
    </row>
    <row r="3" spans="1:37" ht="18" customHeight="1" thickBot="1">
      <c r="A3" s="1849" t="s">
        <v>1513</v>
      </c>
      <c r="B3" s="1850">
        <f ca="1">IF(ISERROR(B2*10000/F43),0,ROUND(B2*10000/F43,0))</f>
        <v>4631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57" t="s">
        <v>1399</v>
      </c>
      <c r="C6" s="1297">
        <f ca="1">ROUND(F6*F8*F7*(1-F9)/10000,0)</f>
        <v>59</v>
      </c>
      <c r="D6" s="164" t="s">
        <v>3028</v>
      </c>
      <c r="E6" s="347" t="s">
        <v>1401</v>
      </c>
      <c r="F6" s="348">
        <f ca="1">INDIRECT("'数据-取费表'!u"&amp;$G$1)</f>
        <v>1</v>
      </c>
      <c r="G6" s="1851"/>
      <c r="H6" s="1292" t="s">
        <v>1032</v>
      </c>
      <c r="I6" s="3157" t="s">
        <v>1399</v>
      </c>
      <c r="J6" s="346">
        <f ca="1">ROUND(M6*M8*M7*(1-M9)/10000,0)</f>
        <v>0</v>
      </c>
      <c r="K6" s="164" t="s">
        <v>3027</v>
      </c>
      <c r="L6" s="347" t="s">
        <v>1401</v>
      </c>
      <c r="M6" s="348">
        <f ca="1">INDIRECT("'数据-取费表'!z"&amp;$G$1)</f>
        <v>0</v>
      </c>
    </row>
    <row r="7" spans="1:37" ht="18" customHeight="1">
      <c r="A7" s="1296"/>
      <c r="B7" s="3158"/>
      <c r="C7" s="1298"/>
      <c r="D7" s="352"/>
      <c r="E7" s="1299" t="s">
        <v>1402</v>
      </c>
      <c r="F7" s="348">
        <f ca="1">IF(INDIRECT("'数据-取费表'!ah"&amp;$G$1)="",INDIRECT("'数据-取费表'!k"&amp;$G$1),INDIRECT("'数据-取费表'!ah"&amp;$G$1))</f>
        <v>1809.36</v>
      </c>
      <c r="G7" s="1851"/>
      <c r="H7" s="349"/>
      <c r="I7" s="3158"/>
      <c r="J7" s="351"/>
      <c r="K7" s="352"/>
      <c r="L7" s="347" t="s">
        <v>1402</v>
      </c>
      <c r="M7" s="348">
        <f ca="1">F7</f>
        <v>1809.36</v>
      </c>
    </row>
    <row r="8" spans="1:37" ht="18" customHeight="1">
      <c r="A8" s="349"/>
      <c r="B8" s="3158"/>
      <c r="C8" s="351"/>
      <c r="D8" s="352"/>
      <c r="E8" s="347" t="s">
        <v>1403</v>
      </c>
      <c r="F8" s="348">
        <f ca="1">INDIRECT("'数据-取费表'!ai"&amp;$G$1)</f>
        <v>365</v>
      </c>
      <c r="G8" s="1851"/>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v>
      </c>
      <c r="G9" s="1851"/>
      <c r="H9" s="349"/>
      <c r="I9" s="3159"/>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3037</v>
      </c>
      <c r="E10" s="358" t="s">
        <v>1406</v>
      </c>
      <c r="F10" s="1367" t="s">
        <v>3115</v>
      </c>
      <c r="G10" s="1851"/>
      <c r="H10" s="1292" t="s">
        <v>1036</v>
      </c>
      <c r="I10" s="1823" t="s">
        <v>1405</v>
      </c>
      <c r="J10" s="346">
        <f ca="1">ROUND(IF(M10="押一",J6/12*M11,IF(M10="押二",J6/12*2*M11,IF(M10="押三",J6/12*3*M11,J11*M11))),0)</f>
        <v>0</v>
      </c>
      <c r="K10" s="1824" t="s">
        <v>3036</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0.34</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424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0.34</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424</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838</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37.28</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4631</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3060</v>
      </c>
      <c r="K47" s="1882" t="s">
        <v>1523</v>
      </c>
      <c r="L47" s="1883">
        <f ca="1">INDIRECT("'数据-取费表'!d"&amp;$G$1)</f>
        <v>50</v>
      </c>
      <c r="M47" s="1838" t="str">
        <f>IF(ISNUMBER(FIND("住宅",C1)),"住宅","非住宅")</f>
        <v>非住宅</v>
      </c>
      <c r="O47" s="1884" t="s">
        <v>1037</v>
      </c>
      <c r="P47" s="1885" t="s">
        <v>1524</v>
      </c>
      <c r="Q47" s="1886">
        <f ca="1">C40+J29</f>
        <v>838</v>
      </c>
      <c r="R47" s="1886" t="s">
        <v>1525</v>
      </c>
    </row>
    <row r="48" spans="1:18" s="1842" customFormat="1" ht="28.5" thickBot="1">
      <c r="A48" s="1361" t="s">
        <v>1132</v>
      </c>
      <c r="B48" s="345" t="s">
        <v>1397</v>
      </c>
      <c r="C48" s="1817">
        <f ca="1">C49+C53+C55</f>
        <v>0</v>
      </c>
      <c r="D48" s="1363"/>
      <c r="E48" s="1364"/>
      <c r="F48" s="1182"/>
      <c r="G48" s="792"/>
      <c r="H48" s="793"/>
      <c r="I48" s="1887" t="s">
        <v>1526</v>
      </c>
      <c r="J48" s="1888" t="s">
        <v>3061</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3029</v>
      </c>
      <c r="E49" s="1830" t="s">
        <v>1487</v>
      </c>
      <c r="F49" s="1282"/>
      <c r="G49" s="1891"/>
      <c r="H49" s="793"/>
      <c r="I49" s="1887" t="s">
        <v>1530</v>
      </c>
      <c r="J49" s="1892"/>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50</v>
      </c>
      <c r="K51" s="1900" t="s">
        <v>1537</v>
      </c>
      <c r="L51" s="1901">
        <f ca="1">ROUND(-PV(INDIRECT("'数据-取费表'!h"&amp;$G$1),L48,(C39-C13*C76),0),0)</f>
        <v>266</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f ca="1">J53</f>
        <v>37.28</v>
      </c>
      <c r="R52" s="1886" t="s">
        <v>1542</v>
      </c>
    </row>
    <row r="53" spans="1:18" s="1842" customFormat="1" ht="24.75" thickBot="1">
      <c r="A53" s="1406" t="s">
        <v>1134</v>
      </c>
      <c r="B53" s="1831" t="s">
        <v>1405</v>
      </c>
      <c r="C53" s="361">
        <f ca="1">ROUND(IF(F53="押一",C49/12*F11,IF(F53="押二",C49/12*2*F11,IF(F53="押三",C49/12*3*F11,C54*F11))),0)</f>
        <v>0</v>
      </c>
      <c r="D53" s="1824" t="s">
        <v>3036</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37.28</v>
      </c>
      <c r="K53" s="3155" t="s">
        <v>1544</v>
      </c>
      <c r="L53" s="3156"/>
      <c r="O53" s="1884" t="s">
        <v>1043</v>
      </c>
      <c r="P53" s="1885" t="s">
        <v>1545</v>
      </c>
      <c r="Q53" s="1886">
        <f ca="1">Q47+Q48</f>
        <v>838</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1550</v>
      </c>
      <c r="J56" s="1917" t="s">
        <v>3055</v>
      </c>
      <c r="K56" s="1887" t="s">
        <v>1551</v>
      </c>
      <c r="L56" s="1890" t="str">
        <f ca="1">IF(L48&lt;J51,"——",L48-J53)</f>
        <v>——</v>
      </c>
      <c r="O56" s="1884" t="s">
        <v>1037</v>
      </c>
      <c r="P56" s="1885" t="s">
        <v>1524</v>
      </c>
      <c r="Q56" s="1886">
        <f ca="1">C40+J29</f>
        <v>838</v>
      </c>
      <c r="R56" s="1886" t="s">
        <v>1525</v>
      </c>
    </row>
    <row r="57" spans="1:18" s="1842" customFormat="1" ht="24.75" thickBot="1">
      <c r="A57" s="1918"/>
      <c r="B57" s="1170" t="s">
        <v>1474</v>
      </c>
      <c r="C57" s="282">
        <f ca="1">C29</f>
        <v>424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8" t="s">
        <v>1420</v>
      </c>
      <c r="C58" s="361">
        <f ca="1">ROUND(C59+C64+C65+C66,0)</f>
        <v>43</v>
      </c>
      <c r="D58" s="1180" t="s">
        <v>1421</v>
      </c>
      <c r="E58" s="1181"/>
      <c r="F58" s="1182"/>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4">
        <f ca="1">ROUND(IF(项目基本情况!B11="自然人",C48*F59,C60+C61+C62),1)</f>
        <v>36</v>
      </c>
      <c r="D59" s="1183" t="s">
        <v>1426</v>
      </c>
      <c r="E59" s="1184"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5">
        <f ca="1">IF(项目基本情况!B11="自然人","——",ROUND(F62*F63/10000,2))</f>
        <v>0.34</v>
      </c>
      <c r="D62" s="1185" t="s">
        <v>1493</v>
      </c>
      <c r="E62" s="1170" t="s">
        <v>1494</v>
      </c>
      <c r="F62" s="371">
        <f t="shared" si="0"/>
        <v>8</v>
      </c>
      <c r="I62" s="1929" t="s">
        <v>1566</v>
      </c>
      <c r="J62" s="1930" t="s">
        <v>1567</v>
      </c>
      <c r="K62" s="1930" t="s">
        <v>1568</v>
      </c>
      <c r="L62" s="1930" t="s">
        <v>1569</v>
      </c>
      <c r="M62" s="1931" t="s">
        <v>1570</v>
      </c>
      <c r="O62" s="1884" t="s">
        <v>1043</v>
      </c>
      <c r="P62" s="1885" t="s">
        <v>1571</v>
      </c>
      <c r="Q62" s="1886">
        <f ca="1">Q56+Q57</f>
        <v>838</v>
      </c>
      <c r="R62" s="1886" t="s">
        <v>1044</v>
      </c>
    </row>
    <row r="63" spans="1:18" s="1842" customFormat="1" ht="13.5" thickBot="1">
      <c r="A63" s="372"/>
      <c r="B63" s="1176"/>
      <c r="C63" s="29"/>
      <c r="D63" s="1186"/>
      <c r="E63" s="1170" t="s">
        <v>1495</v>
      </c>
      <c r="F63" s="348">
        <f t="shared" ca="1" si="0"/>
        <v>424</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1575</v>
      </c>
      <c r="J65" s="1930">
        <v>40</v>
      </c>
      <c r="K65" s="1930">
        <v>30</v>
      </c>
      <c r="L65" s="1930">
        <v>50</v>
      </c>
      <c r="M65" s="1932">
        <v>0.02</v>
      </c>
      <c r="O65" s="1884" t="s">
        <v>1037</v>
      </c>
      <c r="P65" s="1885" t="s">
        <v>1576</v>
      </c>
      <c r="Q65" s="1886">
        <f ca="1">C40+J29</f>
        <v>838</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1554</v>
      </c>
      <c r="Q66" s="1886">
        <f ca="1">L60</f>
        <v>0</v>
      </c>
      <c r="R66" s="1886" t="s">
        <v>1577</v>
      </c>
    </row>
    <row r="67" spans="1:18" s="1842" customFormat="1" ht="16.5" thickBot="1">
      <c r="A67" s="1177" t="s">
        <v>1028</v>
      </c>
      <c r="B67" s="1187" t="s">
        <v>1459</v>
      </c>
      <c r="C67" s="361">
        <f ca="1">C48-C58</f>
        <v>-43</v>
      </c>
      <c r="D67" s="1183" t="s">
        <v>1460</v>
      </c>
      <c r="E67" s="1188"/>
      <c r="F67" s="1189"/>
      <c r="O67" s="1894" t="s">
        <v>1039</v>
      </c>
      <c r="P67" s="1885" t="s">
        <v>1558</v>
      </c>
      <c r="Q67" s="1933">
        <f ca="1">L51</f>
        <v>266</v>
      </c>
      <c r="R67" s="1886" t="s">
        <v>1578</v>
      </c>
    </row>
    <row r="68" spans="1:18" s="1842" customFormat="1" ht="16.5" thickBot="1">
      <c r="A68" s="1167" t="s">
        <v>1029</v>
      </c>
      <c r="B68" s="1168" t="s">
        <v>1481</v>
      </c>
      <c r="C68" s="346">
        <f ca="1">ROUND(C67*(1-((1+F70)/(1+F68))^F69)/(F68-F70),0)</f>
        <v>-676</v>
      </c>
      <c r="D68" s="1185" t="s">
        <v>1465</v>
      </c>
      <c r="E68" s="1170" t="s">
        <v>1466</v>
      </c>
      <c r="F68" s="357">
        <f ca="1">F40</f>
        <v>5.5E-2</v>
      </c>
      <c r="O68" s="1894" t="s">
        <v>1040</v>
      </c>
      <c r="P68" s="1934" t="s">
        <v>1579</v>
      </c>
      <c r="Q68" s="1886">
        <f ca="1">ROUND(Q69-Q70*Q71,0)</f>
        <v>16</v>
      </c>
      <c r="R68" s="1886" t="s">
        <v>1048</v>
      </c>
    </row>
    <row r="69" spans="1:18" s="1842" customFormat="1" ht="13.5" thickBot="1">
      <c r="A69" s="1171"/>
      <c r="B69" s="1172"/>
      <c r="C69" s="351"/>
      <c r="D69" s="1190" t="s">
        <v>1469</v>
      </c>
      <c r="E69" s="1170" t="s">
        <v>1470</v>
      </c>
      <c r="F69" s="379">
        <f ca="1">F41</f>
        <v>37.28</v>
      </c>
      <c r="O69" s="1894" t="s">
        <v>1045</v>
      </c>
      <c r="P69" s="1934" t="s">
        <v>1580</v>
      </c>
      <c r="Q69" s="1886">
        <f ca="1">C39</f>
        <v>41</v>
      </c>
      <c r="R69" s="1886" t="s">
        <v>1525</v>
      </c>
    </row>
    <row r="70" spans="1:18" s="1842" customFormat="1" ht="13.5" thickBot="1">
      <c r="A70" s="1174"/>
      <c r="B70" s="1175"/>
      <c r="C70" s="355"/>
      <c r="D70" s="1186"/>
      <c r="E70" s="1170" t="s">
        <v>1473</v>
      </c>
      <c r="F70" s="1276"/>
      <c r="O70" s="1894" t="s">
        <v>1046</v>
      </c>
      <c r="P70" s="1934" t="s">
        <v>1581</v>
      </c>
      <c r="Q70" s="1886">
        <f ca="1">C13</f>
        <v>314</v>
      </c>
      <c r="R70" s="1886" t="s">
        <v>1525</v>
      </c>
    </row>
    <row r="71" spans="1:18" s="1842" customFormat="1" ht="13.5" thickBot="1">
      <c r="A71" s="1191" t="s">
        <v>1030</v>
      </c>
      <c r="B71" s="1192" t="s">
        <v>1483</v>
      </c>
      <c r="C71" s="382">
        <f ca="1">ROUND(C68*10000/F71,0)</f>
        <v>-3736</v>
      </c>
      <c r="D71" s="1193" t="s">
        <v>1484</v>
      </c>
      <c r="E71" s="1194" t="s">
        <v>1485</v>
      </c>
      <c r="F71" s="385">
        <f ca="1">F43</f>
        <v>1809.36</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25</v>
      </c>
      <c r="D75" s="1842"/>
      <c r="E75" s="1842"/>
      <c r="F75" s="1842"/>
      <c r="K75" s="1868"/>
      <c r="L75" s="1842"/>
      <c r="O75" s="1884" t="s">
        <v>1043</v>
      </c>
      <c r="P75" s="1885" t="s">
        <v>1545</v>
      </c>
      <c r="Q75" s="1886">
        <f ca="1">Q65+Q66</f>
        <v>838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3">
      <c r="B81" s="314" t="s">
        <v>1508</v>
      </c>
      <c r="C81" s="282"/>
    </row>
    <row r="82" spans="2:3">
      <c r="B82" s="317" t="s">
        <v>1509</v>
      </c>
      <c r="C82" s="319">
        <f ca="1">1-C83</f>
        <v>0.625</v>
      </c>
    </row>
    <row r="83" spans="2:3">
      <c r="B83" s="317" t="s">
        <v>1510</v>
      </c>
      <c r="C83" s="318">
        <f ca="1">ROUND(C13/C40,3)</f>
        <v>0.375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3">
        <f ca="1">C6+C10+C12</f>
        <v>0</v>
      </c>
      <c r="D5" s="1822" t="s">
        <v>1597</v>
      </c>
      <c r="E5" s="1294"/>
      <c r="F5" s="1295"/>
      <c r="G5" s="1851"/>
      <c r="H5" s="344">
        <v>1</v>
      </c>
      <c r="I5" s="345" t="s">
        <v>1596</v>
      </c>
      <c r="J5" s="1293">
        <f ca="1">J6+J10+J12</f>
        <v>0</v>
      </c>
      <c r="K5" s="1822" t="s">
        <v>1597</v>
      </c>
      <c r="L5" s="1294"/>
      <c r="M5" s="1295"/>
    </row>
    <row r="6" spans="1:37" ht="18" customHeight="1">
      <c r="A6" s="1292" t="s">
        <v>1032</v>
      </c>
      <c r="B6" s="3157" t="s">
        <v>1399</v>
      </c>
      <c r="C6" s="1297">
        <f ca="1">ROUND(F6*F8*F7*(1-F9),0)</f>
        <v>0</v>
      </c>
      <c r="D6" s="164" t="s">
        <v>3025</v>
      </c>
      <c r="E6" s="347" t="s">
        <v>1401</v>
      </c>
      <c r="F6" s="348">
        <f ca="1">INDIRECT("'数据-取费表'!u"&amp;$G$1)</f>
        <v>0</v>
      </c>
      <c r="G6" s="1851"/>
      <c r="H6" s="1292" t="s">
        <v>1032</v>
      </c>
      <c r="I6" s="3157" t="s">
        <v>1399</v>
      </c>
      <c r="J6" s="346">
        <f ca="1">ROUND(M6*M8*M7*(1-M9),0)</f>
        <v>0</v>
      </c>
      <c r="K6" s="1834" t="s">
        <v>3026</v>
      </c>
      <c r="L6" s="347" t="s">
        <v>1401</v>
      </c>
      <c r="M6" s="348">
        <f ca="1">INDIRECT("'数据-取费表'!z"&amp;$G$1)</f>
        <v>0</v>
      </c>
    </row>
    <row r="7" spans="1:37" ht="18" customHeight="1">
      <c r="A7" s="1296"/>
      <c r="B7" s="3158"/>
      <c r="C7" s="1298"/>
      <c r="D7" s="352"/>
      <c r="E7" s="1299" t="s">
        <v>1402</v>
      </c>
      <c r="F7" s="348">
        <f ca="1">IF(INDIRECT("'数据-取费表'!ah"&amp;$G$1)="",INDIRECT("'数据-取费表'!k"&amp;$G$1),INDIRECT("'数据-取费表'!ah"&amp;$G$1))</f>
        <v>0</v>
      </c>
      <c r="G7" s="1851"/>
      <c r="H7" s="349"/>
      <c r="I7" s="3158"/>
      <c r="J7" s="351"/>
      <c r="K7" s="352"/>
      <c r="L7" s="347" t="s">
        <v>1402</v>
      </c>
      <c r="M7" s="348">
        <f ca="1">F7</f>
        <v>0</v>
      </c>
    </row>
    <row r="8" spans="1:37" ht="18" customHeight="1">
      <c r="A8" s="349"/>
      <c r="B8" s="3158"/>
      <c r="C8" s="351"/>
      <c r="D8" s="352"/>
      <c r="E8" s="347" t="s">
        <v>1403</v>
      </c>
      <c r="F8" s="348">
        <f ca="1">INDIRECT("'数据-取费表'!ai"&amp;$G$1)</f>
        <v>0</v>
      </c>
      <c r="G8" s="1851"/>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1"/>
      <c r="H9" s="349"/>
      <c r="I9" s="3159"/>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3036</v>
      </c>
      <c r="E10" s="358" t="s">
        <v>1406</v>
      </c>
      <c r="F10" s="1367"/>
      <c r="G10" s="1851"/>
      <c r="H10" s="1292" t="s">
        <v>1036</v>
      </c>
      <c r="I10" s="1823" t="s">
        <v>1405</v>
      </c>
      <c r="J10" s="346">
        <f ca="1">ROUND(IF(M10="押一",J6/12*M11,IF(M10="押二",J6/12*2*M11,IF(M10="押三",J6/12*3*M11,J11*M11))),0)</f>
        <v>0</v>
      </c>
      <c r="K10" s="1835" t="s">
        <v>3038</v>
      </c>
      <c r="L10" s="358" t="s">
        <v>1406</v>
      </c>
      <c r="M10" s="1367"/>
    </row>
    <row r="11" spans="1:37" ht="18" customHeight="1">
      <c r="A11" s="353"/>
      <c r="B11" s="1825" t="s">
        <v>1598</v>
      </c>
      <c r="C11" s="1179"/>
      <c r="D11" s="352"/>
      <c r="E11" s="358" t="s">
        <v>1408</v>
      </c>
      <c r="F11" s="359">
        <f ca="1">'数据-取费表'!B39</f>
        <v>1.4999999999999999E-2</v>
      </c>
      <c r="G11" s="1851"/>
      <c r="H11" s="1300"/>
      <c r="I11" s="1825" t="s">
        <v>1599</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3039</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55" t="s">
        <v>1544</v>
      </c>
      <c r="L53" s="3156"/>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8" t="s">
        <v>1420</v>
      </c>
      <c r="C58" s="361">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6"/>
      <c r="C63" s="29"/>
      <c r="D63" s="1186"/>
      <c r="E63" s="1170"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1554</v>
      </c>
      <c r="Q66" s="1886" t="e">
        <f ca="1">L60</f>
        <v>#DIV/0!</v>
      </c>
      <c r="R66" s="1886" t="s">
        <v>1577</v>
      </c>
    </row>
    <row r="67" spans="1:18" s="1842" customFormat="1" ht="16.5" thickBot="1">
      <c r="A67" s="1177" t="s">
        <v>1028</v>
      </c>
      <c r="B67" s="1187" t="s">
        <v>1459</v>
      </c>
      <c r="C67" s="361">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1579</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1580</v>
      </c>
      <c r="Q69" s="1886">
        <f ca="1">C39</f>
        <v>0</v>
      </c>
      <c r="R69" s="1886" t="s">
        <v>1525</v>
      </c>
    </row>
    <row r="70" spans="1:18" s="1842" customFormat="1" ht="13.5" thickBot="1">
      <c r="A70" s="1174"/>
      <c r="B70" s="1175"/>
      <c r="C70" s="355"/>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2526</v>
      </c>
      <c r="B1" s="2565"/>
      <c r="C1" s="2565"/>
      <c r="D1" s="2565"/>
      <c r="E1" s="2566"/>
    </row>
    <row r="2" spans="1:6" ht="15.75">
      <c r="A2" s="2567" t="s">
        <v>2327</v>
      </c>
      <c r="B2" s="2568">
        <f ca="1">SUMIF(B6:B13,"&lt;&gt;#ref!",B6:B13)</f>
        <v>838</v>
      </c>
      <c r="C2" s="2569" t="s">
        <v>2519</v>
      </c>
      <c r="D2" s="2570" t="s">
        <v>2520</v>
      </c>
      <c r="E2" s="2571">
        <f>SUM(E6:E13)</f>
        <v>1809.36</v>
      </c>
    </row>
    <row r="3" spans="1:6" ht="15.75">
      <c r="A3" s="2567" t="s">
        <v>1391</v>
      </c>
      <c r="B3" s="2568">
        <f ca="1">ROUND(B2*10000/E2,0)</f>
        <v>4631</v>
      </c>
      <c r="C3" s="2569" t="s">
        <v>2527</v>
      </c>
      <c r="D3" s="2572"/>
      <c r="E3" s="2573"/>
    </row>
    <row r="4" spans="1:6" ht="15.75">
      <c r="A4" s="2574"/>
      <c r="B4" s="2572"/>
      <c r="C4" s="2572"/>
      <c r="D4" s="2572"/>
      <c r="E4" s="2573"/>
    </row>
    <row r="5" spans="1:6" ht="15">
      <c r="A5" s="2575" t="s">
        <v>2521</v>
      </c>
      <c r="B5" s="3160" t="s">
        <v>2522</v>
      </c>
      <c r="C5" s="3160"/>
      <c r="D5" s="2576"/>
      <c r="E5" s="2577" t="s">
        <v>2523</v>
      </c>
      <c r="F5" s="2578" t="s">
        <v>2524</v>
      </c>
    </row>
    <row r="6" spans="1:6">
      <c r="A6" s="2579" t="str">
        <f>'数据-取费表'!AN6</f>
        <v>收益法</v>
      </c>
      <c r="B6" s="2578">
        <f ca="1">IF(F6="是",'数据-取费表'!AO6,0)</f>
        <v>838</v>
      </c>
      <c r="C6" s="2569" t="s">
        <v>2519</v>
      </c>
      <c r="D6" s="2572"/>
      <c r="E6" s="2580">
        <f>IF(OR(A6=0,F6="否"),0,'数据-取费表'!K6+'数据-取费表'!S6)</f>
        <v>1809.36</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67" t="s">
        <v>1074</v>
      </c>
      <c r="B2" s="3168" t="s">
        <v>1075</v>
      </c>
      <c r="C2" s="3168"/>
      <c r="D2" s="1302" t="s">
        <v>1076</v>
      </c>
      <c r="E2" s="1302" t="s">
        <v>1077</v>
      </c>
      <c r="F2" s="1302" t="s">
        <v>1078</v>
      </c>
      <c r="G2" s="1302" t="s">
        <v>1079</v>
      </c>
      <c r="H2" s="1302" t="s">
        <v>1080</v>
      </c>
      <c r="I2" s="1303" t="s">
        <v>1081</v>
      </c>
    </row>
    <row r="3" spans="1:9">
      <c r="A3" s="3167"/>
      <c r="B3" s="3168" t="s">
        <v>1082</v>
      </c>
      <c r="C3" s="3168"/>
      <c r="D3" s="1304"/>
      <c r="E3" s="1302"/>
      <c r="F3" s="1305"/>
      <c r="G3" s="1305"/>
      <c r="H3" s="1306"/>
      <c r="I3" s="1307">
        <f>ROUND(D3*E3*F3*G3*H3/10000,0)</f>
        <v>0</v>
      </c>
    </row>
    <row r="4" spans="1:9">
      <c r="A4" s="3167"/>
      <c r="B4" s="3168" t="s">
        <v>1083</v>
      </c>
      <c r="C4" s="3168"/>
      <c r="D4" s="1304"/>
      <c r="E4" s="1302"/>
      <c r="F4" s="1305"/>
      <c r="G4" s="1305"/>
      <c r="H4" s="1306"/>
      <c r="I4" s="1307">
        <f t="shared" ref="I4:I9" si="0">ROUND(D4*E4*F4*G4*H4/10000,0)</f>
        <v>0</v>
      </c>
    </row>
    <row r="5" spans="1:9">
      <c r="A5" s="3167"/>
      <c r="B5" s="3168" t="s">
        <v>1084</v>
      </c>
      <c r="C5" s="3168"/>
      <c r="D5" s="1304"/>
      <c r="E5" s="1302"/>
      <c r="F5" s="1305"/>
      <c r="G5" s="1305"/>
      <c r="H5" s="1306"/>
      <c r="I5" s="1307">
        <f t="shared" si="0"/>
        <v>0</v>
      </c>
    </row>
    <row r="6" spans="1:9">
      <c r="A6" s="3167"/>
      <c r="B6" s="3168" t="s">
        <v>1085</v>
      </c>
      <c r="C6" s="3168"/>
      <c r="D6" s="1304"/>
      <c r="E6" s="1302"/>
      <c r="F6" s="1305"/>
      <c r="G6" s="1305"/>
      <c r="H6" s="1306"/>
      <c r="I6" s="1307">
        <f t="shared" si="0"/>
        <v>0</v>
      </c>
    </row>
    <row r="7" spans="1:9">
      <c r="A7" s="3167"/>
      <c r="B7" s="3168" t="s">
        <v>1086</v>
      </c>
      <c r="C7" s="3168"/>
      <c r="D7" s="1304"/>
      <c r="E7" s="1302"/>
      <c r="F7" s="1305"/>
      <c r="G7" s="1305"/>
      <c r="H7" s="1306"/>
      <c r="I7" s="1307">
        <f t="shared" si="0"/>
        <v>0</v>
      </c>
    </row>
    <row r="8" spans="1:9">
      <c r="A8" s="3167"/>
      <c r="B8" s="3168" t="s">
        <v>1087</v>
      </c>
      <c r="C8" s="3168"/>
      <c r="D8" s="1304"/>
      <c r="E8" s="1302"/>
      <c r="F8" s="1305"/>
      <c r="G8" s="1305"/>
      <c r="H8" s="1306"/>
      <c r="I8" s="1307">
        <f t="shared" si="0"/>
        <v>0</v>
      </c>
    </row>
    <row r="9" spans="1:9">
      <c r="A9" s="3167"/>
      <c r="B9" s="3168" t="s">
        <v>1088</v>
      </c>
      <c r="C9" s="3168"/>
      <c r="D9" s="1304"/>
      <c r="E9" s="1302"/>
      <c r="F9" s="1305"/>
      <c r="G9" s="1305"/>
      <c r="H9" s="1306"/>
      <c r="I9" s="1307">
        <f t="shared" si="0"/>
        <v>0</v>
      </c>
    </row>
    <row r="10" spans="1:9">
      <c r="A10" s="3167"/>
      <c r="B10" s="3169" t="s">
        <v>1089</v>
      </c>
      <c r="C10" s="3169"/>
      <c r="D10" s="1308"/>
      <c r="E10" s="1308" t="e">
        <f>ROUND(D1*10000/D10/H9,0)</f>
        <v>#DIV/0!</v>
      </c>
      <c r="F10" s="1309"/>
      <c r="G10" s="1309"/>
      <c r="H10" s="1310"/>
      <c r="I10" s="1311">
        <f>SUM(I3:I9)</f>
        <v>0</v>
      </c>
    </row>
    <row r="11" spans="1:9" ht="14.25">
      <c r="A11" s="3167" t="s">
        <v>1090</v>
      </c>
      <c r="B11" s="3168" t="s">
        <v>1091</v>
      </c>
      <c r="C11" s="3168"/>
      <c r="D11" s="1304" t="s">
        <v>1092</v>
      </c>
      <c r="E11" s="1304" t="s">
        <v>1093</v>
      </c>
      <c r="F11" s="1305" t="s">
        <v>1094</v>
      </c>
      <c r="G11" s="1305" t="s">
        <v>1080</v>
      </c>
      <c r="H11" s="1312" t="s">
        <v>1095</v>
      </c>
      <c r="I11" s="1303" t="s">
        <v>1081</v>
      </c>
    </row>
    <row r="12" spans="1:9">
      <c r="A12" s="3167"/>
      <c r="B12" s="3168" t="s">
        <v>1096</v>
      </c>
      <c r="C12" s="3168"/>
      <c r="D12" s="1304"/>
      <c r="E12" s="1304"/>
      <c r="F12" s="1305"/>
      <c r="G12" s="1306"/>
      <c r="H12" s="1313"/>
      <c r="I12" s="1303">
        <f>ROUND(D12*E12*F12*G12/10000,0)</f>
        <v>0</v>
      </c>
    </row>
    <row r="13" spans="1:9">
      <c r="A13" s="3167"/>
      <c r="B13" s="3168" t="s">
        <v>1097</v>
      </c>
      <c r="C13" s="3168"/>
      <c r="D13" s="1304"/>
      <c r="E13" s="1304"/>
      <c r="F13" s="1305"/>
      <c r="G13" s="1306"/>
      <c r="H13" s="1313"/>
      <c r="I13" s="1303">
        <f>ROUND(D13*E13*F13*G13/10000,0)</f>
        <v>0</v>
      </c>
    </row>
    <row r="14" spans="1:9">
      <c r="A14" s="3167"/>
      <c r="B14" s="3168" t="s">
        <v>1098</v>
      </c>
      <c r="C14" s="3168"/>
      <c r="D14" s="1304"/>
      <c r="E14" s="1304"/>
      <c r="F14" s="1305"/>
      <c r="G14" s="1306"/>
      <c r="H14" s="1313"/>
      <c r="I14" s="1303">
        <f>ROUND(D14*E14*F14*G14/10000,0)</f>
        <v>0</v>
      </c>
    </row>
    <row r="15" spans="1:9">
      <c r="A15" s="3167"/>
      <c r="B15" s="3169" t="s">
        <v>1089</v>
      </c>
      <c r="C15" s="3169"/>
      <c r="D15" s="1308"/>
      <c r="E15" s="1308">
        <f>SUM(E12:E14)</f>
        <v>0</v>
      </c>
      <c r="F15" s="1309"/>
      <c r="G15" s="1306"/>
      <c r="H15" s="1313"/>
      <c r="I15" s="1314">
        <f>SUM(I12:I14)</f>
        <v>0</v>
      </c>
    </row>
    <row r="16" spans="1:9" ht="24">
      <c r="A16" s="3167" t="s">
        <v>1099</v>
      </c>
      <c r="B16" s="3168" t="s">
        <v>1100</v>
      </c>
      <c r="C16" s="3168"/>
      <c r="D16" s="1304" t="s">
        <v>1076</v>
      </c>
      <c r="E16" s="1315" t="s">
        <v>1101</v>
      </c>
      <c r="F16" s="1305" t="s">
        <v>1102</v>
      </c>
      <c r="G16" s="1306" t="s">
        <v>1080</v>
      </c>
      <c r="H16" s="1312" t="s">
        <v>1095</v>
      </c>
      <c r="I16" s="1303" t="s">
        <v>1081</v>
      </c>
    </row>
    <row r="17" spans="1:9" ht="14.25">
      <c r="A17" s="3167"/>
      <c r="B17" s="3168" t="s">
        <v>1103</v>
      </c>
      <c r="C17" s="3168"/>
      <c r="D17" s="1304"/>
      <c r="E17" s="1304"/>
      <c r="F17" s="1305"/>
      <c r="G17" s="1306"/>
      <c r="H17" s="1316"/>
      <c r="I17" s="1317">
        <f>ROUND(D17*E17*F17*G17/10000,0)</f>
        <v>0</v>
      </c>
    </row>
    <row r="18" spans="1:9" ht="14.25">
      <c r="A18" s="3167"/>
      <c r="B18" s="3168" t="s">
        <v>1104</v>
      </c>
      <c r="C18" s="3168"/>
      <c r="D18" s="1304"/>
      <c r="E18" s="1304"/>
      <c r="F18" s="1305"/>
      <c r="G18" s="1306"/>
      <c r="H18" s="1316"/>
      <c r="I18" s="1317">
        <f>ROUND(D18*E18*F18*G18/10000,0)</f>
        <v>0</v>
      </c>
    </row>
    <row r="19" spans="1:9" ht="14.25">
      <c r="A19" s="3167"/>
      <c r="B19" s="3168" t="s">
        <v>1105</v>
      </c>
      <c r="C19" s="3168"/>
      <c r="D19" s="1304"/>
      <c r="E19" s="1304"/>
      <c r="F19" s="1305"/>
      <c r="G19" s="1306"/>
      <c r="H19" s="1316"/>
      <c r="I19" s="1317">
        <f>ROUND(D19*E19*F19*G19/10000,0)</f>
        <v>0</v>
      </c>
    </row>
    <row r="20" spans="1:9">
      <c r="A20" s="3167"/>
      <c r="B20" s="3169" t="s">
        <v>1089</v>
      </c>
      <c r="C20" s="3169"/>
      <c r="D20" s="1308">
        <f>SUM(D17:D19)</f>
        <v>0</v>
      </c>
      <c r="E20" s="1308"/>
      <c r="F20" s="1309"/>
      <c r="G20" s="1306"/>
      <c r="H20" s="1313"/>
      <c r="I20" s="1314">
        <f>SUM(I17:I19)</f>
        <v>0</v>
      </c>
    </row>
    <row r="21" spans="1:9">
      <c r="A21" s="3167" t="s">
        <v>1106</v>
      </c>
      <c r="B21" s="3170"/>
      <c r="C21" s="3170"/>
      <c r="D21" s="3170"/>
      <c r="E21" s="3170"/>
      <c r="F21" s="3170"/>
      <c r="G21" s="3170"/>
      <c r="H21" s="1766">
        <v>0.1</v>
      </c>
      <c r="I21" s="1311">
        <f>ROUND(I10*H21,0)</f>
        <v>0</v>
      </c>
    </row>
    <row r="22" spans="1:9" ht="14.25">
      <c r="A22" s="3171" t="s">
        <v>1107</v>
      </c>
      <c r="B22" s="3172"/>
      <c r="C22" s="3173"/>
      <c r="D22" s="1318" t="s">
        <v>1108</v>
      </c>
      <c r="E22" s="1318" t="s">
        <v>1109</v>
      </c>
      <c r="F22" s="1319" t="s">
        <v>1110</v>
      </c>
      <c r="G22" s="1319" t="s">
        <v>1111</v>
      </c>
      <c r="H22" s="1312" t="s">
        <v>1112</v>
      </c>
      <c r="I22" s="1303" t="s">
        <v>1113</v>
      </c>
    </row>
    <row r="23" spans="1:9" ht="14.25" thickBot="1">
      <c r="A23" s="3174"/>
      <c r="B23" s="3175"/>
      <c r="C23" s="3176"/>
      <c r="D23" s="1320"/>
      <c r="E23" s="1320"/>
      <c r="F23" s="1320"/>
      <c r="G23" s="1321"/>
      <c r="H23" s="1322"/>
      <c r="I23" s="1323">
        <f>ROUND(E23*D23*F23*(1-G23)/10000,0)</f>
        <v>0</v>
      </c>
    </row>
    <row r="26" spans="1:9">
      <c r="A26" s="1324" t="s">
        <v>1114</v>
      </c>
      <c r="B26" s="1324"/>
      <c r="C26" s="1324"/>
      <c r="D26" s="1324"/>
      <c r="E26" s="3164">
        <f>C27-C30-C31-C32</f>
        <v>0</v>
      </c>
      <c r="F26" s="3164"/>
      <c r="G26" s="3164"/>
      <c r="H26" s="1738" t="s">
        <v>1336</v>
      </c>
    </row>
    <row r="27" spans="1:9">
      <c r="A27" s="1325">
        <v>1</v>
      </c>
      <c r="B27" s="1326" t="s">
        <v>1115</v>
      </c>
      <c r="C27" s="1326">
        <f>C28+C29</f>
        <v>0</v>
      </c>
      <c r="D27" s="1326"/>
      <c r="E27" s="3165"/>
      <c r="F27" s="3165"/>
      <c r="G27" s="3165"/>
    </row>
    <row r="28" spans="1:9">
      <c r="A28" s="1327" t="s">
        <v>1116</v>
      </c>
      <c r="B28" s="1326" t="s">
        <v>1117</v>
      </c>
      <c r="C28" s="1326"/>
      <c r="D28" s="1326"/>
      <c r="E28" s="3165"/>
      <c r="F28" s="3165"/>
      <c r="G28" s="3165"/>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66"/>
      <c r="F32" s="3166"/>
      <c r="G32" s="3166"/>
    </row>
    <row r="33" spans="1:7" hidden="1">
      <c r="A33" s="3161" t="s">
        <v>1126</v>
      </c>
      <c r="B33" s="3162"/>
      <c r="C33" s="3162"/>
      <c r="D33" s="3163"/>
      <c r="E33" s="3164"/>
      <c r="F33" s="3164"/>
      <c r="G33" s="3164"/>
    </row>
    <row r="34" spans="1:7" hidden="1">
      <c r="A34" s="1329">
        <v>1</v>
      </c>
      <c r="B34" s="1326" t="s">
        <v>1127</v>
      </c>
      <c r="C34" s="1326"/>
      <c r="D34" s="1326"/>
      <c r="E34" s="3165"/>
      <c r="F34" s="3165"/>
      <c r="G34" s="3165"/>
    </row>
    <row r="35" spans="1:7" hidden="1">
      <c r="A35" s="1329">
        <v>2</v>
      </c>
      <c r="B35" s="1326" t="s">
        <v>1128</v>
      </c>
      <c r="C35" s="1326"/>
      <c r="D35" s="1326"/>
      <c r="E35" s="3165"/>
      <c r="F35" s="3165"/>
      <c r="G35" s="3165"/>
    </row>
    <row r="36" spans="1:7" hidden="1">
      <c r="A36" s="1329">
        <v>3</v>
      </c>
      <c r="B36" s="1326" t="s">
        <v>1129</v>
      </c>
      <c r="C36" s="1326"/>
      <c r="D36" s="1326"/>
      <c r="E36" s="3165"/>
      <c r="F36" s="3165"/>
      <c r="G36" s="3165"/>
    </row>
    <row r="37" spans="1:7" hidden="1">
      <c r="A37" s="1329">
        <v>4</v>
      </c>
      <c r="B37" s="1326" t="s">
        <v>1130</v>
      </c>
      <c r="C37" s="1326"/>
      <c r="D37" s="1326"/>
      <c r="E37" s="3165"/>
      <c r="F37" s="3165"/>
      <c r="G37" s="3165"/>
    </row>
    <row r="38" spans="1:7" hidden="1">
      <c r="A38" s="3161" t="s">
        <v>1131</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85" t="s">
        <v>2529</v>
      </c>
      <c r="C1" s="1635" t="s">
        <v>2530</v>
      </c>
      <c r="D1" s="1622"/>
      <c r="E1" s="2586"/>
      <c r="F1" s="2587" t="s">
        <v>2531</v>
      </c>
      <c r="G1" s="1632" t="s">
        <v>2532</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2533</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2534</v>
      </c>
      <c r="D3" s="399">
        <f>IF(D1="",'数据-汇总表'!E3,SUMIF('数据-汇总表'!$C19:$C33,D1,'数据-汇总表'!$E19:$E33))</f>
        <v>1809.36</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2535</v>
      </c>
      <c r="B4" s="402"/>
      <c r="C4" s="3200" t="s">
        <v>2536</v>
      </c>
      <c r="D4" s="3201"/>
      <c r="E4" s="3202" t="s">
        <v>2537</v>
      </c>
      <c r="F4" s="3203"/>
      <c r="G4" s="3200" t="s">
        <v>2538</v>
      </c>
      <c r="H4" s="3201"/>
      <c r="I4" s="3200" t="s">
        <v>2539</v>
      </c>
      <c r="J4" s="3201"/>
      <c r="K4" s="2599" t="s">
        <v>2540</v>
      </c>
      <c r="L4" s="1131"/>
      <c r="M4" s="1132"/>
      <c r="N4" s="1132"/>
      <c r="O4" s="1132"/>
      <c r="P4" s="3204" t="s">
        <v>2541</v>
      </c>
      <c r="Q4" s="3205"/>
      <c r="R4" s="3210" t="s">
        <v>2537</v>
      </c>
      <c r="S4" s="3211"/>
      <c r="T4" s="3210" t="s">
        <v>2538</v>
      </c>
      <c r="U4" s="3211"/>
      <c r="V4" s="3216" t="s">
        <v>2539</v>
      </c>
      <c r="W4" s="3216"/>
      <c r="X4" s="1813"/>
      <c r="Y4" s="3210" t="s">
        <v>2541</v>
      </c>
      <c r="Z4" s="3211"/>
      <c r="AA4" s="3197" t="s">
        <v>2537</v>
      </c>
      <c r="AB4" s="3197" t="s">
        <v>2538</v>
      </c>
      <c r="AC4" s="3197" t="s">
        <v>2539</v>
      </c>
    </row>
    <row r="5" spans="1:29" ht="15">
      <c r="A5" s="404"/>
      <c r="B5" s="405"/>
      <c r="C5" s="3219" t="s">
        <v>2542</v>
      </c>
      <c r="D5" s="3220"/>
      <c r="E5" s="3226" t="s">
        <v>2543</v>
      </c>
      <c r="F5" s="3227"/>
      <c r="G5" s="3219" t="s">
        <v>2544</v>
      </c>
      <c r="H5" s="3220"/>
      <c r="I5" s="3219" t="s">
        <v>2545</v>
      </c>
      <c r="J5" s="3220"/>
      <c r="K5" s="260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2546</v>
      </c>
      <c r="D6" s="3218"/>
      <c r="E6" s="3224" t="s">
        <v>2546</v>
      </c>
      <c r="F6" s="3225"/>
      <c r="G6" s="3217" t="s">
        <v>2546</v>
      </c>
      <c r="H6" s="3218"/>
      <c r="I6" s="3217" t="s">
        <v>2546</v>
      </c>
      <c r="J6" s="3218"/>
      <c r="K6" s="2600" t="s">
        <v>2547</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2548</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21" t="s">
        <v>2549</v>
      </c>
      <c r="Q7" s="3223"/>
      <c r="R7" s="770" t="s">
        <v>23</v>
      </c>
      <c r="S7" s="771">
        <f t="shared" ref="S7:S15" si="0">F7</f>
        <v>0</v>
      </c>
      <c r="T7" s="770" t="s">
        <v>23</v>
      </c>
      <c r="U7" s="771">
        <f t="shared" ref="U7:U15" si="1">H7</f>
        <v>0</v>
      </c>
      <c r="V7" s="770" t="s">
        <v>23</v>
      </c>
      <c r="W7" s="771">
        <f t="shared" ref="W7:W15" si="2">J7</f>
        <v>0</v>
      </c>
      <c r="X7" s="772"/>
      <c r="Y7" s="3221" t="s">
        <v>2549</v>
      </c>
      <c r="Z7" s="3222"/>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21" t="s">
        <v>2552</v>
      </c>
      <c r="Q8" s="3222"/>
      <c r="R8" s="770" t="s">
        <v>23</v>
      </c>
      <c r="S8" s="771">
        <f t="shared" si="0"/>
        <v>0</v>
      </c>
      <c r="T8" s="770" t="s">
        <v>23</v>
      </c>
      <c r="U8" s="771">
        <f t="shared" si="1"/>
        <v>0</v>
      </c>
      <c r="V8" s="770" t="s">
        <v>23</v>
      </c>
      <c r="W8" s="771">
        <f t="shared" si="2"/>
        <v>0</v>
      </c>
      <c r="X8" s="772"/>
      <c r="Y8" s="3221" t="s">
        <v>2552</v>
      </c>
      <c r="Z8" s="322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196"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96"/>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196"/>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196"/>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196"/>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94" t="s">
        <v>2560</v>
      </c>
      <c r="Q15" s="1810" t="str">
        <f t="shared" si="6"/>
        <v>居住社区成熟度</v>
      </c>
      <c r="R15" s="774" t="s">
        <v>21</v>
      </c>
      <c r="S15" s="775">
        <f t="shared" si="0"/>
        <v>100</v>
      </c>
      <c r="T15" s="774" t="s">
        <v>21</v>
      </c>
      <c r="U15" s="775">
        <f t="shared" si="1"/>
        <v>100</v>
      </c>
      <c r="V15" s="774" t="s">
        <v>21</v>
      </c>
      <c r="W15" s="775">
        <f t="shared" si="2"/>
        <v>100</v>
      </c>
      <c r="X15" s="1813"/>
      <c r="Y15" s="3187"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195"/>
      <c r="Q16" s="1810"/>
      <c r="R16" s="774"/>
      <c r="S16" s="775"/>
      <c r="T16" s="774"/>
      <c r="U16" s="775"/>
      <c r="V16" s="774"/>
      <c r="W16" s="775"/>
      <c r="X16" s="1813"/>
      <c r="Y16" s="318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95"/>
      <c r="Q17" s="1810" t="str">
        <f>B17</f>
        <v>交通便捷度</v>
      </c>
      <c r="R17" s="774" t="s">
        <v>21</v>
      </c>
      <c r="S17" s="775">
        <f>F17</f>
        <v>100</v>
      </c>
      <c r="T17" s="774" t="s">
        <v>21</v>
      </c>
      <c r="U17" s="775">
        <f>H17</f>
        <v>100</v>
      </c>
      <c r="V17" s="774" t="s">
        <v>21</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195"/>
      <c r="Q18" s="1810"/>
      <c r="R18" s="774"/>
      <c r="S18" s="775"/>
      <c r="T18" s="774"/>
      <c r="U18" s="775"/>
      <c r="V18" s="774"/>
      <c r="W18" s="775"/>
      <c r="X18" s="1813"/>
      <c r="Y18" s="3188"/>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95"/>
      <c r="Q19" s="1810" t="str">
        <f>B19</f>
        <v>公共配套设施</v>
      </c>
      <c r="R19" s="774" t="s">
        <v>21</v>
      </c>
      <c r="S19" s="775">
        <f>F19</f>
        <v>100</v>
      </c>
      <c r="T19" s="774" t="s">
        <v>21</v>
      </c>
      <c r="U19" s="775">
        <f>H19</f>
        <v>100</v>
      </c>
      <c r="V19" s="774" t="s">
        <v>21</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195"/>
      <c r="Q20" s="1810"/>
      <c r="R20" s="774"/>
      <c r="S20" s="775"/>
      <c r="T20" s="774"/>
      <c r="U20" s="775"/>
      <c r="V20" s="774"/>
      <c r="W20" s="775"/>
      <c r="X20" s="1813"/>
      <c r="Y20" s="3188"/>
      <c r="Z20" s="1814"/>
      <c r="AA20" s="1811">
        <v>1</v>
      </c>
      <c r="AB20" s="1811">
        <v>1</v>
      </c>
      <c r="AC20" s="1811">
        <v>1</v>
      </c>
    </row>
    <row r="21" spans="1:29" ht="28.5">
      <c r="A21" s="428"/>
      <c r="B21" s="1385"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195"/>
      <c r="Q22" s="1810"/>
      <c r="R22" s="774"/>
      <c r="S22" s="775"/>
      <c r="T22" s="774"/>
      <c r="U22" s="775"/>
      <c r="V22" s="774"/>
      <c r="W22" s="775"/>
      <c r="X22" s="1813"/>
      <c r="Y22" s="3188"/>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95"/>
      <c r="Q23" s="1810" t="str">
        <f>B23</f>
        <v>自然及人文环境</v>
      </c>
      <c r="R23" s="774" t="s">
        <v>21</v>
      </c>
      <c r="S23" s="775">
        <f>F23</f>
        <v>100</v>
      </c>
      <c r="T23" s="774" t="s">
        <v>21</v>
      </c>
      <c r="U23" s="775">
        <f>H23</f>
        <v>100</v>
      </c>
      <c r="V23" s="774" t="s">
        <v>21</v>
      </c>
      <c r="W23" s="775">
        <f>J23</f>
        <v>100</v>
      </c>
      <c r="X23" s="1813"/>
      <c r="Y23" s="318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195"/>
      <c r="Q24" s="1810"/>
      <c r="R24" s="774"/>
      <c r="S24" s="775"/>
      <c r="T24" s="774"/>
      <c r="U24" s="775"/>
      <c r="V24" s="774"/>
      <c r="W24" s="775"/>
      <c r="X24" s="1813"/>
      <c r="Y24" s="3188"/>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19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8"/>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195"/>
      <c r="Q26" s="1810" t="str">
        <f t="shared" si="11"/>
        <v>朝向</v>
      </c>
      <c r="R26" s="774" t="s">
        <v>21</v>
      </c>
      <c r="S26" s="775">
        <f t="shared" si="12"/>
        <v>100</v>
      </c>
      <c r="T26" s="774" t="s">
        <v>21</v>
      </c>
      <c r="U26" s="775">
        <f t="shared" si="13"/>
        <v>100</v>
      </c>
      <c r="V26" s="774" t="s">
        <v>21</v>
      </c>
      <c r="W26" s="775">
        <f t="shared" si="14"/>
        <v>100</v>
      </c>
      <c r="X26" s="1813"/>
      <c r="Y26" s="3188"/>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195"/>
      <c r="Q27" s="1795">
        <f t="shared" si="11"/>
        <v>111</v>
      </c>
      <c r="R27" s="770" t="s">
        <v>21</v>
      </c>
      <c r="S27" s="771">
        <f t="shared" si="12"/>
        <v>100</v>
      </c>
      <c r="T27" s="770" t="s">
        <v>21</v>
      </c>
      <c r="U27" s="771">
        <f t="shared" si="13"/>
        <v>100</v>
      </c>
      <c r="V27" s="770" t="s">
        <v>21</v>
      </c>
      <c r="W27" s="771">
        <f t="shared" si="14"/>
        <v>100</v>
      </c>
      <c r="X27" s="772"/>
      <c r="Y27" s="3188"/>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195"/>
      <c r="Q28" s="1810">
        <f t="shared" si="11"/>
        <v>111</v>
      </c>
      <c r="R28" s="774" t="s">
        <v>21</v>
      </c>
      <c r="S28" s="775">
        <f t="shared" si="12"/>
        <v>100</v>
      </c>
      <c r="T28" s="774" t="s">
        <v>21</v>
      </c>
      <c r="U28" s="775">
        <f t="shared" si="13"/>
        <v>100</v>
      </c>
      <c r="V28" s="774" t="s">
        <v>21</v>
      </c>
      <c r="W28" s="775">
        <f t="shared" si="14"/>
        <v>100</v>
      </c>
      <c r="X28" s="1813"/>
      <c r="Y28" s="3188"/>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195"/>
      <c r="Q29" s="1810">
        <f t="shared" si="11"/>
        <v>111</v>
      </c>
      <c r="R29" s="774" t="s">
        <v>21</v>
      </c>
      <c r="S29" s="775">
        <f t="shared" si="12"/>
        <v>100</v>
      </c>
      <c r="T29" s="774" t="s">
        <v>21</v>
      </c>
      <c r="U29" s="775">
        <f t="shared" si="13"/>
        <v>100</v>
      </c>
      <c r="V29" s="774" t="s">
        <v>21</v>
      </c>
      <c r="W29" s="775">
        <f t="shared" si="14"/>
        <v>100</v>
      </c>
      <c r="X29" s="1813"/>
      <c r="Y29" s="3188"/>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195"/>
      <c r="Q30" s="1810">
        <f t="shared" si="11"/>
        <v>111</v>
      </c>
      <c r="R30" s="774" t="s">
        <v>21</v>
      </c>
      <c r="S30" s="775">
        <f t="shared" si="12"/>
        <v>100</v>
      </c>
      <c r="T30" s="774" t="s">
        <v>21</v>
      </c>
      <c r="U30" s="775">
        <f t="shared" si="13"/>
        <v>100</v>
      </c>
      <c r="V30" s="774" t="s">
        <v>21</v>
      </c>
      <c r="W30" s="775">
        <f t="shared" si="14"/>
        <v>100</v>
      </c>
      <c r="X30" s="1813"/>
      <c r="Y30" s="3188"/>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195"/>
      <c r="Q31" s="1810">
        <f t="shared" si="11"/>
        <v>111</v>
      </c>
      <c r="R31" s="774" t="s">
        <v>21</v>
      </c>
      <c r="S31" s="775">
        <f t="shared" si="12"/>
        <v>100</v>
      </c>
      <c r="T31" s="774" t="s">
        <v>21</v>
      </c>
      <c r="U31" s="775">
        <f t="shared" si="13"/>
        <v>100</v>
      </c>
      <c r="V31" s="774" t="s">
        <v>21</v>
      </c>
      <c r="W31" s="775">
        <f t="shared" si="14"/>
        <v>100</v>
      </c>
      <c r="X31" s="1813"/>
      <c r="Y31" s="3188"/>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189" t="s">
        <v>2565</v>
      </c>
      <c r="Q32" s="1810" t="str">
        <f t="shared" si="11"/>
        <v>建筑类型</v>
      </c>
      <c r="R32" s="774" t="s">
        <v>21</v>
      </c>
      <c r="S32" s="775">
        <f t="shared" si="12"/>
        <v>100</v>
      </c>
      <c r="T32" s="774" t="s">
        <v>21</v>
      </c>
      <c r="U32" s="775">
        <f t="shared" si="13"/>
        <v>100</v>
      </c>
      <c r="V32" s="774" t="s">
        <v>21</v>
      </c>
      <c r="W32" s="775">
        <f t="shared" si="14"/>
        <v>100</v>
      </c>
      <c r="X32" s="1813"/>
      <c r="Y32" s="3192"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190"/>
      <c r="Q34" s="1810" t="str">
        <f t="shared" si="11"/>
        <v>建筑结构</v>
      </c>
      <c r="R34" s="774" t="s">
        <v>21</v>
      </c>
      <c r="S34" s="775">
        <f t="shared" si="12"/>
        <v>100</v>
      </c>
      <c r="T34" s="774" t="s">
        <v>21</v>
      </c>
      <c r="U34" s="775">
        <f t="shared" si="13"/>
        <v>100</v>
      </c>
      <c r="V34" s="774" t="s">
        <v>21</v>
      </c>
      <c r="W34" s="775">
        <f t="shared" si="14"/>
        <v>100</v>
      </c>
      <c r="X34" s="1813"/>
      <c r="Y34" s="3192"/>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190"/>
      <c r="Q35" s="1810" t="str">
        <f t="shared" si="11"/>
        <v>建筑品质</v>
      </c>
      <c r="R35" s="774" t="s">
        <v>21</v>
      </c>
      <c r="S35" s="775">
        <f t="shared" si="12"/>
        <v>100</v>
      </c>
      <c r="T35" s="774" t="s">
        <v>21</v>
      </c>
      <c r="U35" s="775">
        <f t="shared" si="13"/>
        <v>100</v>
      </c>
      <c r="V35" s="774" t="s">
        <v>21</v>
      </c>
      <c r="W35" s="775">
        <f t="shared" si="14"/>
        <v>100</v>
      </c>
      <c r="X35" s="1813"/>
      <c r="Y35" s="3192"/>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190"/>
      <c r="Q36" s="1810" t="str">
        <f t="shared" si="11"/>
        <v>公共部分装修</v>
      </c>
      <c r="R36" s="774" t="s">
        <v>21</v>
      </c>
      <c r="S36" s="775">
        <f t="shared" si="12"/>
        <v>100</v>
      </c>
      <c r="T36" s="774" t="s">
        <v>21</v>
      </c>
      <c r="U36" s="775">
        <f t="shared" si="13"/>
        <v>100</v>
      </c>
      <c r="V36" s="774" t="s">
        <v>21</v>
      </c>
      <c r="W36" s="775">
        <f t="shared" si="14"/>
        <v>100</v>
      </c>
      <c r="X36" s="1813"/>
      <c r="Y36" s="3192"/>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90"/>
      <c r="Q37" s="1795"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190" t="s">
        <v>2565</v>
      </c>
      <c r="Q38" s="1810" t="str">
        <f t="shared" si="11"/>
        <v>物业管理</v>
      </c>
      <c r="R38" s="774" t="s">
        <v>21</v>
      </c>
      <c r="S38" s="775">
        <f t="shared" si="12"/>
        <v>100</v>
      </c>
      <c r="T38" s="774" t="s">
        <v>21</v>
      </c>
      <c r="U38" s="775">
        <f t="shared" si="13"/>
        <v>100</v>
      </c>
      <c r="V38" s="774" t="s">
        <v>21</v>
      </c>
      <c r="W38" s="775">
        <f t="shared" si="14"/>
        <v>100</v>
      </c>
      <c r="X38" s="1813"/>
      <c r="Y38" s="3192"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190"/>
      <c r="Q39" s="1810" t="str">
        <f t="shared" si="11"/>
        <v>市政基础设施</v>
      </c>
      <c r="R39" s="774" t="s">
        <v>21</v>
      </c>
      <c r="S39" s="775">
        <f t="shared" si="12"/>
        <v>100</v>
      </c>
      <c r="T39" s="774" t="s">
        <v>21</v>
      </c>
      <c r="U39" s="775">
        <f t="shared" si="13"/>
        <v>100</v>
      </c>
      <c r="V39" s="774" t="s">
        <v>21</v>
      </c>
      <c r="W39" s="775">
        <f t="shared" si="14"/>
        <v>100</v>
      </c>
      <c r="X39" s="1813"/>
      <c r="Y39" s="3192"/>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190"/>
      <c r="Q40" s="1810" t="str">
        <f t="shared" si="11"/>
        <v>房型</v>
      </c>
      <c r="R40" s="774" t="s">
        <v>21</v>
      </c>
      <c r="S40" s="775">
        <f t="shared" si="12"/>
        <v>100</v>
      </c>
      <c r="T40" s="774" t="s">
        <v>21</v>
      </c>
      <c r="U40" s="775">
        <f t="shared" si="13"/>
        <v>100</v>
      </c>
      <c r="V40" s="774" t="s">
        <v>21</v>
      </c>
      <c r="W40" s="775">
        <f t="shared" si="14"/>
        <v>100</v>
      </c>
      <c r="X40" s="1813"/>
      <c r="Y40" s="3192"/>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190"/>
      <c r="Q42" s="1810" t="str">
        <f t="shared" si="11"/>
        <v>内部装修</v>
      </c>
      <c r="R42" s="774" t="s">
        <v>21</v>
      </c>
      <c r="S42" s="775">
        <f t="shared" si="12"/>
        <v>100</v>
      </c>
      <c r="T42" s="774" t="s">
        <v>21</v>
      </c>
      <c r="U42" s="775">
        <f t="shared" si="13"/>
        <v>100</v>
      </c>
      <c r="V42" s="774" t="s">
        <v>21</v>
      </c>
      <c r="W42" s="775">
        <f t="shared" si="14"/>
        <v>100</v>
      </c>
      <c r="X42" s="1813"/>
      <c r="Y42" s="3192"/>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190"/>
      <c r="Q43" s="1810" t="str">
        <f t="shared" si="11"/>
        <v>内部装修维护情况</v>
      </c>
      <c r="R43" s="774" t="s">
        <v>21</v>
      </c>
      <c r="S43" s="775">
        <f t="shared" si="12"/>
        <v>100</v>
      </c>
      <c r="T43" s="774" t="s">
        <v>21</v>
      </c>
      <c r="U43" s="775">
        <f t="shared" si="13"/>
        <v>100</v>
      </c>
      <c r="V43" s="774" t="s">
        <v>21</v>
      </c>
      <c r="W43" s="775">
        <f t="shared" si="14"/>
        <v>100</v>
      </c>
      <c r="X43" s="1813"/>
      <c r="Y43" s="3192"/>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190"/>
      <c r="Q44" s="1795">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190"/>
      <c r="Q45" s="1810">
        <f t="shared" si="11"/>
        <v>111</v>
      </c>
      <c r="R45" s="774" t="s">
        <v>21</v>
      </c>
      <c r="S45" s="775">
        <f t="shared" si="12"/>
        <v>100</v>
      </c>
      <c r="T45" s="774" t="s">
        <v>21</v>
      </c>
      <c r="U45" s="775">
        <f t="shared" si="13"/>
        <v>100</v>
      </c>
      <c r="V45" s="774" t="s">
        <v>21</v>
      </c>
      <c r="W45" s="775">
        <f t="shared" si="14"/>
        <v>100</v>
      </c>
      <c r="X45" s="1813"/>
      <c r="Y45" s="319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191"/>
      <c r="Q46" s="1810">
        <f t="shared" si="11"/>
        <v>111</v>
      </c>
      <c r="R46" s="774" t="s">
        <v>20</v>
      </c>
      <c r="S46" s="775">
        <f t="shared" si="12"/>
        <v>100</v>
      </c>
      <c r="T46" s="774" t="s">
        <v>20</v>
      </c>
      <c r="U46" s="775">
        <f t="shared" si="13"/>
        <v>100</v>
      </c>
      <c r="V46" s="774" t="s">
        <v>20</v>
      </c>
      <c r="W46" s="775">
        <f t="shared" si="14"/>
        <v>100</v>
      </c>
      <c r="X46" s="1813"/>
      <c r="Y46" s="3193"/>
      <c r="Z46" s="1814">
        <f t="shared" si="18"/>
        <v>111</v>
      </c>
      <c r="AA46" s="1811">
        <f t="shared" si="15"/>
        <v>1</v>
      </c>
      <c r="AB46" s="1811">
        <f t="shared" si="16"/>
        <v>1</v>
      </c>
      <c r="AC46" s="1811">
        <f t="shared" si="17"/>
        <v>1</v>
      </c>
    </row>
    <row r="47" spans="1:29" ht="15">
      <c r="A47" s="479" t="s">
        <v>2577</v>
      </c>
      <c r="B47" s="480"/>
      <c r="C47" s="1408" t="s">
        <v>19</v>
      </c>
      <c r="D47" s="1409"/>
      <c r="E47" s="1410"/>
      <c r="F47" s="1411"/>
      <c r="G47" s="1412"/>
      <c r="H47" s="1413"/>
      <c r="I47" s="1410"/>
      <c r="J47" s="1413"/>
      <c r="K47" s="2624"/>
      <c r="L47" s="1144"/>
      <c r="M47" s="1145"/>
      <c r="N47" s="1132"/>
      <c r="O47" s="1145"/>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2578</v>
      </c>
      <c r="B48" s="487"/>
      <c r="C48" s="1414" t="e">
        <f>R49</f>
        <v>#DIV/0!</v>
      </c>
      <c r="D48" s="1415"/>
      <c r="E48" s="1416" t="e">
        <f>R48</f>
        <v>#DIV/0!</v>
      </c>
      <c r="F48" s="1416"/>
      <c r="G48" s="1414" t="e">
        <f>T48</f>
        <v>#DIV/0!</v>
      </c>
      <c r="H48" s="1415"/>
      <c r="I48" s="1416" t="e">
        <f>V48</f>
        <v>#DIV/0!</v>
      </c>
      <c r="J48" s="1415"/>
      <c r="K48" s="2625"/>
      <c r="L48" s="1144"/>
      <c r="M48" s="1145"/>
      <c r="N48" s="1145"/>
      <c r="O48" s="1145"/>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2579</v>
      </c>
      <c r="B49" s="493"/>
      <c r="C49" s="1417" t="e">
        <f>R49</f>
        <v>#DIV/0!</v>
      </c>
      <c r="D49" s="1418"/>
      <c r="E49" s="1418"/>
      <c r="F49" s="1418"/>
      <c r="G49" s="1418"/>
      <c r="H49" s="1418"/>
      <c r="I49" s="1418"/>
      <c r="J49" s="1418"/>
      <c r="K49" s="2626"/>
      <c r="L49" s="1144"/>
      <c r="M49" s="1145"/>
      <c r="N49" s="1145"/>
      <c r="O49" s="1145"/>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2583</v>
      </c>
      <c r="B57" s="759"/>
      <c r="C57" s="764"/>
      <c r="D57" s="764"/>
      <c r="E57" s="764"/>
      <c r="F57" s="765"/>
      <c r="G57" s="765"/>
      <c r="H57" s="764"/>
      <c r="I57" s="764"/>
      <c r="J57" s="764"/>
      <c r="K57" s="1161"/>
      <c r="L57" s="1162"/>
      <c r="M57" s="1160"/>
      <c r="N57" s="1160"/>
      <c r="O57" s="1160"/>
      <c r="P57" s="2629"/>
      <c r="Q57" s="504"/>
    </row>
    <row r="58" spans="1:29" s="508" customFormat="1" ht="15">
      <c r="A58" s="505" t="s">
        <v>2584</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2588</v>
      </c>
      <c r="B63" s="528" t="s">
        <v>2554</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2610</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2611</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2563</v>
      </c>
      <c r="B100" s="528" t="s">
        <v>2612</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2614</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2615</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2616</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2617</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2618</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2619</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2574</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2620</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7">
        <v>6</v>
      </c>
      <c r="C139" s="1088">
        <v>96</v>
      </c>
      <c r="D139" s="2651" t="s">
        <v>2631</v>
      </c>
      <c r="E139" s="1089">
        <v>100</v>
      </c>
      <c r="F139" s="1090">
        <v>102.5</v>
      </c>
      <c r="G139" s="2651" t="s">
        <v>2631</v>
      </c>
      <c r="H139" s="1091">
        <v>105</v>
      </c>
      <c r="I139" s="2652" t="s">
        <v>2632</v>
      </c>
      <c r="J139" s="1088">
        <v>20</v>
      </c>
      <c r="K139" s="1092">
        <f>C145/(J139-2)</f>
        <v>4.0555555555555553E-3</v>
      </c>
    </row>
    <row r="140" spans="1:17" ht="15">
      <c r="B140" s="1093">
        <v>5</v>
      </c>
      <c r="C140" s="1094">
        <v>100</v>
      </c>
      <c r="D140" s="1094"/>
      <c r="E140" s="1095"/>
      <c r="F140" s="1096">
        <v>102</v>
      </c>
      <c r="G140" s="1094"/>
      <c r="H140" s="1097"/>
      <c r="I140" s="2653" t="s">
        <v>2633</v>
      </c>
      <c r="J140" s="315">
        <f>ROUNDUP((J139-1)/2,0)</f>
        <v>10</v>
      </c>
      <c r="K140" s="1098">
        <v>100</v>
      </c>
    </row>
    <row r="141" spans="1:17" ht="15">
      <c r="B141" s="1093">
        <v>4</v>
      </c>
      <c r="C141" s="1094">
        <v>102</v>
      </c>
      <c r="D141" s="1094"/>
      <c r="E141" s="1095"/>
      <c r="F141" s="1096">
        <v>101.5</v>
      </c>
      <c r="G141" s="1094"/>
      <c r="H141" s="1097"/>
      <c r="I141" s="2653" t="s">
        <v>2634</v>
      </c>
      <c r="J141" s="315">
        <v>1</v>
      </c>
      <c r="K141" s="1099">
        <f>ROUND(100+(J141-J140)*K139*100,1)</f>
        <v>96.4</v>
      </c>
    </row>
    <row r="142" spans="1:17" ht="15">
      <c r="B142" s="1093">
        <v>3</v>
      </c>
      <c r="C142" s="1094">
        <v>103</v>
      </c>
      <c r="D142" s="1094"/>
      <c r="E142" s="1095"/>
      <c r="F142" s="1096">
        <v>101</v>
      </c>
      <c r="G142" s="1094"/>
      <c r="H142" s="1097"/>
      <c r="I142" s="2653" t="s">
        <v>2635</v>
      </c>
      <c r="J142" s="315">
        <f>J139</f>
        <v>20</v>
      </c>
      <c r="K142" s="1100">
        <v>95</v>
      </c>
    </row>
    <row r="143" spans="1:17" ht="15">
      <c r="B143" s="1093">
        <v>2</v>
      </c>
      <c r="C143" s="1094">
        <v>100</v>
      </c>
      <c r="D143" s="1094"/>
      <c r="E143" s="1095"/>
      <c r="F143" s="1096">
        <v>100.5</v>
      </c>
      <c r="G143" s="1094"/>
      <c r="H143" s="1097"/>
      <c r="I143" s="2653" t="s">
        <v>2636</v>
      </c>
      <c r="J143" s="1094">
        <v>15</v>
      </c>
      <c r="K143" s="1099">
        <f>ROUND(100+(J143-J140)*K139*100,1)</f>
        <v>102</v>
      </c>
    </row>
    <row r="144" spans="1:17" ht="15">
      <c r="B144" s="1093">
        <v>1</v>
      </c>
      <c r="C144" s="1094">
        <v>98</v>
      </c>
      <c r="D144" s="2654" t="s">
        <v>2637</v>
      </c>
      <c r="E144" s="1095">
        <v>102</v>
      </c>
      <c r="F144" s="1101">
        <v>100</v>
      </c>
      <c r="G144" s="2654" t="s">
        <v>2637</v>
      </c>
      <c r="H144" s="1097">
        <v>105</v>
      </c>
      <c r="I144" s="2653" t="s">
        <v>2636</v>
      </c>
      <c r="J144" s="1094">
        <v>18</v>
      </c>
      <c r="K144" s="1099">
        <f>ROUND(100+(J144-J140)*K139*100,1)</f>
        <v>103.2</v>
      </c>
    </row>
    <row r="145" spans="2:11" ht="15.75" thickBot="1">
      <c r="B145" s="2655" t="s">
        <v>2638</v>
      </c>
      <c r="C145" s="1102">
        <f>ROUND(MAX(C139:C144)/MIN(C139:C144)-1,3)</f>
        <v>7.2999999999999995E-2</v>
      </c>
      <c r="D145" s="1103"/>
      <c r="E145" s="1103"/>
      <c r="F145" s="2656" t="s">
        <v>2639</v>
      </c>
      <c r="G145" s="2657"/>
      <c r="H145" s="2658"/>
      <c r="I145" s="2659" t="s">
        <v>2636</v>
      </c>
      <c r="J145" s="1104">
        <v>8</v>
      </c>
      <c r="K145" s="1105">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85" t="s">
        <v>2642</v>
      </c>
      <c r="C1" s="1635" t="s">
        <v>2530</v>
      </c>
      <c r="D1" s="1622"/>
      <c r="E1" s="2660"/>
      <c r="F1" s="2587"/>
      <c r="G1" s="1632" t="s">
        <v>2643</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2327</v>
      </c>
      <c r="B2" s="1419" t="e">
        <f ca="1">IF(C2="——",ROUND(C49*D3/10000,0),ROUND(C49*D3/10000,0)-D2)</f>
        <v>#DIV/0!</v>
      </c>
      <c r="C2" s="2589"/>
      <c r="D2" s="1366" t="e">
        <f ca="1">SUMIF(INDIRECT("'"&amp;F2&amp;"'"&amp;"!A:A"),"承租人权益价值",INDIRECT("'"&amp;F2&amp;"'"&amp;"!c:c"))</f>
        <v>#REF!</v>
      </c>
      <c r="E2" s="2590" t="s">
        <v>2328</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2329</v>
      </c>
      <c r="B3" s="609" t="e">
        <f ca="1">IF(C2="——",C49,ROUND(B2*10000/D3,0))</f>
        <v>#DIV/0!</v>
      </c>
      <c r="C3" s="400" t="s">
        <v>2644</v>
      </c>
      <c r="D3" s="399">
        <f>IF(D1="",'数据-汇总表'!E3,SUMIF('数据-汇总表'!$C19:$C33,D1,'数据-汇总表'!$E19:$E33))</f>
        <v>1809.36</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216" t="s">
        <v>2648</v>
      </c>
      <c r="AC4" s="3197" t="s">
        <v>2649</v>
      </c>
    </row>
    <row r="5" spans="1:29"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216"/>
      <c r="AC5" s="3198"/>
    </row>
    <row r="6" spans="1:29" ht="15.75" thickBot="1">
      <c r="A6" s="406"/>
      <c r="B6" s="407"/>
      <c r="C6" s="3217" t="s">
        <v>2546</v>
      </c>
      <c r="D6" s="3218"/>
      <c r="E6" s="3224" t="s">
        <v>2546</v>
      </c>
      <c r="F6" s="3225"/>
      <c r="G6" s="3217" t="s">
        <v>2546</v>
      </c>
      <c r="H6" s="3218"/>
      <c r="I6" s="3217" t="s">
        <v>2546</v>
      </c>
      <c r="J6" s="3218"/>
      <c r="K6" s="610" t="s">
        <v>2547</v>
      </c>
      <c r="L6" s="1131"/>
      <c r="M6" s="1132"/>
      <c r="N6" s="1132"/>
      <c r="O6" s="1132"/>
      <c r="P6" s="3208"/>
      <c r="Q6" s="3209"/>
      <c r="R6" s="3212"/>
      <c r="S6" s="3213"/>
      <c r="T6" s="3214"/>
      <c r="U6" s="3215"/>
      <c r="V6" s="3216"/>
      <c r="W6" s="3216"/>
      <c r="X6" s="1813"/>
      <c r="Y6" s="3214"/>
      <c r="Z6" s="3215"/>
      <c r="AA6" s="3199"/>
      <c r="AB6" s="3216"/>
      <c r="AC6" s="3199"/>
    </row>
    <row r="7" spans="1:29" s="117" customFormat="1" ht="15.75" thickBot="1">
      <c r="A7" s="408" t="s">
        <v>2548</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21" t="s">
        <v>2549</v>
      </c>
      <c r="Q7" s="3223"/>
      <c r="R7" s="770" t="s">
        <v>17</v>
      </c>
      <c r="S7" s="771">
        <f t="shared" ref="S7:S15" si="0">F7</f>
        <v>0</v>
      </c>
      <c r="T7" s="770" t="s">
        <v>17</v>
      </c>
      <c r="U7" s="771">
        <f t="shared" ref="U7:U15" si="1">H7</f>
        <v>0</v>
      </c>
      <c r="V7" s="770" t="s">
        <v>17</v>
      </c>
      <c r="W7" s="771">
        <f t="shared" ref="W7:W15" si="2">J7</f>
        <v>0</v>
      </c>
      <c r="X7" s="772"/>
      <c r="Y7" s="3221" t="s">
        <v>2549</v>
      </c>
      <c r="Z7" s="3222"/>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96"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96"/>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94" t="s">
        <v>2560</v>
      </c>
      <c r="Q15" s="1810" t="str">
        <f t="shared" si="6"/>
        <v>商业繁华度</v>
      </c>
      <c r="R15" s="774" t="s">
        <v>17</v>
      </c>
      <c r="S15" s="775">
        <f t="shared" si="0"/>
        <v>100</v>
      </c>
      <c r="T15" s="774" t="s">
        <v>17</v>
      </c>
      <c r="U15" s="775">
        <f t="shared" si="1"/>
        <v>100</v>
      </c>
      <c r="V15" s="774" t="s">
        <v>17</v>
      </c>
      <c r="W15" s="775">
        <f t="shared" si="2"/>
        <v>100</v>
      </c>
      <c r="X15" s="1813"/>
      <c r="Y15" s="3187"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95"/>
      <c r="Q16" s="1810"/>
      <c r="R16" s="774"/>
      <c r="S16" s="775"/>
      <c r="T16" s="774"/>
      <c r="U16" s="775"/>
      <c r="V16" s="774"/>
      <c r="W16" s="775"/>
      <c r="X16" s="1813"/>
      <c r="Y16" s="318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95"/>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195"/>
      <c r="Q18" s="1810"/>
      <c r="R18" s="774"/>
      <c r="S18" s="775"/>
      <c r="T18" s="774"/>
      <c r="U18" s="775"/>
      <c r="V18" s="774"/>
      <c r="W18" s="775"/>
      <c r="X18" s="1813"/>
      <c r="Y18" s="3188"/>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195"/>
      <c r="Q20" s="1810"/>
      <c r="R20" s="774"/>
      <c r="S20" s="775"/>
      <c r="T20" s="774"/>
      <c r="U20" s="775"/>
      <c r="V20" s="774"/>
      <c r="W20" s="775"/>
      <c r="X20" s="1813"/>
      <c r="Y20" s="3188"/>
      <c r="Z20" s="1814"/>
      <c r="AA20" s="1811">
        <v>1</v>
      </c>
      <c r="AB20" s="1811">
        <v>1</v>
      </c>
      <c r="AC20" s="1811">
        <v>1</v>
      </c>
    </row>
    <row r="21" spans="1:29" ht="28.5">
      <c r="A21" s="428"/>
      <c r="B21" s="1385"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195"/>
      <c r="Q22" s="1810"/>
      <c r="R22" s="774"/>
      <c r="S22" s="775"/>
      <c r="T22" s="774"/>
      <c r="U22" s="775"/>
      <c r="V22" s="774"/>
      <c r="W22" s="775"/>
      <c r="X22" s="1813"/>
      <c r="Y22" s="3188"/>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95"/>
      <c r="Q23" s="1810" t="str">
        <f>B23</f>
        <v>自然及人文环境</v>
      </c>
      <c r="R23" s="774" t="s">
        <v>17</v>
      </c>
      <c r="S23" s="775">
        <f>F23</f>
        <v>100</v>
      </c>
      <c r="T23" s="774" t="s">
        <v>17</v>
      </c>
      <c r="U23" s="775">
        <f>H23</f>
        <v>100</v>
      </c>
      <c r="V23" s="774" t="s">
        <v>17</v>
      </c>
      <c r="W23" s="775">
        <f>J23</f>
        <v>100</v>
      </c>
      <c r="X23" s="1813"/>
      <c r="Y23" s="318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195"/>
      <c r="Q24" s="1810"/>
      <c r="R24" s="774"/>
      <c r="S24" s="775"/>
      <c r="T24" s="774"/>
      <c r="U24" s="775"/>
      <c r="V24" s="774"/>
      <c r="W24" s="775"/>
      <c r="X24" s="1813"/>
      <c r="Y24" s="3188"/>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95"/>
      <c r="Q25" s="1810" t="str">
        <f t="shared" ref="Q25:Q46" si="11">B25</f>
        <v>临街状况</v>
      </c>
      <c r="R25" s="774" t="s">
        <v>17</v>
      </c>
      <c r="S25" s="775">
        <f>F25</f>
        <v>100</v>
      </c>
      <c r="T25" s="774" t="s">
        <v>17</v>
      </c>
      <c r="U25" s="775">
        <f>H25</f>
        <v>100</v>
      </c>
      <c r="V25" s="774" t="s">
        <v>17</v>
      </c>
      <c r="W25" s="775">
        <f>J25</f>
        <v>100</v>
      </c>
      <c r="X25" s="1813"/>
      <c r="Y25" s="3188"/>
      <c r="Z25" s="1814" t="str">
        <f>Q25</f>
        <v>临街状况</v>
      </c>
      <c r="AA25" s="1811">
        <f t="shared" si="3"/>
        <v>1</v>
      </c>
      <c r="AB25" s="1811">
        <f t="shared" si="4"/>
        <v>1</v>
      </c>
      <c r="AC25" s="1811">
        <f t="shared" si="5"/>
        <v>1</v>
      </c>
    </row>
    <row r="26" spans="1:29" ht="15">
      <c r="A26" s="428"/>
      <c r="B26" s="1387" t="s">
        <v>2657</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95"/>
      <c r="Q26" s="1810" t="str">
        <f t="shared" si="11"/>
        <v>平面位置/可视性</v>
      </c>
      <c r="R26" s="774" t="s">
        <v>17</v>
      </c>
      <c r="S26" s="775">
        <f>F26</f>
        <v>100</v>
      </c>
      <c r="T26" s="774" t="s">
        <v>17</v>
      </c>
      <c r="U26" s="775">
        <f>H26</f>
        <v>100</v>
      </c>
      <c r="V26" s="774" t="s">
        <v>17</v>
      </c>
      <c r="W26" s="775">
        <f>J26</f>
        <v>100</v>
      </c>
      <c r="X26" s="1813"/>
      <c r="Y26" s="3188"/>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195"/>
      <c r="Q27" s="1795" t="str">
        <f t="shared" si="11"/>
        <v>人流量</v>
      </c>
      <c r="R27" s="770" t="s">
        <v>17</v>
      </c>
      <c r="S27" s="771">
        <f>F27</f>
        <v>100</v>
      </c>
      <c r="T27" s="770" t="s">
        <v>17</v>
      </c>
      <c r="U27" s="771">
        <f>H27</f>
        <v>100</v>
      </c>
      <c r="V27" s="770" t="s">
        <v>17</v>
      </c>
      <c r="W27" s="771">
        <f>J27</f>
        <v>100</v>
      </c>
      <c r="X27" s="772"/>
      <c r="Y27" s="3188"/>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9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8"/>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95"/>
      <c r="Q29" s="1810">
        <f t="shared" si="11"/>
        <v>111</v>
      </c>
      <c r="R29" s="774" t="s">
        <v>17</v>
      </c>
      <c r="S29" s="775">
        <f t="shared" si="12"/>
        <v>100</v>
      </c>
      <c r="T29" s="774" t="s">
        <v>17</v>
      </c>
      <c r="U29" s="775">
        <f t="shared" si="13"/>
        <v>100</v>
      </c>
      <c r="V29" s="774" t="s">
        <v>17</v>
      </c>
      <c r="W29" s="775">
        <f t="shared" si="14"/>
        <v>100</v>
      </c>
      <c r="X29" s="1813"/>
      <c r="Y29" s="3188"/>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189" t="s">
        <v>2565</v>
      </c>
      <c r="Q32" s="1810" t="str">
        <f t="shared" si="11"/>
        <v>商业类型</v>
      </c>
      <c r="R32" s="774" t="s">
        <v>17</v>
      </c>
      <c r="S32" s="775">
        <f t="shared" si="12"/>
        <v>100</v>
      </c>
      <c r="T32" s="774" t="s">
        <v>17</v>
      </c>
      <c r="U32" s="775">
        <f t="shared" si="13"/>
        <v>100</v>
      </c>
      <c r="V32" s="774" t="s">
        <v>17</v>
      </c>
      <c r="W32" s="775">
        <f t="shared" si="14"/>
        <v>100</v>
      </c>
      <c r="X32" s="1813"/>
      <c r="Y32" s="3192"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190"/>
      <c r="Q34" s="1810" t="str">
        <f t="shared" si="11"/>
        <v>建筑结构</v>
      </c>
      <c r="R34" s="774" t="s">
        <v>17</v>
      </c>
      <c r="S34" s="775">
        <f t="shared" si="12"/>
        <v>100</v>
      </c>
      <c r="T34" s="774" t="s">
        <v>17</v>
      </c>
      <c r="U34" s="775">
        <f t="shared" si="13"/>
        <v>100</v>
      </c>
      <c r="V34" s="774" t="s">
        <v>17</v>
      </c>
      <c r="W34" s="775">
        <f t="shared" si="14"/>
        <v>100</v>
      </c>
      <c r="X34" s="1813"/>
      <c r="Y34" s="3192"/>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190"/>
      <c r="Q35" s="1810" t="str">
        <f t="shared" si="11"/>
        <v>公共部分装修</v>
      </c>
      <c r="R35" s="774" t="s">
        <v>17</v>
      </c>
      <c r="S35" s="775">
        <f t="shared" si="12"/>
        <v>100</v>
      </c>
      <c r="T35" s="774" t="s">
        <v>17</v>
      </c>
      <c r="U35" s="775">
        <f t="shared" si="13"/>
        <v>100</v>
      </c>
      <c r="V35" s="774" t="s">
        <v>17</v>
      </c>
      <c r="W35" s="775">
        <f t="shared" si="14"/>
        <v>100</v>
      </c>
      <c r="X35" s="1813"/>
      <c r="Y35" s="3192"/>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90"/>
      <c r="Q36" s="1810" t="str">
        <f t="shared" si="11"/>
        <v>成新度</v>
      </c>
      <c r="R36" s="774" t="s">
        <v>17</v>
      </c>
      <c r="S36" s="775" t="e">
        <f t="shared" si="12"/>
        <v>#N/A</v>
      </c>
      <c r="T36" s="774" t="s">
        <v>17</v>
      </c>
      <c r="U36" s="775" t="e">
        <f t="shared" si="13"/>
        <v>#N/A</v>
      </c>
      <c r="V36" s="774" t="s">
        <v>17</v>
      </c>
      <c r="W36" s="775" t="e">
        <f t="shared" si="14"/>
        <v>#N/A</v>
      </c>
      <c r="X36" s="1813"/>
      <c r="Y36" s="3192"/>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190"/>
      <c r="Q37" s="1795"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190" t="s">
        <v>2565</v>
      </c>
      <c r="Q38" s="1810" t="str">
        <f t="shared" si="11"/>
        <v>业态</v>
      </c>
      <c r="R38" s="774" t="s">
        <v>17</v>
      </c>
      <c r="S38" s="775">
        <f t="shared" si="12"/>
        <v>100</v>
      </c>
      <c r="T38" s="774" t="s">
        <v>17</v>
      </c>
      <c r="U38" s="775">
        <f t="shared" si="13"/>
        <v>100</v>
      </c>
      <c r="V38" s="774" t="s">
        <v>17</v>
      </c>
      <c r="W38" s="775">
        <f t="shared" si="14"/>
        <v>100</v>
      </c>
      <c r="X38" s="1813"/>
      <c r="Y38" s="3192"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190"/>
      <c r="Q39" s="1810" t="str">
        <f t="shared" si="11"/>
        <v>层高</v>
      </c>
      <c r="R39" s="774" t="s">
        <v>17</v>
      </c>
      <c r="S39" s="775">
        <f t="shared" si="12"/>
        <v>100</v>
      </c>
      <c r="T39" s="774" t="s">
        <v>17</v>
      </c>
      <c r="U39" s="775">
        <f t="shared" si="13"/>
        <v>100</v>
      </c>
      <c r="V39" s="774" t="s">
        <v>17</v>
      </c>
      <c r="W39" s="775">
        <f t="shared" si="14"/>
        <v>100</v>
      </c>
      <c r="X39" s="1813"/>
      <c r="Y39" s="3192"/>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90"/>
      <c r="Q40" s="1810" t="str">
        <f t="shared" si="11"/>
        <v>单套建筑面积</v>
      </c>
      <c r="R40" s="774" t="s">
        <v>17</v>
      </c>
      <c r="S40" s="775">
        <f t="shared" si="12"/>
        <v>100</v>
      </c>
      <c r="T40" s="774" t="s">
        <v>17</v>
      </c>
      <c r="U40" s="775">
        <f t="shared" si="13"/>
        <v>100</v>
      </c>
      <c r="V40" s="774" t="s">
        <v>17</v>
      </c>
      <c r="W40" s="775">
        <f t="shared" si="14"/>
        <v>100</v>
      </c>
      <c r="X40" s="1813"/>
      <c r="Y40" s="3192"/>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190"/>
      <c r="Q42" s="1810" t="str">
        <f t="shared" si="11"/>
        <v>内部装修</v>
      </c>
      <c r="R42" s="774" t="s">
        <v>17</v>
      </c>
      <c r="S42" s="775">
        <f t="shared" si="12"/>
        <v>100</v>
      </c>
      <c r="T42" s="774" t="s">
        <v>17</v>
      </c>
      <c r="U42" s="775">
        <f t="shared" si="13"/>
        <v>100</v>
      </c>
      <c r="V42" s="774" t="s">
        <v>17</v>
      </c>
      <c r="W42" s="775">
        <f t="shared" si="14"/>
        <v>100</v>
      </c>
      <c r="X42" s="1813"/>
      <c r="Y42" s="3192"/>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190"/>
      <c r="Q43" s="1810" t="str">
        <f t="shared" si="11"/>
        <v>内部装修维护情况</v>
      </c>
      <c r="R43" s="774" t="s">
        <v>17</v>
      </c>
      <c r="S43" s="775">
        <f t="shared" si="12"/>
        <v>100</v>
      </c>
      <c r="T43" s="774" t="s">
        <v>17</v>
      </c>
      <c r="U43" s="775">
        <f t="shared" si="13"/>
        <v>100</v>
      </c>
      <c r="V43" s="774" t="s">
        <v>17</v>
      </c>
      <c r="W43" s="775">
        <f t="shared" si="14"/>
        <v>100</v>
      </c>
      <c r="X43" s="1813"/>
      <c r="Y43" s="3192"/>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90"/>
      <c r="Q44" s="1795">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90"/>
      <c r="Q45" s="1810">
        <f t="shared" si="11"/>
        <v>111</v>
      </c>
      <c r="R45" s="774" t="s">
        <v>17</v>
      </c>
      <c r="S45" s="775">
        <f t="shared" si="12"/>
        <v>100</v>
      </c>
      <c r="T45" s="774" t="s">
        <v>17</v>
      </c>
      <c r="U45" s="775">
        <f t="shared" si="13"/>
        <v>100</v>
      </c>
      <c r="V45" s="774" t="s">
        <v>17</v>
      </c>
      <c r="W45" s="775">
        <f t="shared" si="14"/>
        <v>100</v>
      </c>
      <c r="X45" s="1813"/>
      <c r="Y45" s="319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91"/>
      <c r="Q46" s="1810">
        <f t="shared" si="11"/>
        <v>111</v>
      </c>
      <c r="R46" s="774" t="s">
        <v>17</v>
      </c>
      <c r="S46" s="775">
        <f t="shared" si="12"/>
        <v>100</v>
      </c>
      <c r="T46" s="774" t="s">
        <v>17</v>
      </c>
      <c r="U46" s="775">
        <f t="shared" si="13"/>
        <v>100</v>
      </c>
      <c r="V46" s="774" t="s">
        <v>17</v>
      </c>
      <c r="W46" s="775">
        <f t="shared" si="14"/>
        <v>100</v>
      </c>
      <c r="X46" s="1813"/>
      <c r="Y46" s="3193"/>
      <c r="Z46" s="1814">
        <f t="shared" si="15"/>
        <v>111</v>
      </c>
      <c r="AA46" s="1811">
        <f t="shared" si="3"/>
        <v>1</v>
      </c>
      <c r="AB46" s="1811">
        <f t="shared" si="4"/>
        <v>1</v>
      </c>
      <c r="AC46" s="1811">
        <f t="shared" si="5"/>
        <v>1</v>
      </c>
    </row>
    <row r="47" spans="1:29" ht="15">
      <c r="A47" s="479" t="s">
        <v>2577</v>
      </c>
      <c r="B47" s="480"/>
      <c r="C47" s="1408" t="s">
        <v>1</v>
      </c>
      <c r="D47" s="1409"/>
      <c r="E47" s="1410"/>
      <c r="F47" s="1411"/>
      <c r="G47" s="1412"/>
      <c r="H47" s="1413"/>
      <c r="I47" s="1410"/>
      <c r="J47" s="1413"/>
      <c r="K47" s="783"/>
      <c r="L47" s="1144"/>
      <c r="M47" s="1145"/>
      <c r="N47" s="1132"/>
      <c r="O47" s="1145"/>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2669</v>
      </c>
      <c r="B48" s="487"/>
      <c r="C48" s="1414" t="e">
        <f>R49</f>
        <v>#DIV/0!</v>
      </c>
      <c r="D48" s="1415"/>
      <c r="E48" s="1416" t="e">
        <f>R48</f>
        <v>#DIV/0!</v>
      </c>
      <c r="F48" s="1416"/>
      <c r="G48" s="1414" t="e">
        <f>T48</f>
        <v>#DIV/0!</v>
      </c>
      <c r="H48" s="1415"/>
      <c r="I48" s="1416" t="e">
        <f>V48</f>
        <v>#DIV/0!</v>
      </c>
      <c r="J48" s="1415"/>
      <c r="K48" s="784"/>
      <c r="L48" s="1144"/>
      <c r="M48" s="1145"/>
      <c r="N48" s="1132"/>
      <c r="O48" s="1145"/>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2670</v>
      </c>
      <c r="B49" s="493"/>
      <c r="C49" s="1418" t="e">
        <f>R49</f>
        <v>#DIV/0!</v>
      </c>
      <c r="D49" s="1418"/>
      <c r="E49" s="1418"/>
      <c r="F49" s="1418"/>
      <c r="G49" s="1418"/>
      <c r="H49" s="1418"/>
      <c r="I49" s="1418"/>
      <c r="J49" s="1418"/>
      <c r="K49" s="785"/>
      <c r="L49" s="1144"/>
      <c r="M49" s="1145"/>
      <c r="N49" s="1132"/>
      <c r="O49" s="1145"/>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2548</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2588</v>
      </c>
      <c r="B63" s="528" t="s">
        <v>2554</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2680</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2563</v>
      </c>
      <c r="B100" s="528" t="s">
        <v>2681</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2614</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2616</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2618</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2682</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2683</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2684</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2685</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2620</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72" t="s">
        <v>2702</v>
      </c>
      <c r="C1" s="1621" t="s">
        <v>2530</v>
      </c>
      <c r="D1" s="1622"/>
      <c r="E1" s="1631"/>
      <c r="F1" s="2587"/>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IF(C2="——",ROUND(C43*D3/10000,0),ROUND(C43*D3/10000,0)-D2)</f>
        <v>#DIV/0!</v>
      </c>
      <c r="C2" s="2589"/>
      <c r="D2" s="1125" t="e">
        <f ca="1">SUMIF(INDIRECT("'"&amp;F2&amp;"'"&amp;"!A:A"),"承租人权益价值",INDIRECT("'"&amp;F2&amp;"'"&amp;"!c:c"))</f>
        <v>#REF!</v>
      </c>
      <c r="E2" s="2590" t="s">
        <v>2328</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1809.36</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198" t="s">
        <v>2648</v>
      </c>
      <c r="AC4" s="3197" t="s">
        <v>2649</v>
      </c>
    </row>
    <row r="5" spans="1:29"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2546</v>
      </c>
      <c r="D6" s="3218"/>
      <c r="E6" s="3224" t="s">
        <v>2546</v>
      </c>
      <c r="F6" s="3225"/>
      <c r="G6" s="3217" t="s">
        <v>2546</v>
      </c>
      <c r="H6" s="3218"/>
      <c r="I6" s="3217" t="s">
        <v>2546</v>
      </c>
      <c r="J6" s="3218"/>
      <c r="K6" s="610" t="s">
        <v>2547</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2548</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1" t="s">
        <v>2549</v>
      </c>
      <c r="Q7" s="3223"/>
      <c r="R7" s="770" t="s">
        <v>17</v>
      </c>
      <c r="S7" s="771">
        <f t="shared" ref="S7:S15" si="0">F7</f>
        <v>0</v>
      </c>
      <c r="T7" s="770" t="s">
        <v>17</v>
      </c>
      <c r="U7" s="771">
        <f t="shared" ref="U7:U15" si="1">H7</f>
        <v>0</v>
      </c>
      <c r="V7" s="770" t="s">
        <v>17</v>
      </c>
      <c r="W7" s="771">
        <f t="shared" ref="W7:W15" si="2">J7</f>
        <v>0</v>
      </c>
      <c r="X7" s="772"/>
      <c r="Y7" s="3221" t="s">
        <v>2549</v>
      </c>
      <c r="Z7" s="322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85"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87" t="s">
        <v>2560</v>
      </c>
      <c r="Q15" s="1810" t="str">
        <f t="shared" si="6"/>
        <v>产业集聚程度</v>
      </c>
      <c r="R15" s="774" t="s">
        <v>17</v>
      </c>
      <c r="S15" s="775">
        <f t="shared" si="0"/>
        <v>100</v>
      </c>
      <c r="T15" s="774" t="s">
        <v>17</v>
      </c>
      <c r="U15" s="775">
        <f t="shared" si="1"/>
        <v>100</v>
      </c>
      <c r="V15" s="774" t="s">
        <v>17</v>
      </c>
      <c r="W15" s="775">
        <f t="shared" si="2"/>
        <v>100</v>
      </c>
      <c r="X15" s="1813"/>
      <c r="Y15" s="3187"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88"/>
      <c r="Q16" s="1810"/>
      <c r="R16" s="774"/>
      <c r="S16" s="775"/>
      <c r="T16" s="774"/>
      <c r="U16" s="775"/>
      <c r="V16" s="774"/>
      <c r="W16" s="775"/>
      <c r="X16" s="1813"/>
      <c r="Y16" s="3188"/>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188"/>
      <c r="Q18" s="1810"/>
      <c r="R18" s="774"/>
      <c r="S18" s="775"/>
      <c r="T18" s="774"/>
      <c r="U18" s="775"/>
      <c r="V18" s="774"/>
      <c r="W18" s="775"/>
      <c r="X18" s="1813"/>
      <c r="Y18" s="3188"/>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88"/>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188"/>
      <c r="Q20" s="1810"/>
      <c r="R20" s="774"/>
      <c r="S20" s="775"/>
      <c r="T20" s="774"/>
      <c r="U20" s="775"/>
      <c r="V20" s="774"/>
      <c r="W20" s="775"/>
      <c r="X20" s="1813"/>
      <c r="Y20" s="3188"/>
      <c r="Z20" s="1814"/>
      <c r="AA20" s="1811">
        <v>1</v>
      </c>
      <c r="AB20" s="1811">
        <v>1</v>
      </c>
      <c r="AC20" s="1811">
        <v>1</v>
      </c>
    </row>
    <row r="21" spans="1:29" ht="28.5">
      <c r="A21" s="428"/>
      <c r="B21" s="1385"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88"/>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188"/>
      <c r="Q22" s="1810"/>
      <c r="R22" s="774"/>
      <c r="S22" s="775"/>
      <c r="T22" s="774"/>
      <c r="U22" s="775"/>
      <c r="V22" s="774"/>
      <c r="W22" s="775"/>
      <c r="X22" s="1813"/>
      <c r="Y22" s="3188"/>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88"/>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188"/>
      <c r="Q24" s="1810"/>
      <c r="R24" s="774"/>
      <c r="S24" s="775"/>
      <c r="T24" s="774"/>
      <c r="U24" s="775"/>
      <c r="V24" s="774"/>
      <c r="W24" s="775"/>
      <c r="X24" s="1813"/>
      <c r="Y24" s="3188"/>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88"/>
      <c r="Q25" s="1810">
        <f>B25</f>
        <v>111</v>
      </c>
      <c r="R25" s="774" t="s">
        <v>17</v>
      </c>
      <c r="S25" s="775">
        <f>F25</f>
        <v>100</v>
      </c>
      <c r="T25" s="774" t="s">
        <v>17</v>
      </c>
      <c r="U25" s="775">
        <f>H25</f>
        <v>100</v>
      </c>
      <c r="V25" s="774" t="s">
        <v>17</v>
      </c>
      <c r="W25" s="775">
        <f>J25</f>
        <v>100</v>
      </c>
      <c r="X25" s="1813"/>
      <c r="Y25" s="3188"/>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88"/>
      <c r="Q26" s="1810">
        <f t="shared" ref="Q26:Q40" si="11">B26</f>
        <v>111</v>
      </c>
      <c r="R26" s="774" t="s">
        <v>17</v>
      </c>
      <c r="S26" s="775">
        <f>F26</f>
        <v>100</v>
      </c>
      <c r="T26" s="774" t="s">
        <v>17</v>
      </c>
      <c r="U26" s="775">
        <f>H26</f>
        <v>100</v>
      </c>
      <c r="V26" s="774" t="s">
        <v>17</v>
      </c>
      <c r="W26" s="775">
        <f>J26</f>
        <v>100</v>
      </c>
      <c r="X26" s="1813"/>
      <c r="Y26" s="3188"/>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88"/>
      <c r="Q27" s="1795">
        <f t="shared" si="11"/>
        <v>111</v>
      </c>
      <c r="R27" s="770" t="s">
        <v>17</v>
      </c>
      <c r="S27" s="771">
        <f>F27</f>
        <v>100</v>
      </c>
      <c r="T27" s="770" t="s">
        <v>17</v>
      </c>
      <c r="U27" s="771">
        <f>H27</f>
        <v>100</v>
      </c>
      <c r="V27" s="770" t="s">
        <v>17</v>
      </c>
      <c r="W27" s="771">
        <f>J27</f>
        <v>100</v>
      </c>
      <c r="X27" s="772"/>
      <c r="Y27" s="3188"/>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88"/>
      <c r="Q28" s="1810">
        <f t="shared" si="11"/>
        <v>111</v>
      </c>
      <c r="R28" s="774" t="s">
        <v>17</v>
      </c>
      <c r="S28" s="775">
        <f t="shared" ref="S28:S40" si="12">F28</f>
        <v>100</v>
      </c>
      <c r="T28" s="774" t="s">
        <v>17</v>
      </c>
      <c r="U28" s="775">
        <f t="shared" ref="U28:U40" si="13">H28</f>
        <v>100</v>
      </c>
      <c r="V28" s="774" t="s">
        <v>17</v>
      </c>
      <c r="W28" s="775">
        <f t="shared" ref="W28:W40" si="14">J28</f>
        <v>100</v>
      </c>
      <c r="X28" s="1813"/>
      <c r="Y28" s="3188"/>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28" t="s">
        <v>2565</v>
      </c>
      <c r="Q29" s="1810" t="str">
        <f t="shared" si="11"/>
        <v>建筑类型</v>
      </c>
      <c r="R29" s="774" t="s">
        <v>17</v>
      </c>
      <c r="S29" s="775">
        <f t="shared" si="12"/>
        <v>100</v>
      </c>
      <c r="T29" s="774" t="s">
        <v>17</v>
      </c>
      <c r="U29" s="775">
        <f t="shared" si="13"/>
        <v>100</v>
      </c>
      <c r="V29" s="774" t="s">
        <v>17</v>
      </c>
      <c r="W29" s="775">
        <f t="shared" si="14"/>
        <v>100</v>
      </c>
      <c r="X29" s="1813"/>
      <c r="Y29" s="3192"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2"/>
      <c r="Q31" s="1810" t="str">
        <f t="shared" si="11"/>
        <v>建筑结构</v>
      </c>
      <c r="R31" s="774" t="s">
        <v>17</v>
      </c>
      <c r="S31" s="775">
        <f t="shared" si="12"/>
        <v>100</v>
      </c>
      <c r="T31" s="774" t="s">
        <v>17</v>
      </c>
      <c r="U31" s="775">
        <f t="shared" si="13"/>
        <v>100</v>
      </c>
      <c r="V31" s="774" t="s">
        <v>17</v>
      </c>
      <c r="W31" s="775">
        <f t="shared" si="14"/>
        <v>100</v>
      </c>
      <c r="X31" s="1813"/>
      <c r="Y31" s="3192"/>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2"/>
      <c r="Q32" s="1810" t="str">
        <f t="shared" si="11"/>
        <v>公共部分装修</v>
      </c>
      <c r="R32" s="774" t="s">
        <v>17</v>
      </c>
      <c r="S32" s="775">
        <f t="shared" si="12"/>
        <v>100</v>
      </c>
      <c r="T32" s="774" t="s">
        <v>17</v>
      </c>
      <c r="U32" s="775">
        <f t="shared" si="13"/>
        <v>100</v>
      </c>
      <c r="V32" s="774" t="s">
        <v>17</v>
      </c>
      <c r="W32" s="775">
        <f t="shared" si="14"/>
        <v>100</v>
      </c>
      <c r="X32" s="1813"/>
      <c r="Y32" s="3192"/>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2"/>
      <c r="Q33" s="1810" t="str">
        <f t="shared" si="11"/>
        <v>成新度</v>
      </c>
      <c r="R33" s="774" t="s">
        <v>17</v>
      </c>
      <c r="S33" s="775" t="e">
        <f t="shared" si="12"/>
        <v>#N/A</v>
      </c>
      <c r="T33" s="774" t="s">
        <v>17</v>
      </c>
      <c r="U33" s="775" t="e">
        <f t="shared" si="13"/>
        <v>#N/A</v>
      </c>
      <c r="V33" s="774" t="s">
        <v>17</v>
      </c>
      <c r="W33" s="775" t="e">
        <f t="shared" si="14"/>
        <v>#N/A</v>
      </c>
      <c r="X33" s="1813"/>
      <c r="Y33" s="3192"/>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2"/>
      <c r="Q34" s="1795"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2" t="s">
        <v>2565</v>
      </c>
      <c r="Q35" s="1810" t="str">
        <f t="shared" si="11"/>
        <v>市政基础设施</v>
      </c>
      <c r="R35" s="774" t="s">
        <v>17</v>
      </c>
      <c r="S35" s="775">
        <f t="shared" si="12"/>
        <v>100</v>
      </c>
      <c r="T35" s="774" t="s">
        <v>17</v>
      </c>
      <c r="U35" s="775">
        <f t="shared" si="13"/>
        <v>100</v>
      </c>
      <c r="V35" s="774" t="s">
        <v>17</v>
      </c>
      <c r="W35" s="775">
        <f t="shared" si="14"/>
        <v>100</v>
      </c>
      <c r="X35" s="1813"/>
      <c r="Y35" s="3192"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2"/>
      <c r="Q36" s="1810" t="str">
        <f t="shared" si="11"/>
        <v>内部装修</v>
      </c>
      <c r="R36" s="774" t="s">
        <v>17</v>
      </c>
      <c r="S36" s="775">
        <f t="shared" si="12"/>
        <v>100</v>
      </c>
      <c r="T36" s="774" t="s">
        <v>17</v>
      </c>
      <c r="U36" s="775">
        <f t="shared" si="13"/>
        <v>100</v>
      </c>
      <c r="V36" s="774" t="s">
        <v>17</v>
      </c>
      <c r="W36" s="775">
        <f t="shared" si="14"/>
        <v>100</v>
      </c>
      <c r="X36" s="1813"/>
      <c r="Y36" s="3192"/>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2"/>
      <c r="Q37" s="1810" t="str">
        <f t="shared" si="11"/>
        <v>内部装修状况</v>
      </c>
      <c r="R37" s="774" t="s">
        <v>17</v>
      </c>
      <c r="S37" s="775">
        <f t="shared" si="12"/>
        <v>100</v>
      </c>
      <c r="T37" s="774" t="s">
        <v>17</v>
      </c>
      <c r="U37" s="775">
        <f t="shared" si="13"/>
        <v>100</v>
      </c>
      <c r="V37" s="774" t="s">
        <v>17</v>
      </c>
      <c r="W37" s="775">
        <f t="shared" si="14"/>
        <v>100</v>
      </c>
      <c r="X37" s="1813"/>
      <c r="Y37" s="3192"/>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2"/>
      <c r="Q39" s="1810">
        <f t="shared" si="11"/>
        <v>111</v>
      </c>
      <c r="R39" s="774" t="s">
        <v>17</v>
      </c>
      <c r="S39" s="775">
        <f t="shared" si="12"/>
        <v>100</v>
      </c>
      <c r="T39" s="774" t="s">
        <v>17</v>
      </c>
      <c r="U39" s="775">
        <f t="shared" si="13"/>
        <v>100</v>
      </c>
      <c r="V39" s="774" t="s">
        <v>17</v>
      </c>
      <c r="W39" s="775">
        <f t="shared" si="14"/>
        <v>100</v>
      </c>
      <c r="X39" s="1813"/>
      <c r="Y39" s="319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93"/>
      <c r="Q40" s="1810">
        <f t="shared" si="11"/>
        <v>111</v>
      </c>
      <c r="R40" s="774" t="s">
        <v>17</v>
      </c>
      <c r="S40" s="775">
        <f t="shared" si="12"/>
        <v>100</v>
      </c>
      <c r="T40" s="774" t="s">
        <v>17</v>
      </c>
      <c r="U40" s="775">
        <f t="shared" si="13"/>
        <v>100</v>
      </c>
      <c r="V40" s="774" t="s">
        <v>17</v>
      </c>
      <c r="W40" s="775">
        <f t="shared" si="14"/>
        <v>100</v>
      </c>
      <c r="X40" s="1813"/>
      <c r="Y40" s="3193"/>
      <c r="Z40" s="1814">
        <f t="shared" si="15"/>
        <v>111</v>
      </c>
      <c r="AA40" s="1811">
        <f t="shared" si="3"/>
        <v>1</v>
      </c>
      <c r="AB40" s="1811">
        <f t="shared" si="4"/>
        <v>1</v>
      </c>
      <c r="AC40" s="1811">
        <f t="shared" si="5"/>
        <v>1</v>
      </c>
    </row>
    <row r="41" spans="1:29" ht="15">
      <c r="A41" s="479" t="s">
        <v>2577</v>
      </c>
      <c r="B41" s="480"/>
      <c r="C41" s="1408" t="s">
        <v>1</v>
      </c>
      <c r="D41" s="1409"/>
      <c r="E41" s="1410"/>
      <c r="F41" s="1411"/>
      <c r="G41" s="1412"/>
      <c r="H41" s="1413"/>
      <c r="I41" s="1410"/>
      <c r="J41" s="1413"/>
      <c r="K41" s="783"/>
      <c r="L41" s="1144"/>
      <c r="M41" s="1145"/>
      <c r="N41" s="1132"/>
      <c r="O41" s="1145"/>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2669</v>
      </c>
      <c r="B42" s="487"/>
      <c r="C42" s="1414" t="e">
        <f>R43</f>
        <v>#DIV/0!</v>
      </c>
      <c r="D42" s="1415"/>
      <c r="E42" s="1416" t="e">
        <f>R42</f>
        <v>#DIV/0!</v>
      </c>
      <c r="F42" s="1416"/>
      <c r="G42" s="1414" t="e">
        <f>T42</f>
        <v>#DIV/0!</v>
      </c>
      <c r="H42" s="1415"/>
      <c r="I42" s="1416" t="e">
        <f>V42</f>
        <v>#DIV/0!</v>
      </c>
      <c r="J42" s="1415"/>
      <c r="K42" s="784"/>
      <c r="L42" s="1144"/>
      <c r="M42" s="1145"/>
      <c r="N42" s="1132"/>
      <c r="O42" s="1145"/>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2670</v>
      </c>
      <c r="B43" s="493"/>
      <c r="C43" s="1418" t="e">
        <f>R43</f>
        <v>#DIV/0!</v>
      </c>
      <c r="D43" s="1418"/>
      <c r="E43" s="1418"/>
      <c r="F43" s="1418"/>
      <c r="G43" s="1418"/>
      <c r="H43" s="1418"/>
      <c r="I43" s="1418"/>
      <c r="J43" s="1418"/>
      <c r="K43" s="785"/>
      <c r="L43" s="1144"/>
      <c r="M43" s="1145"/>
      <c r="N43" s="1145"/>
      <c r="O43" s="1145"/>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2674</v>
      </c>
      <c r="B51" s="759"/>
      <c r="C51" s="764"/>
      <c r="D51" s="764"/>
      <c r="E51" s="764"/>
      <c r="F51" s="765"/>
      <c r="G51" s="765"/>
      <c r="H51" s="764"/>
      <c r="I51" s="764"/>
      <c r="J51" s="764"/>
      <c r="K51" s="1161"/>
      <c r="L51" s="1162"/>
      <c r="M51" s="1160"/>
      <c r="N51" s="1160"/>
      <c r="O51" s="1160"/>
      <c r="P51" s="503"/>
      <c r="Q51" s="504"/>
    </row>
    <row r="52" spans="1:17" s="508" customFormat="1" ht="15">
      <c r="A52" s="505" t="s">
        <v>2548</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2588</v>
      </c>
      <c r="B57" s="528" t="s">
        <v>2554</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2563</v>
      </c>
      <c r="B88" s="528" t="s">
        <v>2612</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2614</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2616</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2617</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2618</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2620</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23"/>
      <c r="F1" s="2587"/>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19" t="e">
        <f ca="1">IF(C2="——",IF(B37="元/平方米",ROUND(C39*D3/10000,0),ROUND(F3*C39/10000,0)),IF(B37="元/平方米",ROUND(C39*D3/10000,0),ROUND(F3*C39/10000,0))-D2)</f>
        <v>#DIV/0!</v>
      </c>
      <c r="C2" s="2589"/>
      <c r="D2" s="1125" t="e">
        <f ca="1">SUMIF(INDIRECT("'"&amp;F2&amp;"'"&amp;"!A:A"),"承租人权益价值",INDIRECT("'"&amp;F2&amp;"'"&amp;"!c:c"))</f>
        <v>#REF!</v>
      </c>
      <c r="E2" s="2590" t="s">
        <v>2328</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198" t="s">
        <v>2648</v>
      </c>
      <c r="AC4" s="3197" t="s">
        <v>2649</v>
      </c>
    </row>
    <row r="5" spans="1:29"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2546</v>
      </c>
      <c r="D6" s="3218"/>
      <c r="E6" s="3224" t="s">
        <v>2546</v>
      </c>
      <c r="F6" s="3225"/>
      <c r="G6" s="3217" t="s">
        <v>2546</v>
      </c>
      <c r="H6" s="3218"/>
      <c r="I6" s="3217" t="s">
        <v>2546</v>
      </c>
      <c r="J6" s="3218"/>
      <c r="K6" s="610" t="s">
        <v>2547</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2548</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1" t="s">
        <v>2549</v>
      </c>
      <c r="Q7" s="3223"/>
      <c r="R7" s="770" t="s">
        <v>17</v>
      </c>
      <c r="S7" s="771">
        <f t="shared" ref="S7:S14" si="0">F7</f>
        <v>0</v>
      </c>
      <c r="T7" s="770" t="s">
        <v>17</v>
      </c>
      <c r="U7" s="771">
        <f t="shared" ref="U7:U14" si="1">H7</f>
        <v>0</v>
      </c>
      <c r="V7" s="770" t="s">
        <v>17</v>
      </c>
      <c r="W7" s="771">
        <f t="shared" ref="W7:W14" si="2">J7</f>
        <v>0</v>
      </c>
      <c r="X7" s="772"/>
      <c r="Y7" s="3221" t="s">
        <v>2549</v>
      </c>
      <c r="Z7" s="322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85" t="s">
        <v>2555</v>
      </c>
      <c r="Q9" s="1795" t="str">
        <f t="shared" ref="Q9:Q14" si="6">B9</f>
        <v>用途</v>
      </c>
      <c r="R9" s="770" t="s">
        <v>17</v>
      </c>
      <c r="S9" s="771">
        <f t="shared" si="0"/>
        <v>100</v>
      </c>
      <c r="T9" s="770" t="s">
        <v>17</v>
      </c>
      <c r="U9" s="771">
        <f t="shared" si="1"/>
        <v>100</v>
      </c>
      <c r="V9" s="770" t="s">
        <v>17</v>
      </c>
      <c r="W9" s="771">
        <f t="shared" si="2"/>
        <v>100</v>
      </c>
      <c r="X9" s="772"/>
      <c r="Y9" s="301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87" t="s">
        <v>2560</v>
      </c>
      <c r="Q14" s="1810" t="str">
        <f t="shared" si="6"/>
        <v>交通便捷度</v>
      </c>
      <c r="R14" s="774" t="s">
        <v>17</v>
      </c>
      <c r="S14" s="775">
        <f t="shared" si="0"/>
        <v>100</v>
      </c>
      <c r="T14" s="774" t="s">
        <v>17</v>
      </c>
      <c r="U14" s="775">
        <f t="shared" si="1"/>
        <v>100</v>
      </c>
      <c r="V14" s="774" t="s">
        <v>17</v>
      </c>
      <c r="W14" s="775">
        <f t="shared" si="2"/>
        <v>100</v>
      </c>
      <c r="X14" s="1813"/>
      <c r="Y14" s="3187"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88"/>
      <c r="Q15" s="1810"/>
      <c r="R15" s="774"/>
      <c r="S15" s="775"/>
      <c r="T15" s="774"/>
      <c r="U15" s="775"/>
      <c r="V15" s="774"/>
      <c r="W15" s="775"/>
      <c r="X15" s="1813"/>
      <c r="Y15" s="3188"/>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188"/>
      <c r="Q17" s="1810"/>
      <c r="R17" s="774"/>
      <c r="S17" s="775"/>
      <c r="T17" s="774"/>
      <c r="U17" s="775"/>
      <c r="V17" s="774"/>
      <c r="W17" s="775"/>
      <c r="X17" s="1813"/>
      <c r="Y17" s="3188"/>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188"/>
      <c r="Q19" s="1810"/>
      <c r="R19" s="774"/>
      <c r="S19" s="775"/>
      <c r="T19" s="774"/>
      <c r="U19" s="775"/>
      <c r="V19" s="774"/>
      <c r="W19" s="775"/>
      <c r="X19" s="1813"/>
      <c r="Y19" s="3188"/>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88"/>
      <c r="Q21" s="1810"/>
      <c r="R21" s="774"/>
      <c r="S21" s="775"/>
      <c r="T21" s="774"/>
      <c r="U21" s="775"/>
      <c r="V21" s="774"/>
      <c r="W21" s="775"/>
      <c r="X21" s="1813"/>
      <c r="Y21" s="3188"/>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88"/>
      <c r="Q24" s="1810">
        <f t="shared" ref="Q24:Q36"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8"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2"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2"/>
      <c r="Q28" s="1810" t="str">
        <f t="shared" si="11"/>
        <v>公共部分装修</v>
      </c>
      <c r="R28" s="774" t="s">
        <v>17</v>
      </c>
      <c r="S28" s="775">
        <f t="shared" si="12"/>
        <v>100</v>
      </c>
      <c r="T28" s="774" t="s">
        <v>17</v>
      </c>
      <c r="U28" s="775">
        <f t="shared" si="13"/>
        <v>100</v>
      </c>
      <c r="V28" s="774" t="s">
        <v>17</v>
      </c>
      <c r="W28" s="775">
        <f t="shared" si="14"/>
        <v>100</v>
      </c>
      <c r="X28" s="1813"/>
      <c r="Y28" s="3192"/>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2"/>
      <c r="Q29" s="1810" t="str">
        <f t="shared" si="11"/>
        <v>成新率</v>
      </c>
      <c r="R29" s="774" t="s">
        <v>17</v>
      </c>
      <c r="S29" s="775" t="e">
        <f t="shared" si="12"/>
        <v>#N/A</v>
      </c>
      <c r="T29" s="774" t="s">
        <v>17</v>
      </c>
      <c r="U29" s="775" t="e">
        <f t="shared" si="13"/>
        <v>#N/A</v>
      </c>
      <c r="V29" s="774" t="s">
        <v>17</v>
      </c>
      <c r="W29" s="775" t="e">
        <f t="shared" si="14"/>
        <v>#N/A</v>
      </c>
      <c r="X29" s="1813"/>
      <c r="Y29" s="3192"/>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2"/>
      <c r="Q30" s="1810" t="str">
        <f t="shared" si="11"/>
        <v>物业等级</v>
      </c>
      <c r="R30" s="774" t="s">
        <v>17</v>
      </c>
      <c r="S30" s="775">
        <f t="shared" si="12"/>
        <v>100</v>
      </c>
      <c r="T30" s="774" t="s">
        <v>17</v>
      </c>
      <c r="U30" s="775">
        <f t="shared" si="13"/>
        <v>100</v>
      </c>
      <c r="V30" s="774" t="s">
        <v>17</v>
      </c>
      <c r="W30" s="775">
        <f t="shared" si="14"/>
        <v>100</v>
      </c>
      <c r="X30" s="1813"/>
      <c r="Y30" s="3192"/>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2"/>
      <c r="Q31" s="1795"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2" t="s">
        <v>2565</v>
      </c>
      <c r="Q32" s="1810" t="str">
        <f t="shared" si="11"/>
        <v>车位类型</v>
      </c>
      <c r="R32" s="774" t="s">
        <v>17</v>
      </c>
      <c r="S32" s="775">
        <f t="shared" si="12"/>
        <v>100</v>
      </c>
      <c r="T32" s="774" t="s">
        <v>17</v>
      </c>
      <c r="U32" s="775">
        <f t="shared" si="13"/>
        <v>100</v>
      </c>
      <c r="V32" s="774" t="s">
        <v>17</v>
      </c>
      <c r="W32" s="775">
        <f t="shared" si="14"/>
        <v>100</v>
      </c>
      <c r="X32" s="1813"/>
      <c r="Y32" s="3192"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2"/>
      <c r="Q33" s="1810" t="str">
        <f t="shared" si="11"/>
        <v>是否直接入户</v>
      </c>
      <c r="R33" s="774" t="s">
        <v>17</v>
      </c>
      <c r="S33" s="775">
        <f t="shared" si="12"/>
        <v>100</v>
      </c>
      <c r="T33" s="774" t="s">
        <v>17</v>
      </c>
      <c r="U33" s="775">
        <f t="shared" si="13"/>
        <v>100</v>
      </c>
      <c r="V33" s="774" t="s">
        <v>17</v>
      </c>
      <c r="W33" s="775">
        <f t="shared" si="14"/>
        <v>100</v>
      </c>
      <c r="X33" s="1813"/>
      <c r="Y33" s="319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2"/>
      <c r="Q36" s="1810">
        <f t="shared" si="11"/>
        <v>111</v>
      </c>
      <c r="R36" s="774" t="s">
        <v>17</v>
      </c>
      <c r="S36" s="775">
        <f t="shared" si="12"/>
        <v>100</v>
      </c>
      <c r="T36" s="774" t="s">
        <v>17</v>
      </c>
      <c r="U36" s="775">
        <f t="shared" si="13"/>
        <v>100</v>
      </c>
      <c r="V36" s="774" t="s">
        <v>17</v>
      </c>
      <c r="W36" s="775">
        <f t="shared" si="14"/>
        <v>100</v>
      </c>
      <c r="X36" s="1813"/>
      <c r="Y36" s="3192"/>
      <c r="Z36" s="1814">
        <f t="shared" si="15"/>
        <v>111</v>
      </c>
      <c r="AA36" s="1811">
        <f t="shared" si="3"/>
        <v>1</v>
      </c>
      <c r="AB36" s="1811">
        <f t="shared" si="4"/>
        <v>1</v>
      </c>
      <c r="AC36" s="1811">
        <f t="shared" si="5"/>
        <v>1</v>
      </c>
    </row>
    <row r="37" spans="1:29" ht="15">
      <c r="A37" s="479" t="s">
        <v>2720</v>
      </c>
      <c r="B37" s="2698" t="s">
        <v>2721</v>
      </c>
      <c r="C37" s="1408" t="s">
        <v>1</v>
      </c>
      <c r="D37" s="1409"/>
      <c r="E37" s="1410"/>
      <c r="F37" s="1411"/>
      <c r="G37" s="1412"/>
      <c r="H37" s="1413"/>
      <c r="I37" s="1410"/>
      <c r="J37" s="1413"/>
      <c r="K37" s="619"/>
      <c r="L37" s="1144"/>
      <c r="M37" s="1145"/>
      <c r="N37" s="1132"/>
      <c r="O37" s="1145"/>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2722</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2723</v>
      </c>
      <c r="B39" s="493"/>
      <c r="C39" s="1418" t="e">
        <f>R39</f>
        <v>#DIV/0!</v>
      </c>
      <c r="D39" s="1418"/>
      <c r="E39" s="1418"/>
      <c r="F39" s="1418"/>
      <c r="G39" s="1418"/>
      <c r="H39" s="1418"/>
      <c r="I39" s="1418"/>
      <c r="J39" s="1418"/>
      <c r="K39" s="621"/>
      <c r="L39" s="1144"/>
      <c r="M39" s="1145"/>
      <c r="N39" s="1145"/>
      <c r="O39" s="1145"/>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2728</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2585</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2550</v>
      </c>
      <c r="B51" s="510"/>
      <c r="C51" s="522" t="s">
        <v>2652</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2588</v>
      </c>
      <c r="B53" s="528" t="s">
        <v>2554</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2603</v>
      </c>
      <c r="C65" s="578" t="s">
        <v>2597</v>
      </c>
      <c r="D65" s="578" t="s">
        <v>2598</v>
      </c>
      <c r="E65" s="578" t="s">
        <v>2599</v>
      </c>
      <c r="F65" s="578" t="s">
        <v>2600</v>
      </c>
      <c r="G65" s="578" t="s">
        <v>2601</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2689</v>
      </c>
      <c r="C67" s="660" t="s">
        <v>2675</v>
      </c>
      <c r="D67" s="660" t="s">
        <v>2676</v>
      </c>
      <c r="E67" s="660" t="s">
        <v>2677</v>
      </c>
      <c r="F67" s="660" t="s">
        <v>2678</v>
      </c>
      <c r="G67" s="660" t="s">
        <v>2679</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2609</v>
      </c>
      <c r="C69" s="578" t="s">
        <v>2597</v>
      </c>
      <c r="D69" s="578" t="s">
        <v>2598</v>
      </c>
      <c r="E69" s="578" t="s">
        <v>2599</v>
      </c>
      <c r="F69" s="578" t="s">
        <v>2600</v>
      </c>
      <c r="G69" s="578" t="s">
        <v>2601</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2729</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2563</v>
      </c>
      <c r="B79" s="528" t="s">
        <v>2730</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2731</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2616</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2733</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2735</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2736</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1608</v>
      </c>
    </row>
    <row r="6" spans="1:1" ht="18.75">
      <c r="A6" s="1950" t="s">
        <v>1609</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估价对象为房地产，为所有。根据《国有土地使用证》[]，估价对象（分摊）出让国有建设用地使用权面积为424平方米，建筑面积为1809.36平方米。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估价对象为房地产,属开发建设的，该项目尚在开发建设中。根据《国有土地使用证》[]，估价对象（分摊）出让国有建设用地使用权面积为424平方米，规划建筑面积为1809.36平方米。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2019年3月27日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本次评估采用的主估价方法为收益法和比较法。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31"/>
      <c r="F1" s="2587"/>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IF(C2="——",ROUND(C37*D3/10000,0),ROUND(C37*D3/10000,0)-D2)</f>
        <v>#DIV/0!</v>
      </c>
      <c r="C2" s="2589"/>
      <c r="D2" s="1125" t="e">
        <f ca="1">SUMIF(INDIRECT("'"&amp;F2&amp;"'"&amp;"!A:A"),"承租人权益价值",INDIRECT("'"&amp;F2&amp;"'"&amp;"!c:c"))</f>
        <v>#REF!</v>
      </c>
      <c r="E2" s="2590" t="s">
        <v>2328</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198" t="s">
        <v>2648</v>
      </c>
      <c r="AC4" s="3197" t="s">
        <v>2649</v>
      </c>
    </row>
    <row r="5" spans="1:29"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17" t="s">
        <v>2546</v>
      </c>
      <c r="D6" s="3218"/>
      <c r="E6" s="3224" t="s">
        <v>2546</v>
      </c>
      <c r="F6" s="3225"/>
      <c r="G6" s="3217" t="s">
        <v>2546</v>
      </c>
      <c r="H6" s="3218"/>
      <c r="I6" s="3217" t="s">
        <v>2546</v>
      </c>
      <c r="J6" s="3218"/>
      <c r="K6" s="610" t="s">
        <v>2547</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2548</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21" t="s">
        <v>2549</v>
      </c>
      <c r="Q7" s="3223"/>
      <c r="R7" s="770" t="s">
        <v>17</v>
      </c>
      <c r="S7" s="771">
        <f t="shared" ref="S7:S14" si="0">F7</f>
        <v>0</v>
      </c>
      <c r="T7" s="770" t="s">
        <v>17</v>
      </c>
      <c r="U7" s="771">
        <f t="shared" ref="U7:U14" si="1">H7</f>
        <v>0</v>
      </c>
      <c r="V7" s="770" t="s">
        <v>17</v>
      </c>
      <c r="W7" s="771">
        <f t="shared" ref="W7:W14" si="2">J7</f>
        <v>0</v>
      </c>
      <c r="X7" s="772"/>
      <c r="Y7" s="3221" t="s">
        <v>2549</v>
      </c>
      <c r="Z7" s="322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85" t="s">
        <v>2555</v>
      </c>
      <c r="Q9" s="1795" t="str">
        <f t="shared" ref="Q9:Q14" si="6">B9</f>
        <v>用途</v>
      </c>
      <c r="R9" s="770" t="s">
        <v>17</v>
      </c>
      <c r="S9" s="771">
        <f t="shared" si="0"/>
        <v>100</v>
      </c>
      <c r="T9" s="770" t="s">
        <v>17</v>
      </c>
      <c r="U9" s="771">
        <f t="shared" si="1"/>
        <v>100</v>
      </c>
      <c r="V9" s="770" t="s">
        <v>17</v>
      </c>
      <c r="W9" s="771">
        <f t="shared" si="2"/>
        <v>100</v>
      </c>
      <c r="X9" s="772"/>
      <c r="Y9" s="301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87" t="s">
        <v>2560</v>
      </c>
      <c r="Q14" s="1810" t="str">
        <f t="shared" si="6"/>
        <v>交通便捷度</v>
      </c>
      <c r="R14" s="774" t="s">
        <v>17</v>
      </c>
      <c r="S14" s="775">
        <f t="shared" si="0"/>
        <v>100</v>
      </c>
      <c r="T14" s="774" t="s">
        <v>17</v>
      </c>
      <c r="U14" s="775">
        <f t="shared" si="1"/>
        <v>100</v>
      </c>
      <c r="V14" s="774" t="s">
        <v>17</v>
      </c>
      <c r="W14" s="775">
        <f t="shared" si="2"/>
        <v>100</v>
      </c>
      <c r="X14" s="1813"/>
      <c r="Y14" s="3187"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88"/>
      <c r="Q15" s="1810"/>
      <c r="R15" s="774"/>
      <c r="S15" s="775"/>
      <c r="T15" s="774"/>
      <c r="U15" s="775"/>
      <c r="V15" s="774"/>
      <c r="W15" s="775"/>
      <c r="X15" s="1813"/>
      <c r="Y15" s="3188"/>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188"/>
      <c r="Q17" s="1810"/>
      <c r="R17" s="774"/>
      <c r="S17" s="775"/>
      <c r="T17" s="774"/>
      <c r="U17" s="775"/>
      <c r="V17" s="774"/>
      <c r="W17" s="775"/>
      <c r="X17" s="1813"/>
      <c r="Y17" s="3188"/>
      <c r="Z17" s="1814"/>
      <c r="AA17" s="1811">
        <v>1</v>
      </c>
      <c r="AB17" s="1811">
        <v>1</v>
      </c>
      <c r="AC17" s="1811">
        <v>1</v>
      </c>
    </row>
    <row r="18" spans="1:29" ht="28.5">
      <c r="A18" s="428"/>
      <c r="B18" s="1385"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188"/>
      <c r="Q19" s="1810"/>
      <c r="R19" s="774"/>
      <c r="S19" s="775"/>
      <c r="T19" s="774"/>
      <c r="U19" s="775"/>
      <c r="V19" s="774"/>
      <c r="W19" s="775"/>
      <c r="X19" s="1813"/>
      <c r="Y19" s="3188"/>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88"/>
      <c r="Q21" s="1810"/>
      <c r="R21" s="774"/>
      <c r="S21" s="775"/>
      <c r="T21" s="774"/>
      <c r="U21" s="775"/>
      <c r="V21" s="774"/>
      <c r="W21" s="775"/>
      <c r="X21" s="1813"/>
      <c r="Y21" s="3188"/>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88"/>
      <c r="Q24" s="1810">
        <f t="shared" ref="Q24:Q34"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28"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2"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2"/>
      <c r="Q28" s="1810" t="str">
        <f t="shared" si="11"/>
        <v>物业等级</v>
      </c>
      <c r="R28" s="774" t="s">
        <v>17</v>
      </c>
      <c r="S28" s="775">
        <f t="shared" si="12"/>
        <v>100</v>
      </c>
      <c r="T28" s="774" t="s">
        <v>17</v>
      </c>
      <c r="U28" s="775">
        <f t="shared" si="13"/>
        <v>100</v>
      </c>
      <c r="V28" s="774" t="s">
        <v>17</v>
      </c>
      <c r="W28" s="775">
        <f t="shared" si="14"/>
        <v>100</v>
      </c>
      <c r="X28" s="1813"/>
      <c r="Y28" s="3192"/>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2"/>
      <c r="Q29" s="1810" t="str">
        <f t="shared" si="11"/>
        <v>有无电梯</v>
      </c>
      <c r="R29" s="774" t="s">
        <v>17</v>
      </c>
      <c r="S29" s="775">
        <f t="shared" si="12"/>
        <v>100</v>
      </c>
      <c r="T29" s="774" t="s">
        <v>17</v>
      </c>
      <c r="U29" s="775">
        <f t="shared" si="13"/>
        <v>100</v>
      </c>
      <c r="V29" s="774" t="s">
        <v>17</v>
      </c>
      <c r="W29" s="775">
        <f t="shared" si="14"/>
        <v>100</v>
      </c>
      <c r="X29" s="1813"/>
      <c r="Y29" s="3192"/>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2"/>
      <c r="Q30" s="1810" t="str">
        <f t="shared" si="11"/>
        <v>建筑面积</v>
      </c>
      <c r="R30" s="774" t="s">
        <v>17</v>
      </c>
      <c r="S30" s="775" t="e">
        <f t="shared" si="12"/>
        <v>#N/A</v>
      </c>
      <c r="T30" s="774" t="s">
        <v>17</v>
      </c>
      <c r="U30" s="775" t="e">
        <f t="shared" si="13"/>
        <v>#N/A</v>
      </c>
      <c r="V30" s="774" t="s">
        <v>17</v>
      </c>
      <c r="W30" s="775" t="e">
        <f t="shared" si="14"/>
        <v>#N/A</v>
      </c>
      <c r="X30" s="1813"/>
      <c r="Y30" s="3192"/>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2"/>
      <c r="Q31" s="1795"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2" t="s">
        <v>2565</v>
      </c>
      <c r="Q32" s="1810">
        <f t="shared" si="11"/>
        <v>111</v>
      </c>
      <c r="R32" s="774" t="s">
        <v>17</v>
      </c>
      <c r="S32" s="775">
        <f t="shared" si="12"/>
        <v>100</v>
      </c>
      <c r="T32" s="774" t="s">
        <v>17</v>
      </c>
      <c r="U32" s="775">
        <f t="shared" si="13"/>
        <v>100</v>
      </c>
      <c r="V32" s="774" t="s">
        <v>17</v>
      </c>
      <c r="W32" s="775">
        <f t="shared" si="14"/>
        <v>100</v>
      </c>
      <c r="X32" s="1813"/>
      <c r="Y32" s="3192"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2"/>
      <c r="Q33" s="1810">
        <f t="shared" si="11"/>
        <v>111</v>
      </c>
      <c r="R33" s="774" t="s">
        <v>17</v>
      </c>
      <c r="S33" s="775">
        <f t="shared" si="12"/>
        <v>100</v>
      </c>
      <c r="T33" s="774" t="s">
        <v>17</v>
      </c>
      <c r="U33" s="775">
        <f t="shared" si="13"/>
        <v>100</v>
      </c>
      <c r="V33" s="774" t="s">
        <v>17</v>
      </c>
      <c r="W33" s="775">
        <f t="shared" si="14"/>
        <v>100</v>
      </c>
      <c r="X33" s="1813"/>
      <c r="Y33" s="319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ht="15">
      <c r="A35" s="479" t="s">
        <v>2577</v>
      </c>
      <c r="B35" s="480"/>
      <c r="C35" s="1408" t="s">
        <v>1</v>
      </c>
      <c r="D35" s="1409"/>
      <c r="E35" s="1410"/>
      <c r="F35" s="1411"/>
      <c r="G35" s="1412"/>
      <c r="H35" s="1413"/>
      <c r="I35" s="1410"/>
      <c r="J35" s="1413"/>
      <c r="K35" s="783"/>
      <c r="L35" s="1144"/>
      <c r="M35" s="1145"/>
      <c r="N35" s="1132"/>
      <c r="O35" s="1145"/>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2669</v>
      </c>
      <c r="B36" s="487"/>
      <c r="C36" s="1414" t="e">
        <f>R37</f>
        <v>#DIV/0!</v>
      </c>
      <c r="D36" s="1415"/>
      <c r="E36" s="1416" t="e">
        <f>R36</f>
        <v>#DIV/0!</v>
      </c>
      <c r="F36" s="1416"/>
      <c r="G36" s="1414" t="e">
        <f>T36</f>
        <v>#DIV/0!</v>
      </c>
      <c r="H36" s="1415"/>
      <c r="I36" s="1416" t="e">
        <f>V36</f>
        <v>#DIV/0!</v>
      </c>
      <c r="J36" s="1415"/>
      <c r="K36" s="784"/>
      <c r="L36" s="1144"/>
      <c r="M36" s="1145"/>
      <c r="N36" s="1132"/>
      <c r="O36" s="1145"/>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2670</v>
      </c>
      <c r="B37" s="493"/>
      <c r="C37" s="1418" t="e">
        <f>R37</f>
        <v>#DIV/0!</v>
      </c>
      <c r="D37" s="1418"/>
      <c r="E37" s="1418"/>
      <c r="F37" s="1418"/>
      <c r="G37" s="1418"/>
      <c r="H37" s="1418"/>
      <c r="I37" s="1418"/>
      <c r="J37" s="1418"/>
      <c r="K37" s="785"/>
      <c r="L37" s="1144"/>
      <c r="M37" s="1145"/>
      <c r="N37" s="1145"/>
      <c r="O37" s="1145"/>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2588</v>
      </c>
      <c r="B51" s="528" t="s">
        <v>2554</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2729</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2563</v>
      </c>
      <c r="B77" s="528" t="s">
        <v>2616</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2733</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2741</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2743</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198" t="s">
        <v>2648</v>
      </c>
      <c r="AC4" s="3197" t="s">
        <v>2649</v>
      </c>
    </row>
    <row r="5" spans="1:30"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198"/>
      <c r="AC5" s="3198"/>
    </row>
    <row r="6" spans="1:30" ht="15.75" thickBot="1">
      <c r="A6" s="406"/>
      <c r="B6" s="407"/>
      <c r="C6" s="3217" t="s">
        <v>2546</v>
      </c>
      <c r="D6" s="3218"/>
      <c r="E6" s="3224" t="s">
        <v>2546</v>
      </c>
      <c r="F6" s="3225"/>
      <c r="G6" s="3217" t="s">
        <v>2546</v>
      </c>
      <c r="H6" s="3218"/>
      <c r="I6" s="3217" t="s">
        <v>2546</v>
      </c>
      <c r="J6" s="3218"/>
      <c r="K6" s="610" t="s">
        <v>2547</v>
      </c>
      <c r="L6" s="1131"/>
      <c r="M6" s="1132"/>
      <c r="N6" s="1132"/>
      <c r="O6" s="1132"/>
      <c r="P6" s="3208"/>
      <c r="Q6" s="3209"/>
      <c r="R6" s="3212"/>
      <c r="S6" s="3213"/>
      <c r="T6" s="3214"/>
      <c r="U6" s="3215"/>
      <c r="V6" s="3216"/>
      <c r="W6" s="3216"/>
      <c r="X6" s="1813"/>
      <c r="Y6" s="3214"/>
      <c r="Z6" s="3215"/>
      <c r="AA6" s="3199"/>
      <c r="AB6" s="3199"/>
      <c r="AC6" s="3199"/>
    </row>
    <row r="7" spans="1:30" s="117" customFormat="1" ht="15.75" thickBot="1">
      <c r="A7" s="408" t="s">
        <v>2548</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21" t="s">
        <v>2549</v>
      </c>
      <c r="Q7" s="3223"/>
      <c r="R7" s="770" t="s">
        <v>17</v>
      </c>
      <c r="S7" s="771">
        <f t="shared" ref="S7:S15" si="0">F7</f>
        <v>0</v>
      </c>
      <c r="T7" s="770" t="s">
        <v>17</v>
      </c>
      <c r="U7" s="771">
        <f t="shared" ref="U7:U15" si="1">H7</f>
        <v>0</v>
      </c>
      <c r="V7" s="770" t="s">
        <v>17</v>
      </c>
      <c r="W7" s="771">
        <f t="shared" ref="W7:W15" si="2">J7</f>
        <v>0</v>
      </c>
      <c r="X7" s="772"/>
      <c r="Y7" s="3221" t="s">
        <v>2549</v>
      </c>
      <c r="Z7" s="322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185"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185"/>
      <c r="Q10" s="1795"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85"/>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87" t="s">
        <v>2560</v>
      </c>
      <c r="Q15" s="1810" t="str">
        <f t="shared" si="6"/>
        <v>居住社区成熟度</v>
      </c>
      <c r="R15" s="774" t="s">
        <v>17</v>
      </c>
      <c r="S15" s="775">
        <f t="shared" si="0"/>
        <v>100</v>
      </c>
      <c r="T15" s="774" t="s">
        <v>17</v>
      </c>
      <c r="U15" s="775">
        <f t="shared" si="1"/>
        <v>100</v>
      </c>
      <c r="V15" s="774" t="s">
        <v>17</v>
      </c>
      <c r="W15" s="775">
        <f t="shared" si="2"/>
        <v>100</v>
      </c>
      <c r="X15" s="1813"/>
      <c r="Y15" s="3187"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188"/>
      <c r="Q16" s="1810"/>
      <c r="R16" s="774"/>
      <c r="S16" s="775"/>
      <c r="T16" s="774"/>
      <c r="U16" s="775"/>
      <c r="V16" s="774"/>
      <c r="W16" s="775"/>
      <c r="X16" s="1813"/>
      <c r="Y16" s="3188"/>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88"/>
      <c r="Q17" s="1810" t="str">
        <f>B17</f>
        <v>商业繁华度</v>
      </c>
      <c r="R17" s="774" t="s">
        <v>17</v>
      </c>
      <c r="S17" s="775">
        <f>F17</f>
        <v>100</v>
      </c>
      <c r="T17" s="774" t="s">
        <v>17</v>
      </c>
      <c r="U17" s="775">
        <f>H17</f>
        <v>100</v>
      </c>
      <c r="V17" s="774" t="s">
        <v>17</v>
      </c>
      <c r="W17" s="775">
        <f>J17</f>
        <v>100</v>
      </c>
      <c r="X17" s="1813"/>
      <c r="Y17" s="318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188"/>
      <c r="Q18" s="1810"/>
      <c r="R18" s="774"/>
      <c r="S18" s="775"/>
      <c r="T18" s="774"/>
      <c r="U18" s="775"/>
      <c r="V18" s="774"/>
      <c r="W18" s="775"/>
      <c r="X18" s="1813"/>
      <c r="Y18" s="3188"/>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88"/>
      <c r="Q19" s="1810" t="str">
        <f>B19</f>
        <v>办公集聚程度</v>
      </c>
      <c r="R19" s="774" t="s">
        <v>17</v>
      </c>
      <c r="S19" s="775">
        <f>F19</f>
        <v>100</v>
      </c>
      <c r="T19" s="774" t="s">
        <v>17</v>
      </c>
      <c r="U19" s="775">
        <f>H19</f>
        <v>100</v>
      </c>
      <c r="V19" s="774" t="s">
        <v>17</v>
      </c>
      <c r="W19" s="775">
        <f>J19</f>
        <v>100</v>
      </c>
      <c r="X19" s="1813"/>
      <c r="Y19" s="318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188"/>
      <c r="Q20" s="1810"/>
      <c r="R20" s="774"/>
      <c r="S20" s="775"/>
      <c r="T20" s="774"/>
      <c r="U20" s="775"/>
      <c r="V20" s="774"/>
      <c r="W20" s="775"/>
      <c r="X20" s="1813"/>
      <c r="Y20" s="3188"/>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88"/>
      <c r="Q21" s="1810" t="str">
        <f>B21</f>
        <v>交通便捷度</v>
      </c>
      <c r="R21" s="774" t="s">
        <v>17</v>
      </c>
      <c r="S21" s="775">
        <f>F21</f>
        <v>100</v>
      </c>
      <c r="T21" s="774" t="s">
        <v>17</v>
      </c>
      <c r="U21" s="775">
        <f>H21</f>
        <v>100</v>
      </c>
      <c r="V21" s="774" t="s">
        <v>17</v>
      </c>
      <c r="W21" s="775">
        <f>J21</f>
        <v>100</v>
      </c>
      <c r="X21" s="1813"/>
      <c r="Y21" s="3188"/>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188"/>
      <c r="Q22" s="1810"/>
      <c r="R22" s="774"/>
      <c r="S22" s="775"/>
      <c r="T22" s="774"/>
      <c r="U22" s="775"/>
      <c r="V22" s="774"/>
      <c r="W22" s="775"/>
      <c r="X22" s="1813"/>
      <c r="Y22" s="3188"/>
      <c r="Z22" s="1814"/>
      <c r="AA22" s="1811">
        <v>1</v>
      </c>
      <c r="AB22" s="1811">
        <v>1</v>
      </c>
      <c r="AC22" s="1811">
        <v>1</v>
      </c>
    </row>
    <row r="23" spans="1:29" ht="15">
      <c r="A23" s="404"/>
      <c r="B23" s="451" t="s">
        <v>2748</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88"/>
      <c r="Q23" s="1810" t="str">
        <f t="shared" ref="Q23:Q37" si="8">B23</f>
        <v>区域土地利用方向</v>
      </c>
      <c r="R23" s="774" t="s">
        <v>17</v>
      </c>
      <c r="S23" s="775">
        <f>F23</f>
        <v>100</v>
      </c>
      <c r="T23" s="774" t="s">
        <v>17</v>
      </c>
      <c r="U23" s="775">
        <f>H23</f>
        <v>100</v>
      </c>
      <c r="V23" s="774" t="s">
        <v>17</v>
      </c>
      <c r="W23" s="775">
        <f>J23</f>
        <v>100</v>
      </c>
      <c r="X23" s="1813"/>
      <c r="Y23" s="318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188"/>
      <c r="Q24" s="1810"/>
      <c r="R24" s="774"/>
      <c r="S24" s="775"/>
      <c r="T24" s="774"/>
      <c r="U24" s="775"/>
      <c r="V24" s="774"/>
      <c r="W24" s="775"/>
      <c r="X24" s="1813"/>
      <c r="Y24" s="3188"/>
      <c r="Z24" s="1814"/>
      <c r="AA24" s="1811"/>
      <c r="AB24" s="1811"/>
      <c r="AC24" s="1811"/>
    </row>
    <row r="25" spans="1:29" ht="57">
      <c r="A25" s="404"/>
      <c r="B25" s="1385"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88"/>
      <c r="Q25" s="1810" t="str">
        <f t="shared" si="8"/>
        <v>自然及人文环境状况</v>
      </c>
      <c r="R25" s="774" t="s">
        <v>17</v>
      </c>
      <c r="S25" s="775">
        <f>F25</f>
        <v>100</v>
      </c>
      <c r="T25" s="774" t="s">
        <v>17</v>
      </c>
      <c r="U25" s="775">
        <f>H25</f>
        <v>100</v>
      </c>
      <c r="V25" s="774" t="s">
        <v>17</v>
      </c>
      <c r="W25" s="775">
        <f>J25</f>
        <v>100</v>
      </c>
      <c r="X25" s="1813"/>
      <c r="Y25" s="318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188"/>
      <c r="Q26" s="1810"/>
      <c r="R26" s="774"/>
      <c r="S26" s="775"/>
      <c r="T26" s="774"/>
      <c r="U26" s="775"/>
      <c r="V26" s="774"/>
      <c r="W26" s="775"/>
      <c r="X26" s="1813"/>
      <c r="Y26" s="3188"/>
      <c r="Z26" s="1814"/>
      <c r="AA26" s="1811">
        <v>1</v>
      </c>
      <c r="AB26" s="1811">
        <v>1</v>
      </c>
      <c r="AC26" s="1811">
        <v>1</v>
      </c>
    </row>
    <row r="27" spans="1:29" s="117" customFormat="1" ht="42.75">
      <c r="A27" s="649"/>
      <c r="B27" s="1385"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88"/>
      <c r="Q27" s="1795" t="str">
        <f t="shared" si="8"/>
        <v>公共配套设施</v>
      </c>
      <c r="R27" s="770" t="s">
        <v>17</v>
      </c>
      <c r="S27" s="771">
        <f>F27</f>
        <v>100</v>
      </c>
      <c r="T27" s="770" t="s">
        <v>17</v>
      </c>
      <c r="U27" s="771">
        <f>H27</f>
        <v>100</v>
      </c>
      <c r="V27" s="770" t="s">
        <v>17</v>
      </c>
      <c r="W27" s="771">
        <f>J27</f>
        <v>100</v>
      </c>
      <c r="X27" s="772"/>
      <c r="Y27" s="318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188"/>
      <c r="Q28" s="1795"/>
      <c r="R28" s="770"/>
      <c r="S28" s="771"/>
      <c r="T28" s="770"/>
      <c r="U28" s="771"/>
      <c r="V28" s="770"/>
      <c r="W28" s="771"/>
      <c r="X28" s="772"/>
      <c r="Y28" s="3188"/>
      <c r="Z28" s="55"/>
      <c r="AA28" s="1811">
        <v>1</v>
      </c>
      <c r="AB28" s="1811">
        <v>1</v>
      </c>
      <c r="AC28" s="1811">
        <v>1</v>
      </c>
    </row>
    <row r="29" spans="1:29" s="117" customFormat="1" ht="28.5">
      <c r="A29" s="649"/>
      <c r="B29" s="1385"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88"/>
      <c r="Q29" s="1795"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188"/>
      <c r="Q30" s="1795"/>
      <c r="R30" s="770"/>
      <c r="S30" s="771"/>
      <c r="T30" s="770"/>
      <c r="U30" s="771"/>
      <c r="V30" s="770"/>
      <c r="W30" s="771"/>
      <c r="X30" s="772"/>
      <c r="Y30" s="3188"/>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8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8"/>
      <c r="Z31" s="1814" t="str">
        <f t="shared" ref="Z31:Z45" si="13">Q31</f>
        <v>临街状况</v>
      </c>
      <c r="AA31" s="1811">
        <f t="shared" si="3"/>
        <v>1</v>
      </c>
      <c r="AB31" s="1811">
        <f t="shared" si="4"/>
        <v>1</v>
      </c>
      <c r="AC31" s="1811">
        <f t="shared" si="5"/>
        <v>1</v>
      </c>
    </row>
    <row r="32" spans="1:29" ht="27">
      <c r="A32" s="428"/>
      <c r="B32" s="1385"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88"/>
      <c r="Q32" s="1810" t="str">
        <f t="shared" si="8"/>
        <v>毗邻道路的类型与等级</v>
      </c>
      <c r="R32" s="774" t="s">
        <v>17</v>
      </c>
      <c r="S32" s="775">
        <f t="shared" si="10"/>
        <v>100</v>
      </c>
      <c r="T32" s="774" t="s">
        <v>17</v>
      </c>
      <c r="U32" s="775">
        <f t="shared" si="11"/>
        <v>100</v>
      </c>
      <c r="V32" s="774" t="s">
        <v>17</v>
      </c>
      <c r="W32" s="775">
        <f t="shared" si="12"/>
        <v>100</v>
      </c>
      <c r="X32" s="1813"/>
      <c r="Y32" s="318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188"/>
      <c r="Q33" s="1810"/>
      <c r="R33" s="774"/>
      <c r="S33" s="775"/>
      <c r="T33" s="774"/>
      <c r="U33" s="775"/>
      <c r="V33" s="774"/>
      <c r="W33" s="775"/>
      <c r="X33" s="1813"/>
      <c r="Y33" s="3188"/>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88"/>
      <c r="Q34" s="1810" t="str">
        <f t="shared" si="8"/>
        <v>土地级别</v>
      </c>
      <c r="R34" s="774" t="s">
        <v>17</v>
      </c>
      <c r="S34" s="775">
        <f t="shared" si="10"/>
        <v>100</v>
      </c>
      <c r="T34" s="774" t="s">
        <v>17</v>
      </c>
      <c r="U34" s="775">
        <f t="shared" si="11"/>
        <v>100</v>
      </c>
      <c r="V34" s="774" t="s">
        <v>17</v>
      </c>
      <c r="W34" s="775">
        <f t="shared" si="12"/>
        <v>100</v>
      </c>
      <c r="X34" s="1813"/>
      <c r="Y34" s="3188"/>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88"/>
      <c r="Q35" s="1810">
        <f t="shared" si="8"/>
        <v>111</v>
      </c>
      <c r="R35" s="774" t="s">
        <v>17</v>
      </c>
      <c r="S35" s="775">
        <f t="shared" si="10"/>
        <v>100</v>
      </c>
      <c r="T35" s="774" t="s">
        <v>17</v>
      </c>
      <c r="U35" s="775">
        <f t="shared" si="11"/>
        <v>100</v>
      </c>
      <c r="V35" s="774" t="s">
        <v>17</v>
      </c>
      <c r="W35" s="775">
        <f t="shared" si="12"/>
        <v>100</v>
      </c>
      <c r="X35" s="1813"/>
      <c r="Y35" s="3188"/>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8" t="s">
        <v>2565</v>
      </c>
      <c r="Q36" s="1810">
        <f t="shared" si="8"/>
        <v>111</v>
      </c>
      <c r="R36" s="774" t="s">
        <v>17</v>
      </c>
      <c r="S36" s="775">
        <f t="shared" si="10"/>
        <v>100</v>
      </c>
      <c r="T36" s="774" t="s">
        <v>17</v>
      </c>
      <c r="U36" s="775">
        <f t="shared" si="11"/>
        <v>100</v>
      </c>
      <c r="V36" s="774" t="s">
        <v>17</v>
      </c>
      <c r="W36" s="775">
        <f t="shared" si="12"/>
        <v>100</v>
      </c>
      <c r="X36" s="1813"/>
      <c r="Y36" s="3192" t="s">
        <v>2565</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2"/>
      <c r="Q37" s="1810">
        <f t="shared" si="8"/>
        <v>111</v>
      </c>
      <c r="R37" s="777" t="s">
        <v>17</v>
      </c>
      <c r="S37" s="778">
        <f t="shared" si="10"/>
        <v>100</v>
      </c>
      <c r="T37" s="777" t="s">
        <v>17</v>
      </c>
      <c r="U37" s="778">
        <f t="shared" si="11"/>
        <v>100</v>
      </c>
      <c r="V37" s="777" t="s">
        <v>17</v>
      </c>
      <c r="W37" s="778">
        <f t="shared" si="12"/>
        <v>100</v>
      </c>
      <c r="X37" s="779"/>
      <c r="Y37" s="3192"/>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92"/>
      <c r="Q38" s="1810" t="str">
        <f>B38</f>
        <v>宗地面积</v>
      </c>
      <c r="R38" s="774" t="s">
        <v>17</v>
      </c>
      <c r="S38" s="775" t="e">
        <f t="shared" si="10"/>
        <v>#N/A</v>
      </c>
      <c r="T38" s="774" t="s">
        <v>17</v>
      </c>
      <c r="U38" s="775" t="e">
        <f t="shared" si="11"/>
        <v>#N/A</v>
      </c>
      <c r="V38" s="774" t="s">
        <v>17</v>
      </c>
      <c r="W38" s="775" t="e">
        <f t="shared" si="12"/>
        <v>#N/A</v>
      </c>
      <c r="X38" s="1813"/>
      <c r="Y38" s="3192"/>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192"/>
      <c r="Q39" s="1810" t="str">
        <f t="shared" ref="Q39:Q45" si="14">B39</f>
        <v>宗地形状</v>
      </c>
      <c r="R39" s="774" t="s">
        <v>17</v>
      </c>
      <c r="S39" s="775">
        <f t="shared" si="10"/>
        <v>100</v>
      </c>
      <c r="T39" s="774" t="s">
        <v>17</v>
      </c>
      <c r="U39" s="775">
        <f t="shared" si="11"/>
        <v>100</v>
      </c>
      <c r="V39" s="774" t="s">
        <v>17</v>
      </c>
      <c r="W39" s="775">
        <f t="shared" si="12"/>
        <v>100</v>
      </c>
      <c r="X39" s="1813"/>
      <c r="Y39" s="3192"/>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192"/>
      <c r="Q40" s="1810" t="str">
        <f t="shared" si="14"/>
        <v>临街宽度及深度</v>
      </c>
      <c r="R40" s="774" t="s">
        <v>17</v>
      </c>
      <c r="S40" s="775">
        <f t="shared" si="10"/>
        <v>100</v>
      </c>
      <c r="T40" s="774" t="s">
        <v>17</v>
      </c>
      <c r="U40" s="775">
        <f t="shared" si="11"/>
        <v>100</v>
      </c>
      <c r="V40" s="774" t="s">
        <v>17</v>
      </c>
      <c r="W40" s="775">
        <f t="shared" si="12"/>
        <v>100</v>
      </c>
      <c r="X40" s="1813"/>
      <c r="Y40" s="3192"/>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192"/>
      <c r="Q41" s="1810"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192" t="s">
        <v>2565</v>
      </c>
      <c r="Q42" s="1810" t="str">
        <f t="shared" si="14"/>
        <v>工程地质条件</v>
      </c>
      <c r="R42" s="774" t="s">
        <v>17</v>
      </c>
      <c r="S42" s="775">
        <f t="shared" si="10"/>
        <v>100</v>
      </c>
      <c r="T42" s="774" t="s">
        <v>17</v>
      </c>
      <c r="U42" s="775">
        <f t="shared" si="11"/>
        <v>100</v>
      </c>
      <c r="V42" s="774" t="s">
        <v>17</v>
      </c>
      <c r="W42" s="775">
        <f t="shared" si="12"/>
        <v>100</v>
      </c>
      <c r="X42" s="1813"/>
      <c r="Y42" s="3192" t="s">
        <v>2565</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2"/>
      <c r="Q43" s="1810">
        <f t="shared" si="14"/>
        <v>111</v>
      </c>
      <c r="R43" s="774" t="s">
        <v>17</v>
      </c>
      <c r="S43" s="775">
        <f t="shared" si="10"/>
        <v>100</v>
      </c>
      <c r="T43" s="774" t="s">
        <v>17</v>
      </c>
      <c r="U43" s="775">
        <f t="shared" si="11"/>
        <v>100</v>
      </c>
      <c r="V43" s="774" t="s">
        <v>17</v>
      </c>
      <c r="W43" s="775">
        <f t="shared" si="12"/>
        <v>100</v>
      </c>
      <c r="X43" s="1813"/>
      <c r="Y43" s="3192"/>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2"/>
      <c r="Q44" s="1810">
        <f t="shared" si="14"/>
        <v>111</v>
      </c>
      <c r="R44" s="774" t="s">
        <v>17</v>
      </c>
      <c r="S44" s="775">
        <f t="shared" si="10"/>
        <v>100</v>
      </c>
      <c r="T44" s="774" t="s">
        <v>17</v>
      </c>
      <c r="U44" s="775">
        <f t="shared" si="11"/>
        <v>100</v>
      </c>
      <c r="V44" s="774" t="s">
        <v>17</v>
      </c>
      <c r="W44" s="775">
        <f t="shared" si="12"/>
        <v>100</v>
      </c>
      <c r="X44" s="1813"/>
      <c r="Y44" s="3192"/>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2"/>
      <c r="Q45" s="1810">
        <f t="shared" si="14"/>
        <v>111</v>
      </c>
      <c r="R45" s="777" t="s">
        <v>17</v>
      </c>
      <c r="S45" s="778">
        <f t="shared" si="10"/>
        <v>100</v>
      </c>
      <c r="T45" s="777" t="s">
        <v>17</v>
      </c>
      <c r="U45" s="778">
        <f t="shared" si="11"/>
        <v>100</v>
      </c>
      <c r="V45" s="777" t="s">
        <v>17</v>
      </c>
      <c r="W45" s="778">
        <f t="shared" si="12"/>
        <v>100</v>
      </c>
      <c r="X45" s="779"/>
      <c r="Y45" s="3192"/>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4"/>
      <c r="M46" s="1145"/>
      <c r="N46" s="1132"/>
      <c r="O46" s="1145"/>
      <c r="P46" s="3185" t="str">
        <f>A46</f>
        <v>成交单价</v>
      </c>
      <c r="Q46" s="3185"/>
      <c r="R46" s="3216">
        <f>E46</f>
        <v>0</v>
      </c>
      <c r="S46" s="3216"/>
      <c r="T46" s="3216">
        <f>G46</f>
        <v>0</v>
      </c>
      <c r="U46" s="3216"/>
      <c r="V46" s="3216">
        <f>I46</f>
        <v>0</v>
      </c>
      <c r="W46" s="3216"/>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4"/>
      <c r="M47" s="1145"/>
      <c r="N47" s="1145"/>
      <c r="O47" s="1145"/>
      <c r="P47" s="3185" t="str">
        <f>A47</f>
        <v>比较价值（元/平方米）</v>
      </c>
      <c r="Q47" s="3185"/>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4"/>
      <c r="M48" s="1145"/>
      <c r="N48" s="1145"/>
      <c r="O48" s="1145"/>
      <c r="P48" s="3182" t="str">
        <f>A48</f>
        <v>估价对象XX用房的比较价值（楼面单价，元/平方米）</v>
      </c>
      <c r="Q48" s="3183"/>
      <c r="R48" s="3230" t="e">
        <f>ROUND(AVERAGE(R47:V47),0)</f>
        <v>#DIV/0!</v>
      </c>
      <c r="S48" s="3230"/>
      <c r="T48" s="3230"/>
      <c r="U48" s="3230"/>
      <c r="V48" s="3230"/>
      <c r="W48" s="3230"/>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2758</v>
      </c>
      <c r="B55" s="685" t="s">
        <v>2759</v>
      </c>
      <c r="C55" s="2708" t="s">
        <v>2760</v>
      </c>
      <c r="D55" s="2709" t="s">
        <v>2761</v>
      </c>
      <c r="E55" s="686" t="s">
        <v>2762</v>
      </c>
      <c r="F55" s="1110" t="s">
        <v>2763</v>
      </c>
      <c r="G55" s="3200" t="s">
        <v>2764</v>
      </c>
      <c r="H55" s="3231"/>
      <c r="I55" s="144" t="s">
        <v>2765</v>
      </c>
      <c r="J55" s="2710">
        <f>项目基本情况!F35</f>
        <v>0</v>
      </c>
      <c r="K55" s="2711" t="s">
        <v>2766</v>
      </c>
      <c r="L55" s="1109"/>
      <c r="M55" s="1145"/>
      <c r="N55" s="1145"/>
      <c r="O55" s="1145"/>
    </row>
    <row r="56" spans="1:15" s="692" customFormat="1">
      <c r="A56" s="688" t="s">
        <v>2767</v>
      </c>
      <c r="B56" s="689" t="e">
        <f>C48</f>
        <v>#DIV/0!</v>
      </c>
      <c r="C56" s="690">
        <v>1</v>
      </c>
      <c r="D56" s="1164">
        <v>1</v>
      </c>
      <c r="E56" s="690">
        <f>'数据-汇总表'!E8+'数据-汇总表'!E9</f>
        <v>1809.36</v>
      </c>
      <c r="F56" s="1106" t="e">
        <f t="shared" ref="F56:F65" si="15">ROUND(B56*E56/10000,0)</f>
        <v>#DIV/0!</v>
      </c>
      <c r="G56" s="3196"/>
      <c r="H56" s="3185"/>
      <c r="I56" s="1111">
        <v>1</v>
      </c>
      <c r="J56" s="1114">
        <v>1</v>
      </c>
      <c r="K56" s="1146"/>
      <c r="L56" s="944"/>
      <c r="M56" s="944"/>
      <c r="N56" s="944"/>
      <c r="O56" s="944"/>
    </row>
    <row r="57" spans="1:15" s="692" customFormat="1">
      <c r="A57" s="693" t="s">
        <v>2768</v>
      </c>
      <c r="B57" s="262" t="e">
        <f>ROUND($C$48*C57*D57,0)</f>
        <v>#DIV/0!</v>
      </c>
      <c r="C57" s="200">
        <f t="shared" ref="C57:C65" si="16">IF($C$55="北京市系数",I57,J57)</f>
        <v>0</v>
      </c>
      <c r="D57" s="1165">
        <v>0.25</v>
      </c>
      <c r="E57" s="694"/>
      <c r="F57" s="1106" t="e">
        <f t="shared" si="15"/>
        <v>#DIV/0!</v>
      </c>
      <c r="G57" s="3232" t="s">
        <v>2769</v>
      </c>
      <c r="H57" s="1107">
        <f>项目基本情况!B37</f>
        <v>0</v>
      </c>
      <c r="I57" s="1111">
        <f>SUMIF(修正!A45:A56,H57,修正!B45:B56)</f>
        <v>0</v>
      </c>
      <c r="J57" s="1115"/>
      <c r="K57" s="1145"/>
      <c r="L57" s="944"/>
      <c r="M57" s="944"/>
      <c r="N57" s="944"/>
      <c r="O57" s="944"/>
    </row>
    <row r="58" spans="1:15" s="692" customFormat="1">
      <c r="A58" s="693" t="s">
        <v>2770</v>
      </c>
      <c r="B58" s="262" t="e">
        <f t="shared" ref="B58:B65" si="17">ROUND($C$48*C58*D58,0)</f>
        <v>#DIV/0!</v>
      </c>
      <c r="C58" s="200">
        <f t="shared" si="16"/>
        <v>0</v>
      </c>
      <c r="D58" s="1165">
        <v>0.25</v>
      </c>
      <c r="E58" s="694"/>
      <c r="F58" s="1106" t="e">
        <f t="shared" si="15"/>
        <v>#DIV/0!</v>
      </c>
      <c r="G58" s="3232"/>
      <c r="H58" s="1107">
        <f>项目基本情况!B37</f>
        <v>0</v>
      </c>
      <c r="I58" s="1111">
        <f>SUMIF(修正!A45:A56,H58,修正!C45:C56)</f>
        <v>0</v>
      </c>
      <c r="J58" s="1115"/>
      <c r="K58" s="1146"/>
      <c r="L58" s="944"/>
      <c r="M58" s="944"/>
      <c r="N58" s="944"/>
      <c r="O58" s="944"/>
    </row>
    <row r="59" spans="1:15" s="692" customFormat="1">
      <c r="A59" s="693" t="s">
        <v>2771</v>
      </c>
      <c r="B59" s="262" t="e">
        <f t="shared" si="17"/>
        <v>#DIV/0!</v>
      </c>
      <c r="C59" s="200">
        <f t="shared" si="16"/>
        <v>0</v>
      </c>
      <c r="D59" s="1165">
        <v>0.25</v>
      </c>
      <c r="E59" s="694"/>
      <c r="F59" s="1106" t="e">
        <f t="shared" si="15"/>
        <v>#DIV/0!</v>
      </c>
      <c r="G59" s="3232"/>
      <c r="H59" s="1107">
        <f>项目基本情况!B37</f>
        <v>0</v>
      </c>
      <c r="I59" s="1111">
        <f>SUMIF(修正!A45:A56,H59,修正!D45:D56)</f>
        <v>0</v>
      </c>
      <c r="J59" s="1115"/>
      <c r="K59" s="1145"/>
      <c r="L59" s="944"/>
      <c r="M59" s="944"/>
      <c r="N59" s="944"/>
      <c r="O59" s="944"/>
    </row>
    <row r="60" spans="1:15" s="692" customFormat="1">
      <c r="A60" s="693" t="s">
        <v>2772</v>
      </c>
      <c r="B60" s="262" t="e">
        <f t="shared" si="17"/>
        <v>#DIV/0!</v>
      </c>
      <c r="C60" s="200">
        <f t="shared" si="16"/>
        <v>0</v>
      </c>
      <c r="D60" s="1165">
        <v>0.25</v>
      </c>
      <c r="E60" s="694"/>
      <c r="F60" s="1106" t="e">
        <f t="shared" si="15"/>
        <v>#DIV/0!</v>
      </c>
      <c r="G60" s="3232"/>
      <c r="H60" s="1107">
        <f>项目基本情况!B37</f>
        <v>0</v>
      </c>
      <c r="I60" s="1111">
        <f>SUMIF(修正!A45:A56,H60,修正!E45:E56)</f>
        <v>0</v>
      </c>
      <c r="J60" s="1115"/>
      <c r="K60" s="1146"/>
      <c r="L60" s="944"/>
      <c r="M60" s="944"/>
      <c r="N60" s="944"/>
      <c r="O60" s="944"/>
    </row>
    <row r="61" spans="1:15" s="692" customFormat="1">
      <c r="A61" s="693" t="s">
        <v>2773</v>
      </c>
      <c r="B61" s="262" t="e">
        <f t="shared" si="17"/>
        <v>#DIV/0!</v>
      </c>
      <c r="C61" s="200">
        <f t="shared" si="16"/>
        <v>0</v>
      </c>
      <c r="D61" s="1165">
        <v>0.25</v>
      </c>
      <c r="E61" s="261">
        <f>'数据-汇总表'!E11</f>
        <v>0</v>
      </c>
      <c r="F61" s="1106" t="e">
        <f t="shared" si="15"/>
        <v>#DIV/0!</v>
      </c>
      <c r="G61" s="2712" t="s">
        <v>2774</v>
      </c>
      <c r="H61" s="1107">
        <f>项目基本情况!C37</f>
        <v>0</v>
      </c>
      <c r="I61" s="1111">
        <f>SUMIF(修正!A45:A56,H61,修正!F45:F56)</f>
        <v>0</v>
      </c>
      <c r="J61" s="1115"/>
      <c r="K61" s="1145"/>
      <c r="L61" s="944"/>
      <c r="M61" s="944"/>
      <c r="N61" s="944"/>
      <c r="O61" s="944"/>
    </row>
    <row r="62" spans="1:15" s="692" customFormat="1">
      <c r="A62" s="693" t="s">
        <v>2775</v>
      </c>
      <c r="B62" s="262" t="e">
        <f t="shared" si="17"/>
        <v>#DIV/0!</v>
      </c>
      <c r="C62" s="200">
        <f t="shared" si="16"/>
        <v>0</v>
      </c>
      <c r="D62" s="1165">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2777</v>
      </c>
      <c r="B63" s="262" t="e">
        <f t="shared" si="17"/>
        <v>#DIV/0!</v>
      </c>
      <c r="C63" s="200">
        <f t="shared" si="16"/>
        <v>0</v>
      </c>
      <c r="D63" s="1165">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2779</v>
      </c>
      <c r="B64" s="262" t="e">
        <f t="shared" si="17"/>
        <v>#DIV/0!</v>
      </c>
      <c r="C64" s="200">
        <f t="shared" si="16"/>
        <v>0</v>
      </c>
      <c r="D64" s="1165">
        <v>0.25</v>
      </c>
      <c r="E64" s="261">
        <f>'数据-汇总表'!E14</f>
        <v>0</v>
      </c>
      <c r="F64" s="1106" t="e">
        <f t="shared" si="15"/>
        <v>#DIV/0!</v>
      </c>
      <c r="G64" s="2712" t="s">
        <v>2769</v>
      </c>
      <c r="H64" s="1107">
        <f>项目基本情况!B37</f>
        <v>0</v>
      </c>
      <c r="I64" s="1111">
        <f>SUMIF(修正!A45:A56,H64,修正!H45:H56)</f>
        <v>0</v>
      </c>
      <c r="J64" s="1115"/>
      <c r="K64" s="1146"/>
      <c r="L64" s="944"/>
      <c r="M64" s="944"/>
      <c r="N64" s="944"/>
      <c r="O64" s="944"/>
    </row>
    <row r="65" spans="1:17" s="692" customFormat="1" ht="15" thickBot="1">
      <c r="A65" s="693" t="s">
        <v>2780</v>
      </c>
      <c r="B65" s="262" t="e">
        <f t="shared" si="17"/>
        <v>#DIV/0!</v>
      </c>
      <c r="C65" s="200">
        <f t="shared" si="16"/>
        <v>0</v>
      </c>
      <c r="D65" s="1165">
        <v>0.25</v>
      </c>
      <c r="E65" s="261">
        <f>'数据-汇总表'!E15</f>
        <v>0</v>
      </c>
      <c r="F65" s="1106" t="e">
        <f t="shared" si="15"/>
        <v>#DIV/0!</v>
      </c>
      <c r="G65" s="2713" t="s">
        <v>2774</v>
      </c>
      <c r="H65" s="1117">
        <f>项目基本情况!C37</f>
        <v>0</v>
      </c>
      <c r="I65" s="1113">
        <f>SUMIF(修正!A45:A56,H65,修正!H45:H56)</f>
        <v>0</v>
      </c>
      <c r="J65" s="1116"/>
      <c r="K65" s="1145"/>
      <c r="L65" s="944"/>
      <c r="M65" s="944"/>
      <c r="N65" s="944"/>
      <c r="O65" s="944"/>
    </row>
    <row r="66" spans="1:17" s="692" customFormat="1" ht="13.5" thickBot="1">
      <c r="A66" s="695" t="s">
        <v>2781</v>
      </c>
      <c r="B66" s="696" t="s">
        <v>28</v>
      </c>
      <c r="C66" s="696" t="s">
        <v>29</v>
      </c>
      <c r="D66" s="696" t="s">
        <v>1026</v>
      </c>
      <c r="E66" s="696">
        <f>IF(B46="楼面地价",SUM(E56:E65),'数据-汇总表'!D3)</f>
        <v>1809.36</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2674</v>
      </c>
      <c r="B69" s="759"/>
      <c r="C69" s="764"/>
      <c r="D69" s="764"/>
      <c r="E69" s="764"/>
      <c r="F69" s="765"/>
      <c r="G69" s="765"/>
      <c r="H69" s="764"/>
      <c r="I69" s="764"/>
      <c r="J69" s="1160"/>
      <c r="K69" s="1161"/>
      <c r="L69" s="1162"/>
      <c r="M69" s="1160"/>
      <c r="N69" s="1160"/>
      <c r="O69" s="1160"/>
      <c r="P69" s="503"/>
      <c r="Q69" s="504"/>
    </row>
    <row r="70" spans="1:17" s="508" customFormat="1" ht="15">
      <c r="A70" s="2714" t="s">
        <v>2782</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2585</v>
      </c>
      <c r="B72" s="516"/>
      <c r="C72" s="517"/>
      <c r="D72" s="518"/>
      <c r="E72" s="518"/>
      <c r="F72" s="518"/>
      <c r="G72" s="518"/>
      <c r="H72" s="518"/>
      <c r="I72" s="518"/>
      <c r="J72" s="518"/>
      <c r="K72" s="518"/>
      <c r="L72" s="518"/>
      <c r="M72" s="519"/>
      <c r="N72" s="518"/>
      <c r="O72" s="1163"/>
      <c r="P72" s="504"/>
      <c r="Q72" s="504"/>
    </row>
    <row r="73" spans="1:17" s="117" customFormat="1" ht="15">
      <c r="A73" s="521" t="s">
        <v>2550</v>
      </c>
      <c r="B73" s="510"/>
      <c r="C73" s="522" t="s">
        <v>2652</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2588</v>
      </c>
      <c r="B75" s="528" t="s">
        <v>2554</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2557</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2691</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2750</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2792</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2793</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2794</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2795</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04" t="s">
        <v>2651</v>
      </c>
      <c r="Q4" s="3205"/>
      <c r="R4" s="3210" t="s">
        <v>2647</v>
      </c>
      <c r="S4" s="3211"/>
      <c r="T4" s="3210" t="s">
        <v>2648</v>
      </c>
      <c r="U4" s="3211"/>
      <c r="V4" s="3216" t="s">
        <v>2649</v>
      </c>
      <c r="W4" s="3216"/>
      <c r="X4" s="1813"/>
      <c r="Y4" s="3210" t="s">
        <v>2651</v>
      </c>
      <c r="Z4" s="3211"/>
      <c r="AA4" s="3197" t="s">
        <v>2647</v>
      </c>
      <c r="AB4" s="3198" t="s">
        <v>2648</v>
      </c>
      <c r="AC4" s="3197" t="s">
        <v>2649</v>
      </c>
    </row>
    <row r="5" spans="1:29" ht="15">
      <c r="A5" s="404"/>
      <c r="B5" s="405"/>
      <c r="C5" s="3219" t="s">
        <v>2542</v>
      </c>
      <c r="D5" s="3220"/>
      <c r="E5" s="3226" t="s">
        <v>2543</v>
      </c>
      <c r="F5" s="3227"/>
      <c r="G5" s="3219" t="s">
        <v>2544</v>
      </c>
      <c r="H5" s="3220"/>
      <c r="I5" s="3219" t="s">
        <v>2545</v>
      </c>
      <c r="J5" s="3220"/>
      <c r="K5" s="610"/>
      <c r="L5" s="1131"/>
      <c r="M5" s="1132"/>
      <c r="N5" s="1132"/>
      <c r="O5" s="1132"/>
      <c r="P5" s="3206"/>
      <c r="Q5" s="3207"/>
      <c r="R5" s="3212"/>
      <c r="S5" s="3213"/>
      <c r="T5" s="3212"/>
      <c r="U5" s="3213"/>
      <c r="V5" s="3216"/>
      <c r="W5" s="3216"/>
      <c r="X5" s="1813"/>
      <c r="Y5" s="3212"/>
      <c r="Z5" s="3213"/>
      <c r="AA5" s="3198"/>
      <c r="AB5" s="3198"/>
      <c r="AC5" s="3198"/>
    </row>
    <row r="6" spans="1:29" ht="15.75" thickBot="1">
      <c r="A6" s="406"/>
      <c r="B6" s="407"/>
      <c r="C6" s="3233" t="s">
        <v>2797</v>
      </c>
      <c r="D6" s="3234"/>
      <c r="E6" s="3235" t="s">
        <v>2797</v>
      </c>
      <c r="F6" s="3236"/>
      <c r="G6" s="3233" t="s">
        <v>2797</v>
      </c>
      <c r="H6" s="3234"/>
      <c r="I6" s="3233" t="s">
        <v>2797</v>
      </c>
      <c r="J6" s="3234"/>
      <c r="K6" s="610" t="s">
        <v>2547</v>
      </c>
      <c r="L6" s="1131"/>
      <c r="M6" s="1132"/>
      <c r="N6" s="1132"/>
      <c r="O6" s="1132"/>
      <c r="P6" s="3208"/>
      <c r="Q6" s="3209"/>
      <c r="R6" s="3212"/>
      <c r="S6" s="3213"/>
      <c r="T6" s="3214"/>
      <c r="U6" s="3215"/>
      <c r="V6" s="3216"/>
      <c r="W6" s="3216"/>
      <c r="X6" s="1813"/>
      <c r="Y6" s="3214"/>
      <c r="Z6" s="3215"/>
      <c r="AA6" s="3199"/>
      <c r="AB6" s="3199"/>
      <c r="AC6" s="3199"/>
    </row>
    <row r="7" spans="1:29" s="117" customFormat="1" ht="15.75" thickBot="1">
      <c r="A7" s="408" t="s">
        <v>2548</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21" t="s">
        <v>2549</v>
      </c>
      <c r="Q7" s="3223"/>
      <c r="R7" s="770" t="s">
        <v>17</v>
      </c>
      <c r="S7" s="771">
        <f t="shared" ref="S7:S15" si="0">F7</f>
        <v>0</v>
      </c>
      <c r="T7" s="770" t="s">
        <v>17</v>
      </c>
      <c r="U7" s="771">
        <f t="shared" ref="U7:U15" si="1">H7</f>
        <v>0</v>
      </c>
      <c r="V7" s="770" t="s">
        <v>17</v>
      </c>
      <c r="W7" s="771">
        <f t="shared" ref="W7:W15" si="2">J7</f>
        <v>0</v>
      </c>
      <c r="X7" s="772"/>
      <c r="Y7" s="3221" t="s">
        <v>2549</v>
      </c>
      <c r="Z7" s="322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1" t="s">
        <v>2552</v>
      </c>
      <c r="Q8" s="3222"/>
      <c r="R8" s="770" t="s">
        <v>17</v>
      </c>
      <c r="S8" s="771">
        <f t="shared" si="0"/>
        <v>0</v>
      </c>
      <c r="T8" s="770" t="s">
        <v>17</v>
      </c>
      <c r="U8" s="771">
        <f t="shared" si="1"/>
        <v>0</v>
      </c>
      <c r="V8" s="770" t="s">
        <v>17</v>
      </c>
      <c r="W8" s="771">
        <f t="shared" si="2"/>
        <v>0</v>
      </c>
      <c r="X8" s="772"/>
      <c r="Y8" s="3221" t="s">
        <v>2552</v>
      </c>
      <c r="Z8" s="3222"/>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185"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185"/>
      <c r="Q10" s="1795"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87" t="s">
        <v>2560</v>
      </c>
      <c r="Q15" s="1810" t="str">
        <f t="shared" si="6"/>
        <v>产业集聚程度</v>
      </c>
      <c r="R15" s="774" t="s">
        <v>17</v>
      </c>
      <c r="S15" s="775">
        <f t="shared" si="0"/>
        <v>100</v>
      </c>
      <c r="T15" s="774" t="s">
        <v>17</v>
      </c>
      <c r="U15" s="775">
        <f t="shared" si="1"/>
        <v>100</v>
      </c>
      <c r="V15" s="774" t="s">
        <v>17</v>
      </c>
      <c r="W15" s="775">
        <f t="shared" si="2"/>
        <v>100</v>
      </c>
      <c r="X15" s="1813"/>
      <c r="Y15" s="3187"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188"/>
      <c r="Q16" s="1810"/>
      <c r="R16" s="774"/>
      <c r="S16" s="775"/>
      <c r="T16" s="774"/>
      <c r="U16" s="775"/>
      <c r="V16" s="774"/>
      <c r="W16" s="775"/>
      <c r="X16" s="1813"/>
      <c r="Y16" s="3188"/>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188"/>
      <c r="Q18" s="1810"/>
      <c r="R18" s="774"/>
      <c r="S18" s="775"/>
      <c r="T18" s="774"/>
      <c r="U18" s="775"/>
      <c r="V18" s="774"/>
      <c r="W18" s="775"/>
      <c r="X18" s="1813"/>
      <c r="Y18" s="3188"/>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88"/>
      <c r="Q19" s="1810" t="str">
        <f t="shared" ref="Q19:Q33" si="8">B19</f>
        <v>区域土地利用方向</v>
      </c>
      <c r="R19" s="774" t="s">
        <v>17</v>
      </c>
      <c r="S19" s="775">
        <f>F19</f>
        <v>100</v>
      </c>
      <c r="T19" s="774" t="s">
        <v>17</v>
      </c>
      <c r="U19" s="775">
        <f>H19</f>
        <v>100</v>
      </c>
      <c r="V19" s="774" t="s">
        <v>17</v>
      </c>
      <c r="W19" s="775">
        <f>J19</f>
        <v>100</v>
      </c>
      <c r="X19" s="1813"/>
      <c r="Y19" s="318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188"/>
      <c r="Q20" s="1810"/>
      <c r="R20" s="774"/>
      <c r="S20" s="775"/>
      <c r="T20" s="774"/>
      <c r="U20" s="775"/>
      <c r="V20" s="774"/>
      <c r="W20" s="775"/>
      <c r="X20" s="1813"/>
      <c r="Y20" s="3188"/>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88"/>
      <c r="Q21" s="1810" t="str">
        <f t="shared" si="8"/>
        <v>环境状况</v>
      </c>
      <c r="R21" s="774" t="s">
        <v>17</v>
      </c>
      <c r="S21" s="775">
        <f>F21</f>
        <v>100</v>
      </c>
      <c r="T21" s="774" t="s">
        <v>17</v>
      </c>
      <c r="U21" s="775">
        <f>H21</f>
        <v>100</v>
      </c>
      <c r="V21" s="774" t="s">
        <v>17</v>
      </c>
      <c r="W21" s="775">
        <f>J21</f>
        <v>100</v>
      </c>
      <c r="X21" s="1813"/>
      <c r="Y21" s="318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188"/>
      <c r="Q22" s="1810"/>
      <c r="R22" s="774"/>
      <c r="S22" s="775"/>
      <c r="T22" s="774"/>
      <c r="U22" s="775"/>
      <c r="V22" s="774"/>
      <c r="W22" s="775"/>
      <c r="X22" s="1813"/>
      <c r="Y22" s="3188"/>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88"/>
      <c r="Q23" s="1795" t="str">
        <f t="shared" si="8"/>
        <v>公共配套设施</v>
      </c>
      <c r="R23" s="770" t="s">
        <v>17</v>
      </c>
      <c r="S23" s="771">
        <f>F23</f>
        <v>100</v>
      </c>
      <c r="T23" s="770" t="s">
        <v>17</v>
      </c>
      <c r="U23" s="771">
        <f>H23</f>
        <v>100</v>
      </c>
      <c r="V23" s="770" t="s">
        <v>17</v>
      </c>
      <c r="W23" s="771">
        <f>J23</f>
        <v>100</v>
      </c>
      <c r="X23" s="772"/>
      <c r="Y23" s="318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188"/>
      <c r="Q24" s="1795"/>
      <c r="R24" s="770"/>
      <c r="S24" s="771"/>
      <c r="T24" s="770"/>
      <c r="U24" s="771"/>
      <c r="V24" s="770"/>
      <c r="W24" s="771"/>
      <c r="X24" s="772"/>
      <c r="Y24" s="3188"/>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88"/>
      <c r="Q25" s="1795"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188"/>
      <c r="Q26" s="1795"/>
      <c r="R26" s="770"/>
      <c r="S26" s="771"/>
      <c r="T26" s="770"/>
      <c r="U26" s="771"/>
      <c r="V26" s="770"/>
      <c r="W26" s="771"/>
      <c r="X26" s="772"/>
      <c r="Y26" s="318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8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8"/>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88"/>
      <c r="Q28" s="1810" t="str">
        <f t="shared" si="8"/>
        <v>毗邻道路的类型与等级</v>
      </c>
      <c r="R28" s="774" t="s">
        <v>17</v>
      </c>
      <c r="S28" s="775">
        <f t="shared" si="10"/>
        <v>100</v>
      </c>
      <c r="T28" s="774" t="s">
        <v>17</v>
      </c>
      <c r="U28" s="775">
        <f t="shared" si="11"/>
        <v>100</v>
      </c>
      <c r="V28" s="774" t="s">
        <v>17</v>
      </c>
      <c r="W28" s="775">
        <f t="shared" si="12"/>
        <v>100</v>
      </c>
      <c r="X28" s="1813"/>
      <c r="Y28" s="318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188"/>
      <c r="Q29" s="1810"/>
      <c r="R29" s="774"/>
      <c r="S29" s="775"/>
      <c r="T29" s="774"/>
      <c r="U29" s="775"/>
      <c r="V29" s="774"/>
      <c r="W29" s="775"/>
      <c r="X29" s="1813"/>
      <c r="Y29" s="3188"/>
      <c r="Z29" s="1814"/>
      <c r="AA29" s="1811">
        <v>1</v>
      </c>
      <c r="AB29" s="1811">
        <v>1</v>
      </c>
      <c r="AC29" s="1811">
        <v>1</v>
      </c>
    </row>
    <row r="30" spans="1:29" ht="15">
      <c r="A30" s="428"/>
      <c r="B30" s="654" t="s">
        <v>2750</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88"/>
      <c r="Q30" s="1810" t="str">
        <f t="shared" si="8"/>
        <v>土地级别</v>
      </c>
      <c r="R30" s="774" t="s">
        <v>17</v>
      </c>
      <c r="S30" s="775">
        <f t="shared" si="10"/>
        <v>100</v>
      </c>
      <c r="T30" s="774" t="s">
        <v>17</v>
      </c>
      <c r="U30" s="775">
        <f t="shared" si="11"/>
        <v>100</v>
      </c>
      <c r="V30" s="774" t="s">
        <v>17</v>
      </c>
      <c r="W30" s="775">
        <f t="shared" si="12"/>
        <v>100</v>
      </c>
      <c r="X30" s="1813"/>
      <c r="Y30" s="318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88"/>
      <c r="Q31" s="1810">
        <f t="shared" si="8"/>
        <v>111</v>
      </c>
      <c r="R31" s="774" t="s">
        <v>17</v>
      </c>
      <c r="S31" s="775">
        <f t="shared" si="10"/>
        <v>100</v>
      </c>
      <c r="T31" s="774" t="s">
        <v>17</v>
      </c>
      <c r="U31" s="775">
        <f t="shared" si="11"/>
        <v>100</v>
      </c>
      <c r="V31" s="774" t="s">
        <v>17</v>
      </c>
      <c r="W31" s="775">
        <f t="shared" si="12"/>
        <v>100</v>
      </c>
      <c r="X31" s="1813"/>
      <c r="Y31" s="318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8" t="s">
        <v>2565</v>
      </c>
      <c r="Q32" s="1810">
        <f t="shared" si="8"/>
        <v>111</v>
      </c>
      <c r="R32" s="774" t="s">
        <v>17</v>
      </c>
      <c r="S32" s="775">
        <f t="shared" si="10"/>
        <v>100</v>
      </c>
      <c r="T32" s="774" t="s">
        <v>17</v>
      </c>
      <c r="U32" s="775">
        <f t="shared" si="11"/>
        <v>100</v>
      </c>
      <c r="V32" s="774" t="s">
        <v>17</v>
      </c>
      <c r="W32" s="775">
        <f t="shared" si="12"/>
        <v>100</v>
      </c>
      <c r="X32" s="1813"/>
      <c r="Y32" s="3192"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2"/>
      <c r="Q33" s="1810">
        <f t="shared" si="8"/>
        <v>111</v>
      </c>
      <c r="R33" s="777" t="s">
        <v>17</v>
      </c>
      <c r="S33" s="778">
        <f t="shared" si="10"/>
        <v>100</v>
      </c>
      <c r="T33" s="777" t="s">
        <v>17</v>
      </c>
      <c r="U33" s="778">
        <f t="shared" si="11"/>
        <v>100</v>
      </c>
      <c r="V33" s="777" t="s">
        <v>17</v>
      </c>
      <c r="W33" s="778">
        <f t="shared" si="12"/>
        <v>100</v>
      </c>
      <c r="X33" s="779"/>
      <c r="Y33" s="3192"/>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92"/>
      <c r="Q34" s="1810" t="str">
        <f>B34</f>
        <v>宗地面积</v>
      </c>
      <c r="R34" s="774" t="s">
        <v>17</v>
      </c>
      <c r="S34" s="775" t="e">
        <f t="shared" si="10"/>
        <v>#N/A</v>
      </c>
      <c r="T34" s="774" t="s">
        <v>17</v>
      </c>
      <c r="U34" s="775" t="e">
        <f t="shared" si="11"/>
        <v>#N/A</v>
      </c>
      <c r="V34" s="774" t="s">
        <v>17</v>
      </c>
      <c r="W34" s="775" t="e">
        <f t="shared" si="12"/>
        <v>#N/A</v>
      </c>
      <c r="X34" s="1813"/>
      <c r="Y34" s="3192"/>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192"/>
      <c r="Q35" s="1810" t="str">
        <f t="shared" ref="Q35:Q40" si="14">B35</f>
        <v>宗地形状</v>
      </c>
      <c r="R35" s="774" t="s">
        <v>17</v>
      </c>
      <c r="S35" s="775">
        <f t="shared" si="10"/>
        <v>100</v>
      </c>
      <c r="T35" s="774" t="s">
        <v>17</v>
      </c>
      <c r="U35" s="775">
        <f t="shared" si="11"/>
        <v>100</v>
      </c>
      <c r="V35" s="774" t="s">
        <v>17</v>
      </c>
      <c r="W35" s="775">
        <f t="shared" si="12"/>
        <v>100</v>
      </c>
      <c r="X35" s="1813"/>
      <c r="Y35" s="3192"/>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192"/>
      <c r="Q36" s="1810"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192" t="s">
        <v>2565</v>
      </c>
      <c r="Q37" s="1810" t="str">
        <f t="shared" si="14"/>
        <v>工程地质条件</v>
      </c>
      <c r="R37" s="774" t="s">
        <v>17</v>
      </c>
      <c r="S37" s="775">
        <f t="shared" si="10"/>
        <v>100</v>
      </c>
      <c r="T37" s="774" t="s">
        <v>17</v>
      </c>
      <c r="U37" s="775">
        <f t="shared" si="11"/>
        <v>100</v>
      </c>
      <c r="V37" s="774" t="s">
        <v>17</v>
      </c>
      <c r="W37" s="775">
        <f t="shared" si="12"/>
        <v>100</v>
      </c>
      <c r="X37" s="1813"/>
      <c r="Y37" s="3192" t="s">
        <v>2565</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2"/>
      <c r="Q38" s="1810">
        <f t="shared" si="14"/>
        <v>111</v>
      </c>
      <c r="R38" s="774" t="s">
        <v>17</v>
      </c>
      <c r="S38" s="775">
        <f t="shared" si="10"/>
        <v>100</v>
      </c>
      <c r="T38" s="774" t="s">
        <v>17</v>
      </c>
      <c r="U38" s="775">
        <f t="shared" si="11"/>
        <v>100</v>
      </c>
      <c r="V38" s="774" t="s">
        <v>17</v>
      </c>
      <c r="W38" s="775">
        <f t="shared" si="12"/>
        <v>100</v>
      </c>
      <c r="X38" s="1813"/>
      <c r="Y38" s="3192"/>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2"/>
      <c r="Q39" s="1810">
        <f t="shared" si="14"/>
        <v>111</v>
      </c>
      <c r="R39" s="774" t="s">
        <v>17</v>
      </c>
      <c r="S39" s="775">
        <f t="shared" si="10"/>
        <v>100</v>
      </c>
      <c r="T39" s="774" t="s">
        <v>17</v>
      </c>
      <c r="U39" s="775">
        <f t="shared" si="11"/>
        <v>100</v>
      </c>
      <c r="V39" s="774" t="s">
        <v>17</v>
      </c>
      <c r="W39" s="775">
        <f t="shared" si="12"/>
        <v>100</v>
      </c>
      <c r="X39" s="1813"/>
      <c r="Y39" s="3192"/>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2"/>
      <c r="Q40" s="1810">
        <f t="shared" si="14"/>
        <v>111</v>
      </c>
      <c r="R40" s="777" t="s">
        <v>17</v>
      </c>
      <c r="S40" s="778">
        <f t="shared" si="10"/>
        <v>100</v>
      </c>
      <c r="T40" s="777" t="s">
        <v>17</v>
      </c>
      <c r="U40" s="778">
        <f t="shared" si="11"/>
        <v>100</v>
      </c>
      <c r="V40" s="777" t="s">
        <v>17</v>
      </c>
      <c r="W40" s="778">
        <f t="shared" si="12"/>
        <v>100</v>
      </c>
      <c r="X40" s="779"/>
      <c r="Y40" s="3192"/>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4"/>
      <c r="M41" s="1132"/>
      <c r="N41" s="1132"/>
      <c r="O41" s="1145"/>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4"/>
      <c r="M42" s="1132"/>
      <c r="N42" s="1132"/>
      <c r="O42" s="1145"/>
      <c r="P42" s="3185" t="str">
        <f>A42</f>
        <v>比较价值（元/平方米）</v>
      </c>
      <c r="Q42" s="3185"/>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4"/>
      <c r="M43" s="1132"/>
      <c r="N43" s="1132"/>
      <c r="O43" s="1145"/>
      <c r="P43" s="3182" t="str">
        <f>A43</f>
        <v>估价对象XX用房的比较价值（楼面单价，元/平方米）</v>
      </c>
      <c r="Q43" s="3183"/>
      <c r="R43" s="3230" t="e">
        <f>ROUND(AVERAGE(R42:V42),0)</f>
        <v>#DIV/0!</v>
      </c>
      <c r="S43" s="3230"/>
      <c r="T43" s="3230"/>
      <c r="U43" s="3230"/>
      <c r="V43" s="3230"/>
      <c r="W43" s="3230"/>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2758</v>
      </c>
      <c r="B50" s="685" t="s">
        <v>2759</v>
      </c>
      <c r="C50" s="2708" t="s">
        <v>2760</v>
      </c>
      <c r="D50" s="2709" t="s">
        <v>2761</v>
      </c>
      <c r="E50" s="686" t="s">
        <v>2762</v>
      </c>
      <c r="F50" s="687" t="s">
        <v>2763</v>
      </c>
      <c r="G50" s="3200" t="s">
        <v>2764</v>
      </c>
      <c r="H50" s="3231"/>
      <c r="I50" s="1814" t="s">
        <v>2801</v>
      </c>
      <c r="J50" s="1814">
        <f>项目基本情况!F35</f>
        <v>0</v>
      </c>
      <c r="K50" s="2711" t="s">
        <v>2766</v>
      </c>
      <c r="L50" s="1109"/>
      <c r="M50" s="1145"/>
      <c r="N50" s="1145"/>
      <c r="O50" s="1145"/>
    </row>
    <row r="51" spans="1:17" s="692" customFormat="1">
      <c r="A51" s="688" t="s">
        <v>2767</v>
      </c>
      <c r="B51" s="689" t="e">
        <f>C43</f>
        <v>#DIV/0!</v>
      </c>
      <c r="C51" s="690">
        <v>1</v>
      </c>
      <c r="D51" s="1164">
        <v>1</v>
      </c>
      <c r="E51" s="690">
        <f>'数据-汇总表'!E8+'数据-汇总表'!E9</f>
        <v>1809.36</v>
      </c>
      <c r="F51" s="691" t="e">
        <f t="shared" ref="F51:F60" si="15">ROUND(B51*E51/10000,0)</f>
        <v>#DIV/0!</v>
      </c>
      <c r="G51" s="3196"/>
      <c r="H51" s="3185"/>
      <c r="I51" s="945">
        <v>1</v>
      </c>
      <c r="J51" s="945">
        <v>1</v>
      </c>
      <c r="K51" s="1146"/>
      <c r="L51" s="944"/>
      <c r="M51" s="944"/>
      <c r="N51" s="944"/>
      <c r="O51" s="944"/>
    </row>
    <row r="52" spans="1:17" s="692" customFormat="1">
      <c r="A52" s="693" t="s">
        <v>2768</v>
      </c>
      <c r="B52" s="262" t="e">
        <f>ROUND($C$43*C52*D52,0)</f>
        <v>#DIV/0!</v>
      </c>
      <c r="C52" s="200">
        <f t="shared" ref="C52:C60" si="16">IF($C$50="北京市系数",I52,J52)</f>
        <v>0</v>
      </c>
      <c r="D52" s="1165">
        <v>0.25</v>
      </c>
      <c r="E52" s="694"/>
      <c r="F52" s="691" t="e">
        <f t="shared" si="15"/>
        <v>#DIV/0!</v>
      </c>
      <c r="G52" s="3232" t="s">
        <v>2769</v>
      </c>
      <c r="H52" s="1107">
        <f>项目基本情况!B37</f>
        <v>0</v>
      </c>
      <c r="I52" s="945">
        <f>SUMIF(修正!A45:A56,H52,修正!B45:B56)</f>
        <v>0</v>
      </c>
      <c r="J52" s="946"/>
      <c r="K52" s="1145"/>
      <c r="L52" s="944"/>
      <c r="M52" s="944"/>
      <c r="N52" s="944"/>
      <c r="O52" s="944"/>
    </row>
    <row r="53" spans="1:17" s="692" customFormat="1">
      <c r="A53" s="693" t="s">
        <v>2770</v>
      </c>
      <c r="B53" s="262" t="e">
        <f t="shared" ref="B53:B60" si="17">ROUND($C$43*C53*D53,0)</f>
        <v>#DIV/0!</v>
      </c>
      <c r="C53" s="200">
        <f t="shared" si="16"/>
        <v>0</v>
      </c>
      <c r="D53" s="1165">
        <v>0.25</v>
      </c>
      <c r="E53" s="694"/>
      <c r="F53" s="691" t="e">
        <f t="shared" si="15"/>
        <v>#DIV/0!</v>
      </c>
      <c r="G53" s="3232"/>
      <c r="H53" s="1107">
        <f>项目基本情况!B37</f>
        <v>0</v>
      </c>
      <c r="I53" s="945">
        <f>SUMIF(修正!A45:A56,H53,修正!C45:C56)</f>
        <v>0</v>
      </c>
      <c r="J53" s="946"/>
      <c r="K53" s="1146"/>
      <c r="L53" s="944"/>
      <c r="M53" s="944"/>
      <c r="N53" s="944"/>
      <c r="O53" s="944"/>
    </row>
    <row r="54" spans="1:17" s="692" customFormat="1">
      <c r="A54" s="693" t="s">
        <v>2771</v>
      </c>
      <c r="B54" s="262" t="e">
        <f t="shared" si="17"/>
        <v>#DIV/0!</v>
      </c>
      <c r="C54" s="200">
        <f t="shared" si="16"/>
        <v>0</v>
      </c>
      <c r="D54" s="1165">
        <v>0.25</v>
      </c>
      <c r="E54" s="694"/>
      <c r="F54" s="691" t="e">
        <f t="shared" si="15"/>
        <v>#DIV/0!</v>
      </c>
      <c r="G54" s="3232"/>
      <c r="H54" s="1107">
        <f>项目基本情况!B37</f>
        <v>0</v>
      </c>
      <c r="I54" s="945">
        <f>SUMIF(修正!A45:A56,H54,修正!D45:D56)</f>
        <v>0</v>
      </c>
      <c r="J54" s="946"/>
      <c r="K54" s="1145"/>
      <c r="L54" s="944"/>
      <c r="M54" s="944"/>
      <c r="N54" s="944"/>
      <c r="O54" s="944"/>
    </row>
    <row r="55" spans="1:17" s="692" customFormat="1">
      <c r="A55" s="693" t="s">
        <v>2772</v>
      </c>
      <c r="B55" s="262" t="e">
        <f t="shared" si="17"/>
        <v>#DIV/0!</v>
      </c>
      <c r="C55" s="200">
        <f t="shared" si="16"/>
        <v>0</v>
      </c>
      <c r="D55" s="1165">
        <v>0.25</v>
      </c>
      <c r="E55" s="694"/>
      <c r="F55" s="691" t="e">
        <f t="shared" si="15"/>
        <v>#DIV/0!</v>
      </c>
      <c r="G55" s="3232"/>
      <c r="H55" s="1107">
        <f>项目基本情况!B37</f>
        <v>0</v>
      </c>
      <c r="I55" s="945">
        <f>SUMIF(修正!A45:A56,H55,修正!E45:E56)</f>
        <v>0</v>
      </c>
      <c r="J55" s="946"/>
      <c r="K55" s="1146"/>
      <c r="L55" s="944"/>
      <c r="M55" s="944"/>
      <c r="N55" s="944"/>
      <c r="O55" s="944"/>
    </row>
    <row r="56" spans="1:17" s="692" customFormat="1">
      <c r="A56" s="693" t="s">
        <v>2773</v>
      </c>
      <c r="B56" s="262" t="e">
        <f t="shared" si="17"/>
        <v>#DIV/0!</v>
      </c>
      <c r="C56" s="200">
        <f t="shared" si="16"/>
        <v>0</v>
      </c>
      <c r="D56" s="1165">
        <v>0.25</v>
      </c>
      <c r="E56" s="261">
        <f>'数据-汇总表'!E11</f>
        <v>0</v>
      </c>
      <c r="F56" s="691" t="e">
        <f t="shared" si="15"/>
        <v>#DIV/0!</v>
      </c>
      <c r="G56" s="2712" t="s">
        <v>2774</v>
      </c>
      <c r="H56" s="1107">
        <f>项目基本情况!C37</f>
        <v>0</v>
      </c>
      <c r="I56" s="945">
        <f>SUMIF(修正!A45:A56,H56,修正!F45:F56)</f>
        <v>0</v>
      </c>
      <c r="J56" s="946"/>
      <c r="K56" s="1145"/>
      <c r="L56" s="944"/>
      <c r="M56" s="944"/>
      <c r="N56" s="944"/>
      <c r="O56" s="944"/>
    </row>
    <row r="57" spans="1:17" s="692" customFormat="1">
      <c r="A57" s="693" t="s">
        <v>2775</v>
      </c>
      <c r="B57" s="262" t="e">
        <f t="shared" si="17"/>
        <v>#DIV/0!</v>
      </c>
      <c r="C57" s="200">
        <f t="shared" si="16"/>
        <v>0</v>
      </c>
      <c r="D57" s="1165">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2777</v>
      </c>
      <c r="B58" s="262" t="e">
        <f t="shared" si="17"/>
        <v>#DIV/0!</v>
      </c>
      <c r="C58" s="200">
        <f t="shared" si="16"/>
        <v>0</v>
      </c>
      <c r="D58" s="1165">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2779</v>
      </c>
      <c r="B59" s="262" t="e">
        <f t="shared" si="17"/>
        <v>#DIV/0!</v>
      </c>
      <c r="C59" s="200">
        <f t="shared" si="16"/>
        <v>0</v>
      </c>
      <c r="D59" s="1165">
        <v>0.25</v>
      </c>
      <c r="E59" s="261">
        <f>'数据-汇总表'!E14</f>
        <v>0</v>
      </c>
      <c r="F59" s="691" t="e">
        <f t="shared" si="15"/>
        <v>#DIV/0!</v>
      </c>
      <c r="G59" s="2712" t="s">
        <v>2769</v>
      </c>
      <c r="H59" s="1107">
        <f>项目基本情况!B37</f>
        <v>0</v>
      </c>
      <c r="I59" s="945">
        <f>SUMIF(修正!A45:A56,H59,修正!H45:H56)</f>
        <v>0</v>
      </c>
      <c r="J59" s="946"/>
      <c r="K59" s="1146"/>
      <c r="L59" s="944"/>
      <c r="M59" s="944"/>
      <c r="N59" s="944"/>
      <c r="O59" s="944"/>
    </row>
    <row r="60" spans="1:17" s="692" customFormat="1" ht="15" thickBot="1">
      <c r="A60" s="693" t="s">
        <v>2780</v>
      </c>
      <c r="B60" s="262" t="e">
        <f t="shared" si="17"/>
        <v>#DIV/0!</v>
      </c>
      <c r="C60" s="200">
        <f t="shared" si="16"/>
        <v>0</v>
      </c>
      <c r="D60" s="1165">
        <v>0.25</v>
      </c>
      <c r="E60" s="261">
        <f>'数据-汇总表'!E15</f>
        <v>0</v>
      </c>
      <c r="F60" s="691" t="e">
        <f t="shared" si="15"/>
        <v>#DIV/0!</v>
      </c>
      <c r="G60" s="2713" t="s">
        <v>2774</v>
      </c>
      <c r="H60" s="1117">
        <f>项目基本情况!C37</f>
        <v>0</v>
      </c>
      <c r="I60" s="945">
        <f>SUMIF(修正!A45:A56,H60,修正!H45:H56)</f>
        <v>0</v>
      </c>
      <c r="J60" s="946"/>
      <c r="K60" s="1145"/>
      <c r="L60" s="944"/>
      <c r="M60" s="944"/>
      <c r="N60" s="944"/>
      <c r="O60" s="944"/>
    </row>
    <row r="61" spans="1:17" s="692" customFormat="1" ht="15" thickBot="1">
      <c r="A61" s="695" t="s">
        <v>2781</v>
      </c>
      <c r="B61" s="696" t="s">
        <v>28</v>
      </c>
      <c r="C61" s="696" t="s">
        <v>29</v>
      </c>
      <c r="D61" s="696" t="s">
        <v>1026</v>
      </c>
      <c r="E61" s="696">
        <f>IF(B41="楼面地价",SUM(E51:E60),'数据-汇总表'!D3)</f>
        <v>424</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2674</v>
      </c>
      <c r="B64" s="759"/>
      <c r="C64" s="764"/>
      <c r="D64" s="764"/>
      <c r="E64" s="764"/>
      <c r="F64" s="765"/>
      <c r="G64" s="765"/>
      <c r="H64" s="764"/>
      <c r="I64" s="764"/>
      <c r="J64" s="764"/>
      <c r="K64" s="766"/>
      <c r="L64" s="767"/>
      <c r="M64" s="764"/>
      <c r="N64" s="764"/>
      <c r="O64" s="1160"/>
      <c r="P64" s="503"/>
      <c r="Q64" s="504"/>
    </row>
    <row r="65" spans="1:17" s="508" customFormat="1" ht="15">
      <c r="A65" s="2714" t="s">
        <v>2782</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2802</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2588</v>
      </c>
      <c r="B70" s="528" t="s">
        <v>2554</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2557</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2691</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2750</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2792</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2794</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2795</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1"/>
      <c r="L1" s="2721" t="s">
        <v>2806</v>
      </c>
      <c r="M1" s="1083">
        <f>SUMPRODUCT((区片价!B5:B9=I2)*(区片价!C3:F3=E2)*(区片价!C5:F9))</f>
        <v>0</v>
      </c>
      <c r="N1" s="1086">
        <f>SUMPRODUCT((因素修正幅度!B5:B9=I2)*(因素修正幅度!C3:F3=E2)*(因素修正幅度!C5:F9))</f>
        <v>0</v>
      </c>
      <c r="O1" s="2722"/>
      <c r="P1" s="2722"/>
      <c r="Q1" s="1371"/>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1"/>
      <c r="L2" s="2729" t="s">
        <v>2817</v>
      </c>
      <c r="M2" s="1084">
        <f>SUMPRODUCT((区片价!B10:B28=I2)*(区片价!C3:F3=E2)*(区片价!C10:F28))</f>
        <v>0</v>
      </c>
      <c r="N2" s="1086">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4.2699999999999996</v>
      </c>
      <c r="H3" s="198" t="s">
        <v>2822</v>
      </c>
      <c r="I3" s="947"/>
      <c r="J3" s="2728" t="s">
        <v>2823</v>
      </c>
      <c r="K3" s="1371"/>
      <c r="L3" s="2729" t="s">
        <v>2824</v>
      </c>
      <c r="M3" s="1084">
        <f>SUMPRODUCT((区片价!B29:B48=I2)*(区片价!C3:F3=E2)*(区片价!C29:F48))</f>
        <v>0</v>
      </c>
      <c r="N3" s="1086">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40"/>
      <c r="B4" s="3241"/>
      <c r="C4" s="3241"/>
      <c r="D4" s="3242"/>
      <c r="E4" s="3242"/>
      <c r="F4" s="3242"/>
      <c r="G4" s="3242"/>
      <c r="H4" s="3242"/>
      <c r="I4" s="3242"/>
      <c r="J4" s="3243"/>
      <c r="K4" s="1371"/>
      <c r="L4" s="2729" t="s">
        <v>2825</v>
      </c>
      <c r="M4" s="1084">
        <f>SUMPRODUCT((区片价!B49:B75=I2)*(区片价!C3:F3=E2)*(区片价!C49:F75))</f>
        <v>0</v>
      </c>
      <c r="N4" s="1086">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2826</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2827</v>
      </c>
      <c r="M5" s="1084">
        <f>SUMPRODUCT((区片价!B76:B109=I2)*(区片价!C3:F3=E2)*(区片价!C76:F109))</f>
        <v>0</v>
      </c>
      <c r="N5" s="1086">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4">
        <f>SUMPRODUCT((区片价!B110:B157=I2)*(区片价!C3:F3=E2)*(区片价!C110:F157))</f>
        <v>0</v>
      </c>
      <c r="N6" s="1086">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44" t="str">
        <f>IF(E2="商业",IF(C8="不临58条商业街","",2),"")</f>
        <v/>
      </c>
      <c r="B7" s="2748" t="s">
        <v>2832</v>
      </c>
      <c r="C7" s="919" t="e">
        <f>IF(C8="不临58条商业街",1,ROUND(1+(1.6*E8+1.2*E9+0.8*E10+0.4*E11)*C9,4))</f>
        <v>#DIV/0!</v>
      </c>
      <c r="D7" s="2749" t="s">
        <v>2833</v>
      </c>
      <c r="E7" s="948"/>
      <c r="F7" s="2750"/>
      <c r="G7" s="2751"/>
      <c r="H7" s="2751"/>
      <c r="I7" s="2751"/>
      <c r="J7" s="2752"/>
      <c r="K7" s="1842"/>
      <c r="L7" s="2729" t="s">
        <v>2834</v>
      </c>
      <c r="M7" s="1084">
        <f>SUMPRODUCT((区片价!B158:B205=I2)*(区片价!C3:F3=E2)*(区片价!C158:F205))</f>
        <v>0</v>
      </c>
      <c r="N7" s="1086">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2835</v>
      </c>
      <c r="X7" s="1605">
        <f>G2</f>
        <v>0</v>
      </c>
      <c r="Y7" s="1605" t="s">
        <v>2836</v>
      </c>
      <c r="Z7" s="1606">
        <f>G3</f>
        <v>4.2699999999999996</v>
      </c>
      <c r="AA7" s="1607"/>
      <c r="AB7" s="1607"/>
      <c r="AC7" s="1608"/>
      <c r="AD7" s="1609"/>
      <c r="AE7" s="1609"/>
      <c r="AF7" s="1609"/>
      <c r="AG7" s="1609"/>
      <c r="AH7" s="1609"/>
      <c r="AI7" s="1609"/>
      <c r="AJ7" s="1610"/>
    </row>
    <row r="8" spans="1:36" ht="15">
      <c r="A8" s="3245"/>
      <c r="B8" s="198" t="s">
        <v>2837</v>
      </c>
      <c r="C8" s="2753"/>
      <c r="D8" s="920" t="s">
        <v>139</v>
      </c>
      <c r="E8" s="921" t="e">
        <f>ROUND(C11/E7,4)</f>
        <v>#DIV/0!</v>
      </c>
      <c r="F8" s="2754" t="s">
        <v>2838</v>
      </c>
      <c r="G8" s="2755"/>
      <c r="H8" s="2755"/>
      <c r="I8" s="2755"/>
      <c r="J8" s="2756"/>
      <c r="K8" s="1371"/>
      <c r="L8" s="2729" t="s">
        <v>2839</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37" t="s">
        <v>2840</v>
      </c>
      <c r="X8" s="3238"/>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245"/>
      <c r="B9" s="198" t="s">
        <v>2853</v>
      </c>
      <c r="C9" s="922">
        <f>SUMIF(修正!C59:C119,C8,修正!E59:E119)</f>
        <v>0</v>
      </c>
      <c r="D9" s="200" t="s">
        <v>140</v>
      </c>
      <c r="E9" s="200" t="e">
        <f>ROUND(C11/E7,4)</f>
        <v>#DIV/0!</v>
      </c>
      <c r="F9" s="2754" t="s">
        <v>2854</v>
      </c>
      <c r="G9" s="2755"/>
      <c r="H9" s="2755"/>
      <c r="I9" s="2755"/>
      <c r="J9" s="2756"/>
      <c r="K9" s="1371"/>
      <c r="L9" s="2729" t="s">
        <v>2855</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39" t="s">
        <v>2856</v>
      </c>
      <c r="X9" s="1612" t="s">
        <v>2857</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5"/>
      <c r="B10" s="198" t="s">
        <v>2858</v>
      </c>
      <c r="C10" s="200">
        <f>SUMIF(修正!C59:C119,C8,修正!F59:F119)</f>
        <v>0</v>
      </c>
      <c r="D10" s="200" t="s">
        <v>141</v>
      </c>
      <c r="E10" s="200" t="e">
        <f>ROUND(C11/E7,4)</f>
        <v>#DIV/0!</v>
      </c>
      <c r="F10" s="2754" t="s">
        <v>2859</v>
      </c>
      <c r="G10" s="2755"/>
      <c r="H10" s="2755"/>
      <c r="I10" s="2755"/>
      <c r="J10" s="2756"/>
      <c r="K10" s="1371"/>
      <c r="L10" s="2729" t="s">
        <v>2860</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3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5"/>
      <c r="B11" s="2757" t="s">
        <v>2861</v>
      </c>
      <c r="C11" s="923">
        <f>C10/4</f>
        <v>0</v>
      </c>
      <c r="D11" s="923" t="s">
        <v>142</v>
      </c>
      <c r="E11" s="923" t="e">
        <f>ROUND(C11/E7,4)</f>
        <v>#DIV/0!</v>
      </c>
      <c r="F11" s="2758" t="s">
        <v>2862</v>
      </c>
      <c r="G11" s="2759"/>
      <c r="H11" s="2759"/>
      <c r="I11" s="2759"/>
      <c r="J11" s="2760"/>
      <c r="K11" s="1371"/>
      <c r="L11" s="2729" t="s">
        <v>2863</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39" t="s">
        <v>2864</v>
      </c>
      <c r="X11" s="1615" t="s">
        <v>2865</v>
      </c>
      <c r="Y11" s="1616">
        <f>$G$3</f>
        <v>4.2699999999999996</v>
      </c>
      <c r="Z11" s="1616">
        <f t="shared" ref="Z11:AJ11" si="3">$G$3</f>
        <v>4.2699999999999996</v>
      </c>
      <c r="AA11" s="1616">
        <f t="shared" si="3"/>
        <v>4.2699999999999996</v>
      </c>
      <c r="AB11" s="1616">
        <f t="shared" si="3"/>
        <v>4.2699999999999996</v>
      </c>
      <c r="AC11" s="1616">
        <f t="shared" si="3"/>
        <v>4.2699999999999996</v>
      </c>
      <c r="AD11" s="1616">
        <f t="shared" si="3"/>
        <v>4.2699999999999996</v>
      </c>
      <c r="AE11" s="1616">
        <f t="shared" si="3"/>
        <v>4.2699999999999996</v>
      </c>
      <c r="AF11" s="1616">
        <f t="shared" si="3"/>
        <v>4.2699999999999996</v>
      </c>
      <c r="AG11" s="1616">
        <f t="shared" si="3"/>
        <v>4.2699999999999996</v>
      </c>
      <c r="AH11" s="1616">
        <f t="shared" si="3"/>
        <v>4.2699999999999996</v>
      </c>
      <c r="AI11" s="1616">
        <f t="shared" si="3"/>
        <v>4.2699999999999996</v>
      </c>
      <c r="AJ11" s="1616">
        <f t="shared" si="3"/>
        <v>4.2699999999999996</v>
      </c>
    </row>
    <row r="12" spans="1:36" ht="25.5" thickBot="1">
      <c r="A12" s="3244" t="s">
        <v>2866</v>
      </c>
      <c r="B12" s="2761" t="s">
        <v>2867</v>
      </c>
      <c r="C12" s="919">
        <f>ROUND(C15*D15*E15*F15*G15*H15*I15*J15,4)</f>
        <v>1</v>
      </c>
      <c r="D12" s="2762" t="s">
        <v>2868</v>
      </c>
      <c r="E12" s="2763"/>
      <c r="F12" s="2763"/>
      <c r="G12" s="2764"/>
      <c r="H12" s="2764"/>
      <c r="I12" s="2764"/>
      <c r="J12" s="2765"/>
      <c r="K12" s="1371"/>
      <c r="L12" s="2766" t="s">
        <v>2869</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39"/>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6"/>
      <c r="B13" s="2767" t="s">
        <v>2871</v>
      </c>
      <c r="C13" s="2768" t="s">
        <v>2872</v>
      </c>
      <c r="D13" s="1808" t="s">
        <v>2873</v>
      </c>
      <c r="E13" s="1808" t="s">
        <v>2874</v>
      </c>
      <c r="F13" s="30" t="s">
        <v>2875</v>
      </c>
      <c r="G13" s="2769" t="s">
        <v>2876</v>
      </c>
      <c r="H13" s="2769" t="s">
        <v>2876</v>
      </c>
      <c r="I13" s="2769" t="s">
        <v>2876</v>
      </c>
      <c r="J13" s="2770" t="s">
        <v>2876</v>
      </c>
      <c r="K13" s="1371"/>
      <c r="L13" s="1371"/>
      <c r="M13" s="1371"/>
      <c r="N13" s="1371"/>
      <c r="O13" s="1371"/>
      <c r="P13" s="1371"/>
      <c r="Q13" s="1371"/>
      <c r="R13" s="1603">
        <v>12</v>
      </c>
      <c r="S13" s="1604"/>
      <c r="T13" s="1603" t="e">
        <f t="shared" si="0"/>
        <v>#DIV/0!</v>
      </c>
      <c r="U13" s="1604"/>
      <c r="V13" s="1603" t="e">
        <f t="shared" si="1"/>
        <v>#DIV/0!</v>
      </c>
      <c r="W13" s="3239"/>
      <c r="X13" s="1617"/>
      <c r="Y13" s="1614">
        <f>(-0.163*(Y12^2)-0.59*Y12+7617)*(10^(-4))/Y11</f>
        <v>0.17838407494145203</v>
      </c>
      <c r="Z13" s="1614">
        <f t="shared" ref="Z13:AJ13" si="5">(-0.163*(Z12^2)-0.59*Z12+7617)*(10^(-4))/Z11</f>
        <v>0.17838407494145203</v>
      </c>
      <c r="AA13" s="1614">
        <f t="shared" si="5"/>
        <v>0.17838407494145203</v>
      </c>
      <c r="AB13" s="1614">
        <f t="shared" si="5"/>
        <v>0.17838407494145203</v>
      </c>
      <c r="AC13" s="1614">
        <f t="shared" si="5"/>
        <v>0.17838407494145203</v>
      </c>
      <c r="AD13" s="1614">
        <f t="shared" si="5"/>
        <v>0.17838407494145203</v>
      </c>
      <c r="AE13" s="1614">
        <f t="shared" si="5"/>
        <v>0.17838407494145203</v>
      </c>
      <c r="AF13" s="1614">
        <f t="shared" si="5"/>
        <v>0.17838407494145203</v>
      </c>
      <c r="AG13" s="1614">
        <f t="shared" si="5"/>
        <v>0.17838407494145203</v>
      </c>
      <c r="AH13" s="1614">
        <f t="shared" si="5"/>
        <v>0.17838407494145203</v>
      </c>
      <c r="AI13" s="1614">
        <f t="shared" si="5"/>
        <v>0.17838407494145203</v>
      </c>
      <c r="AJ13" s="1614">
        <f t="shared" si="5"/>
        <v>0.17838407494145203</v>
      </c>
    </row>
    <row r="14" spans="1:36" ht="15">
      <c r="A14" s="3246"/>
      <c r="B14" s="2771"/>
      <c r="C14" s="2772"/>
      <c r="D14" s="2773"/>
      <c r="E14" s="2773"/>
      <c r="F14" s="2774"/>
      <c r="G14" s="2775" t="s">
        <v>2877</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47"/>
      <c r="B15" s="2779" t="s">
        <v>2878</v>
      </c>
      <c r="C15" s="229">
        <f>IF(C14="有",1.1,1)</f>
        <v>1</v>
      </c>
      <c r="D15" s="229">
        <f>IF(D14="有",1.1,1)</f>
        <v>1</v>
      </c>
      <c r="E15" s="229">
        <f>IF(E14="有",1.1,1)</f>
        <v>1</v>
      </c>
      <c r="F15" s="229">
        <f>IF(F14="500米范围内",1.2,IF(F14="500-1000米",1.1,1))</f>
        <v>1</v>
      </c>
      <c r="G15" s="949">
        <v>1</v>
      </c>
      <c r="H15" s="949">
        <v>1</v>
      </c>
      <c r="I15" s="949">
        <v>1</v>
      </c>
      <c r="J15" s="950">
        <v>1</v>
      </c>
      <c r="K15" s="1371"/>
      <c r="L15" s="2780" t="s">
        <v>2814</v>
      </c>
      <c r="M15" s="920" t="s">
        <v>2879</v>
      </c>
      <c r="N15" s="920" t="s">
        <v>2880</v>
      </c>
      <c r="O15" s="920" t="s">
        <v>2881</v>
      </c>
      <c r="P15" s="2781" t="s">
        <v>2882</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4" t="s">
        <v>2883</v>
      </c>
      <c r="B16" s="2748" t="s">
        <v>2884</v>
      </c>
      <c r="C16" s="1801" t="e">
        <f>ROUND(SUM(G17:J17)/C17,0)</f>
        <v>#DIV/0!</v>
      </c>
      <c r="D16" s="2782" t="s">
        <v>2885</v>
      </c>
      <c r="E16" s="2783"/>
      <c r="F16" s="2784"/>
      <c r="G16" s="2785"/>
      <c r="H16" s="2785"/>
      <c r="I16" s="2785"/>
      <c r="J16" s="2786"/>
      <c r="K16" s="1371"/>
      <c r="L16" s="2787" t="s">
        <v>2886</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5"/>
      <c r="B17" s="2788" t="s">
        <v>2887</v>
      </c>
      <c r="C17" s="924">
        <f>SUMPRODUCT((修正!A2:A5=E2)*(修正!B1:M1=G2)*(修正!B2:M5))</f>
        <v>0</v>
      </c>
      <c r="D17" s="2789"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2891</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2892</v>
      </c>
      <c r="C19" s="927" t="e">
        <f>ROUND(IF(H19="按公示增长率计算",SUMPRODUCT((地价!A3:A25=YEAR(G19)&amp;"-"&amp;ROUNDUP(MONTH(G19)/3,0))*(地价!X2:AB2=E2)*(地价!X3:AB25)),IF(H19="地价指数",M20/M19,(1+I19)^O19)),4)</f>
        <v>#DIV/0!</v>
      </c>
      <c r="D19" s="2800" t="s">
        <v>2893</v>
      </c>
      <c r="E19" s="928">
        <v>41640</v>
      </c>
      <c r="F19" s="2800" t="s">
        <v>2894</v>
      </c>
      <c r="G19" s="929">
        <f>'数据-取费表'!B2</f>
        <v>43551</v>
      </c>
      <c r="H19" s="2801" t="s">
        <v>2895</v>
      </c>
      <c r="I19" s="930" t="str">
        <f>IF(H19="季度增幅（自定义）",SUMIF(N21:N24,E2,O21:O24),"")</f>
        <v/>
      </c>
      <c r="J19" s="2798"/>
      <c r="K19" s="1378"/>
      <c r="L19" s="2802" t="s">
        <v>2896</v>
      </c>
      <c r="M19" s="1735">
        <f>ROUND(SUMIF(地价!B2:F2,E2,地价!B25:F25),0)</f>
        <v>0</v>
      </c>
      <c r="N19" s="2803" t="s">
        <v>2897</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2898</v>
      </c>
      <c r="C20" s="932" t="e">
        <f>ROUND(POWER(1+G20,J20-I20)*(POWER(1+G20,I20)-1)/(POWER(1+G20,J20)-1),4)</f>
        <v>#DIV/0!</v>
      </c>
      <c r="D20" s="2809" t="s">
        <v>2899</v>
      </c>
      <c r="E20" s="1769">
        <f ca="1">存贷款利率!D4/100</f>
        <v>4.3499999999999997E-2</v>
      </c>
      <c r="F20" s="2809" t="s">
        <v>2890</v>
      </c>
      <c r="G20" s="937">
        <f>SUMIF(M15:P15,E2,M17:P17)</f>
        <v>0</v>
      </c>
      <c r="H20" s="2809" t="s">
        <v>2900</v>
      </c>
      <c r="I20" s="938" t="e">
        <f>SUMIF('数据-取费表'!C6:C15,E2,'数据-取费表'!F6:F15)/COUNTIF('数据-取费表'!C6:C15,E2)</f>
        <v>#DIV/0!</v>
      </c>
      <c r="J20" s="939">
        <f>IF(E2="住宅",70,IF(E2="商业",40,50))</f>
        <v>50</v>
      </c>
      <c r="K20" s="1378"/>
      <c r="L20" s="2810" t="s">
        <v>2901</v>
      </c>
      <c r="M20" s="1736">
        <f>ROUND(SUMPRODUCT((地价!A4:A25=YEAR(G19)&amp;"-"&amp;ROUNDUP(MONTH(G19)/3,0))*(地价!B2:F2=E2)*(地价!B4:F25)),0)</f>
        <v>0</v>
      </c>
      <c r="N20" s="2811" t="s">
        <v>2902</v>
      </c>
      <c r="O20" s="2812" t="s">
        <v>2903</v>
      </c>
      <c r="P20" s="2813" t="s">
        <v>2904</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2905</v>
      </c>
      <c r="C21" s="940">
        <f>IF(B21="容积率修正",IF(G3&lt;=10,D22,J22),C23)</f>
        <v>0</v>
      </c>
      <c r="D21" s="2816"/>
      <c r="E21" s="2816"/>
      <c r="F21" s="2816"/>
      <c r="G21" s="2816"/>
      <c r="H21" s="2816"/>
      <c r="I21" s="2816"/>
      <c r="J21" s="2817"/>
      <c r="K21" s="1378"/>
      <c r="N21" s="2818" t="s">
        <v>2906</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2907</v>
      </c>
      <c r="B22" s="2819" t="s">
        <v>2908</v>
      </c>
      <c r="C22" s="1810" t="s">
        <v>2909</v>
      </c>
      <c r="D22" s="1810">
        <f>IF(E22=G22,F22,IF(G3&lt;=10,ROUND(F22+(H22-F22)*(G3-E22)/(G22-E22),4),"——"))</f>
        <v>0</v>
      </c>
      <c r="E22" s="916">
        <f>ROUNDDOWN(G3,1)</f>
        <v>4.2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18" t="s">
        <v>2910</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2911</v>
      </c>
      <c r="B23" s="2820" t="s">
        <v>2912</v>
      </c>
      <c r="C23" s="1016">
        <f>ROUND(IF(G3&gt;1,IF(I3&lt;7,SUMPRODUCT((B93:B98=I3)*(C92:N92=G2)*(C93:N98)),SUMIF(C92:N92,G2,C100:N100)),IF(I3&lt;7,SUMPRODUCT((B102:B107=I3)*(C92:N92=G2)*(C102:N107)),SUMIF(C92:N92,G2,C109:N109))),4)</f>
        <v>0</v>
      </c>
      <c r="D23" s="2776"/>
      <c r="E23" s="2776"/>
      <c r="F23" s="2821"/>
      <c r="G23" s="2822"/>
      <c r="H23" s="2823"/>
      <c r="I23" s="2824"/>
      <c r="J23" s="2825"/>
      <c r="K23" s="1371"/>
      <c r="N23" s="2818" t="s">
        <v>2913</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2914</v>
      </c>
      <c r="C24" s="927">
        <f>SUMIF(A45:A88,E2,B45:B88)</f>
        <v>0</v>
      </c>
      <c r="D24" s="2796"/>
      <c r="E24" s="2826"/>
      <c r="F24" s="2826"/>
      <c r="G24" s="2826"/>
      <c r="H24" s="2826"/>
      <c r="I24" s="2826"/>
      <c r="J24" s="2827"/>
      <c r="K24" s="1378"/>
      <c r="N24" s="2828" t="s">
        <v>2915</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2916</v>
      </c>
      <c r="C25" s="933"/>
      <c r="D25" s="2751"/>
      <c r="E25" s="2751"/>
      <c r="F25" s="2830"/>
      <c r="G25" s="2751"/>
      <c r="H25" s="2751"/>
      <c r="I25" s="2751"/>
      <c r="J25" s="2752"/>
      <c r="K25" s="1371"/>
      <c r="N25" s="2831" t="s">
        <v>2917</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2918</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2919</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2920</v>
      </c>
      <c r="C28" s="2843" t="s">
        <v>2921</v>
      </c>
      <c r="D28" s="2843" t="s">
        <v>2922</v>
      </c>
      <c r="E28" s="2844" t="s">
        <v>2923</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2924</v>
      </c>
      <c r="C29" s="206" t="e">
        <f>ROUND(C5*C18*C19*C20*C21*C24,0)</f>
        <v>#DIV/0!</v>
      </c>
      <c r="D29" s="2848"/>
      <c r="E29" s="945" t="e">
        <f>ROUND(C29*D29/10000,0)</f>
        <v>#DIV/0!</v>
      </c>
      <c r="F29" s="2849" t="s">
        <v>2925</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2926</v>
      </c>
      <c r="C30" s="229" t="e">
        <f>ROUND(IF(E2="工业",C29*M39,C29*M38),0)</f>
        <v>#DIV/0!</v>
      </c>
      <c r="D30" s="2854"/>
      <c r="E30" s="945" t="e">
        <f>ROUND(C30*D30/10000,0)</f>
        <v>#DIV/0!</v>
      </c>
      <c r="F30" s="2855" t="s">
        <v>2927</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54" t="s">
        <v>2932</v>
      </c>
      <c r="B33" s="2864" t="s">
        <v>2933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5"/>
      <c r="B34" s="2768" t="s">
        <v>2934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5"/>
      <c r="B35" s="2768" t="s">
        <v>2935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56"/>
      <c r="B36" s="2768" t="s">
        <v>2936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2937</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2938</v>
      </c>
      <c r="M37" s="2868"/>
      <c r="N37" s="1371"/>
      <c r="O37" s="1371"/>
      <c r="P37" s="1371"/>
      <c r="Q37" s="1371"/>
      <c r="R37" s="1371"/>
      <c r="S37" s="1371"/>
      <c r="T37" s="1371"/>
      <c r="U37" s="1371"/>
      <c r="V37" s="1371"/>
      <c r="W37" s="1371"/>
      <c r="X37" s="1371"/>
      <c r="Y37" s="1371"/>
      <c r="Z37" s="1372"/>
    </row>
    <row r="38" spans="1:37">
      <c r="A38" s="2866"/>
      <c r="B38" s="2768" t="s">
        <v>2939</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2940</v>
      </c>
      <c r="M38" s="2869">
        <v>0.25</v>
      </c>
      <c r="N38" s="1371"/>
      <c r="O38" s="1371"/>
      <c r="P38" s="1371"/>
      <c r="Q38" s="1371"/>
      <c r="R38" s="1371"/>
      <c r="S38" s="1371"/>
      <c r="T38" s="1371"/>
      <c r="U38" s="1371"/>
      <c r="V38" s="1371"/>
      <c r="W38" s="1371"/>
      <c r="X38" s="1371"/>
      <c r="Y38" s="1371"/>
      <c r="Z38" s="1372"/>
    </row>
    <row r="39" spans="1:37" ht="13.5" thickBot="1">
      <c r="A39" s="2852"/>
      <c r="B39" s="2870" t="s">
        <v>2941</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2882</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3046</v>
      </c>
      <c r="C41" s="388" t="e">
        <f>ROUND(POWER(1+E41,H41-G41)*(POWER(1+E41,G41)-1)/(POWER(1+E41,H41)-1),4)</f>
        <v>#DIV/0!</v>
      </c>
      <c r="D41" s="200" t="s">
        <v>2890</v>
      </c>
      <c r="E41" s="2940">
        <f>G20</f>
        <v>0</v>
      </c>
      <c r="F41" s="200" t="s">
        <v>2900</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2942</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2943</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2944</v>
      </c>
      <c r="B47" s="1809" t="s">
        <v>2945</v>
      </c>
      <c r="C47" s="1809" t="s">
        <v>2946</v>
      </c>
      <c r="D47" s="1809" t="s">
        <v>2947</v>
      </c>
      <c r="E47" s="819" t="s">
        <v>2948</v>
      </c>
      <c r="F47" s="2882" t="s">
        <v>2949</v>
      </c>
      <c r="G47" s="1809" t="s">
        <v>754</v>
      </c>
      <c r="H47" s="2883" t="s">
        <v>2950</v>
      </c>
      <c r="I47" s="1809" t="s">
        <v>2951</v>
      </c>
      <c r="J47" s="603" t="s">
        <v>2597</v>
      </c>
      <c r="K47" s="603" t="s">
        <v>2598</v>
      </c>
      <c r="L47" s="603" t="s">
        <v>2599</v>
      </c>
      <c r="M47" s="603" t="s">
        <v>2600</v>
      </c>
      <c r="N47" s="603" t="s">
        <v>2601</v>
      </c>
      <c r="AA47" s="1372"/>
      <c r="AB47" s="1372"/>
      <c r="AC47" s="1372"/>
      <c r="AD47" s="1372"/>
      <c r="AE47" s="1372"/>
      <c r="AF47" s="1372"/>
      <c r="AG47" s="1372"/>
      <c r="AH47" s="1372"/>
      <c r="AI47" s="1372"/>
      <c r="AJ47" s="1372"/>
      <c r="AK47" s="1372"/>
    </row>
    <row r="48" spans="1:37" s="1371" customFormat="1" ht="38.25">
      <c r="A48" s="2881" t="s">
        <v>2952</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2953</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2954</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2955</v>
      </c>
      <c r="B51" s="2886" t="s">
        <v>2956</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2957</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2958</v>
      </c>
      <c r="B53" s="2887" t="s">
        <v>2959</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2960</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2961</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2962</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2963</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2944</v>
      </c>
      <c r="B58" s="1809"/>
      <c r="C58" s="1809" t="s">
        <v>2946</v>
      </c>
      <c r="D58" s="1809" t="s">
        <v>2947</v>
      </c>
      <c r="E58" s="819" t="s">
        <v>2948</v>
      </c>
      <c r="F58" s="2882" t="s">
        <v>2964</v>
      </c>
      <c r="G58" s="1809" t="s">
        <v>754</v>
      </c>
      <c r="H58" s="2883" t="s">
        <v>2950</v>
      </c>
      <c r="I58" s="1809" t="s">
        <v>2951</v>
      </c>
      <c r="J58" s="603" t="s">
        <v>2597</v>
      </c>
      <c r="K58" s="603" t="s">
        <v>2598</v>
      </c>
      <c r="L58" s="603" t="s">
        <v>2599</v>
      </c>
      <c r="M58" s="603" t="s">
        <v>2600</v>
      </c>
      <c r="N58" s="603" t="s">
        <v>2601</v>
      </c>
      <c r="AA58" s="1372"/>
      <c r="AB58" s="1372"/>
      <c r="AC58" s="1372"/>
      <c r="AD58" s="1372"/>
      <c r="AE58" s="1372"/>
      <c r="AF58" s="1372"/>
      <c r="AG58" s="1372"/>
      <c r="AH58" s="1372"/>
      <c r="AI58" s="1372"/>
      <c r="AJ58" s="1372"/>
      <c r="AK58" s="1372"/>
    </row>
    <row r="59" spans="1:37" s="1371" customFormat="1" ht="38.25">
      <c r="A59" s="2881" t="s">
        <v>2965</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2953</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2954</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2955</v>
      </c>
      <c r="B62" s="2886" t="s">
        <v>2956</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2957</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2958</v>
      </c>
      <c r="B64" s="2887" t="s">
        <v>2959</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2960</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2961</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2962</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2966</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2944</v>
      </c>
      <c r="B69" s="1809"/>
      <c r="C69" s="1809" t="s">
        <v>2946</v>
      </c>
      <c r="D69" s="1809" t="s">
        <v>2947</v>
      </c>
      <c r="E69" s="819" t="s">
        <v>2948</v>
      </c>
      <c r="F69" s="2882" t="s">
        <v>2964</v>
      </c>
      <c r="G69" s="1809" t="s">
        <v>754</v>
      </c>
      <c r="H69" s="2883" t="s">
        <v>2950</v>
      </c>
      <c r="I69" s="1809" t="s">
        <v>2951</v>
      </c>
      <c r="J69" s="603" t="s">
        <v>2597</v>
      </c>
      <c r="K69" s="603" t="s">
        <v>2598</v>
      </c>
      <c r="L69" s="603" t="s">
        <v>2599</v>
      </c>
      <c r="M69" s="603" t="s">
        <v>2600</v>
      </c>
      <c r="N69" s="603" t="s">
        <v>2601</v>
      </c>
      <c r="AA69" s="1372"/>
      <c r="AB69" s="1372"/>
      <c r="AC69" s="1372"/>
      <c r="AD69" s="1372"/>
      <c r="AE69" s="1372"/>
      <c r="AF69" s="1372"/>
      <c r="AG69" s="1372"/>
      <c r="AH69" s="1372"/>
      <c r="AI69" s="1372"/>
      <c r="AJ69" s="1372"/>
      <c r="AK69" s="1372"/>
    </row>
    <row r="70" spans="1:37" s="1371" customFormat="1" ht="51">
      <c r="A70" s="2881" t="s">
        <v>2967</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2953</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2954</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2968</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2960</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2961</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2958</v>
      </c>
      <c r="B76" s="2887" t="s">
        <v>2959</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2962</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2969</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2970</v>
      </c>
      <c r="B79" s="2878">
        <f>1+E81</f>
        <v>1</v>
      </c>
      <c r="C79" s="814"/>
      <c r="D79" s="814"/>
      <c r="E79" s="815"/>
      <c r="F79" s="2880"/>
      <c r="G79" s="6"/>
      <c r="H79" s="6"/>
      <c r="I79" s="6"/>
      <c r="J79" s="7"/>
      <c r="K79" s="7"/>
      <c r="L79" s="7"/>
      <c r="M79" s="7"/>
      <c r="N79" s="7"/>
      <c r="Z79" s="2723"/>
      <c r="AA79" s="2799"/>
      <c r="AG79" s="1373"/>
      <c r="AK79" s="2799"/>
    </row>
    <row r="80" spans="1:37" ht="24.75">
      <c r="A80" s="2881" t="s">
        <v>2944</v>
      </c>
      <c r="B80" s="1809"/>
      <c r="C80" s="1809" t="s">
        <v>2946</v>
      </c>
      <c r="D80" s="1809" t="s">
        <v>2947</v>
      </c>
      <c r="E80" s="819" t="s">
        <v>2948</v>
      </c>
      <c r="F80" s="2882" t="s">
        <v>2964</v>
      </c>
      <c r="G80" s="1809" t="s">
        <v>754</v>
      </c>
      <c r="H80" s="2883" t="s">
        <v>2950</v>
      </c>
      <c r="I80" s="1809" t="s">
        <v>2951</v>
      </c>
      <c r="J80" s="603" t="s">
        <v>2597</v>
      </c>
      <c r="K80" s="603" t="s">
        <v>2598</v>
      </c>
      <c r="L80" s="603" t="s">
        <v>2599</v>
      </c>
      <c r="M80" s="603" t="s">
        <v>2600</v>
      </c>
      <c r="N80" s="603" t="s">
        <v>2601</v>
      </c>
      <c r="Z80" s="2723"/>
      <c r="AA80" s="2799"/>
      <c r="AG80" s="1373"/>
      <c r="AK80" s="2799"/>
    </row>
    <row r="81" spans="1:37" ht="38.25">
      <c r="A81" s="2881" t="s">
        <v>2971</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2953</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2954</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2968</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2960</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2961</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2958</v>
      </c>
      <c r="B87" s="2887" t="s">
        <v>2972</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2973</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48" t="s">
        <v>2974</v>
      </c>
      <c r="B90" s="3248"/>
      <c r="C90" s="3248"/>
      <c r="D90" s="3248"/>
      <c r="E90" s="3248"/>
      <c r="F90" s="3248"/>
      <c r="G90" s="3248"/>
      <c r="H90" s="3248"/>
      <c r="I90" s="3248"/>
      <c r="J90" s="3248"/>
      <c r="K90" s="2895"/>
      <c r="L90" s="2895"/>
      <c r="M90" s="2895"/>
      <c r="N90" s="2895"/>
    </row>
    <row r="91" spans="1:37">
      <c r="A91" s="3250" t="s">
        <v>2975</v>
      </c>
      <c r="B91" s="3250" t="s">
        <v>2976</v>
      </c>
      <c r="C91" s="2849" t="s">
        <v>2977</v>
      </c>
      <c r="D91" s="2850"/>
      <c r="E91" s="2850"/>
      <c r="F91" s="2850"/>
      <c r="G91" s="2850"/>
      <c r="H91" s="2850"/>
      <c r="I91" s="2850"/>
      <c r="J91" s="2896"/>
      <c r="K91" s="2897"/>
      <c r="L91" s="2897"/>
      <c r="M91" s="2897"/>
      <c r="N91" s="2897"/>
    </row>
    <row r="92" spans="1:37">
      <c r="A92" s="3250"/>
      <c r="B92" s="3250"/>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51"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2"/>
      <c r="B99" s="2898" t="s">
        <v>2857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1" t="s">
        <v>2979</v>
      </c>
      <c r="B101" s="2902" t="s">
        <v>2980</v>
      </c>
      <c r="C101" s="2903">
        <f>$G$3</f>
        <v>4.2699999999999996</v>
      </c>
      <c r="D101" s="2903">
        <f t="shared" ref="D101:N101" si="31">$G$3</f>
        <v>4.2699999999999996</v>
      </c>
      <c r="E101" s="2903">
        <f t="shared" si="31"/>
        <v>4.2699999999999996</v>
      </c>
      <c r="F101" s="2903">
        <f t="shared" si="31"/>
        <v>4.2699999999999996</v>
      </c>
      <c r="G101" s="2903">
        <f t="shared" si="31"/>
        <v>4.2699999999999996</v>
      </c>
      <c r="H101" s="2903">
        <f t="shared" si="31"/>
        <v>4.2699999999999996</v>
      </c>
      <c r="I101" s="2903">
        <f t="shared" si="31"/>
        <v>4.2699999999999996</v>
      </c>
      <c r="J101" s="2903">
        <f t="shared" si="31"/>
        <v>4.2699999999999996</v>
      </c>
      <c r="K101" s="2903">
        <f t="shared" si="31"/>
        <v>4.2699999999999996</v>
      </c>
      <c r="L101" s="2903">
        <f t="shared" si="31"/>
        <v>4.2699999999999996</v>
      </c>
      <c r="M101" s="2903">
        <f t="shared" si="31"/>
        <v>4.2699999999999996</v>
      </c>
      <c r="N101" s="2903">
        <f t="shared" si="31"/>
        <v>4.2699999999999996</v>
      </c>
    </row>
    <row r="102" spans="1:14">
      <c r="A102" s="3252"/>
      <c r="B102" s="2898">
        <v>1</v>
      </c>
      <c r="C102" s="2899">
        <f>1.9362/C101</f>
        <v>0.45344262295081972</v>
      </c>
      <c r="D102" s="2899">
        <f>1.9362/D101</f>
        <v>0.45344262295081972</v>
      </c>
      <c r="E102" s="2899">
        <f>1.8629/E101</f>
        <v>0.43627634660421549</v>
      </c>
      <c r="F102" s="2899">
        <f>1.8629/F101</f>
        <v>0.43627634660421549</v>
      </c>
      <c r="G102" s="2899">
        <f>1.8629/G101</f>
        <v>0.43627634660421549</v>
      </c>
      <c r="H102" s="2899">
        <f>1.8629/H101</f>
        <v>0.43627634660421549</v>
      </c>
      <c r="I102" s="2899">
        <f>1.8629/I101</f>
        <v>0.43627634660421549</v>
      </c>
      <c r="J102" s="2899">
        <f>1.942/J101</f>
        <v>0.45480093676814992</v>
      </c>
      <c r="K102" s="2899">
        <f>1.942/K101</f>
        <v>0.45480093676814992</v>
      </c>
      <c r="L102" s="2899">
        <f>1.942/L101</f>
        <v>0.45480093676814992</v>
      </c>
      <c r="M102" s="2899">
        <f>1.942/M101</f>
        <v>0.45480093676814992</v>
      </c>
      <c r="N102" s="2899">
        <f>1.942/N101</f>
        <v>0.45480093676814992</v>
      </c>
    </row>
    <row r="103" spans="1:14">
      <c r="A103" s="3252"/>
      <c r="B103" s="2898">
        <v>2</v>
      </c>
      <c r="C103" s="2899">
        <f>1.4198/C101</f>
        <v>0.33250585480093681</v>
      </c>
      <c r="D103" s="2899">
        <f>1.4198/D101</f>
        <v>0.33250585480093681</v>
      </c>
      <c r="E103" s="2899">
        <f>1.3372/E101</f>
        <v>0.31316159250585485</v>
      </c>
      <c r="F103" s="2899">
        <f>1.3372/F101</f>
        <v>0.31316159250585485</v>
      </c>
      <c r="G103" s="2899">
        <f>1.3372/G101</f>
        <v>0.31316159250585485</v>
      </c>
      <c r="H103" s="2899">
        <f>1.3372/H101</f>
        <v>0.31316159250585485</v>
      </c>
      <c r="I103" s="2899">
        <f>1.3372/I101</f>
        <v>0.31316159250585485</v>
      </c>
      <c r="J103" s="2899">
        <f>1.2799/J101</f>
        <v>0.29974238875878223</v>
      </c>
      <c r="K103" s="2899">
        <f>1.2799/K101</f>
        <v>0.29974238875878223</v>
      </c>
      <c r="L103" s="2899">
        <f>1.2799/L101</f>
        <v>0.29974238875878223</v>
      </c>
      <c r="M103" s="2899">
        <f>1.2799/M101</f>
        <v>0.29974238875878223</v>
      </c>
      <c r="N103" s="2899">
        <f>1.2799/N101</f>
        <v>0.29974238875878223</v>
      </c>
    </row>
    <row r="104" spans="1:14">
      <c r="A104" s="3252"/>
      <c r="B104" s="2898">
        <v>3</v>
      </c>
      <c r="C104" s="2899">
        <f>1.1594/C101</f>
        <v>0.27152224824355975</v>
      </c>
      <c r="D104" s="2899">
        <f>1.1594/D101</f>
        <v>0.27152224824355975</v>
      </c>
      <c r="E104" s="2899">
        <f>1.0788/E101</f>
        <v>0.25264637002341922</v>
      </c>
      <c r="F104" s="2899">
        <f>1.0788/F101</f>
        <v>0.25264637002341922</v>
      </c>
      <c r="G104" s="2899">
        <f>1.0788/G101</f>
        <v>0.25264637002341922</v>
      </c>
      <c r="H104" s="2899">
        <f>1.0788/H101</f>
        <v>0.25264637002341922</v>
      </c>
      <c r="I104" s="2899">
        <f>1.0788/I101</f>
        <v>0.25264637002341922</v>
      </c>
      <c r="J104" s="2899">
        <f>1.0072/J101</f>
        <v>0.23587822014051527</v>
      </c>
      <c r="K104" s="2899">
        <f>1.0072/K101</f>
        <v>0.23587822014051527</v>
      </c>
      <c r="L104" s="2899">
        <f>1.0072/L101</f>
        <v>0.23587822014051527</v>
      </c>
      <c r="M104" s="2899">
        <f>1.0072/M101</f>
        <v>0.23587822014051527</v>
      </c>
      <c r="N104" s="2899">
        <f>1.0072/N101</f>
        <v>0.23587822014051527</v>
      </c>
    </row>
    <row r="105" spans="1:14">
      <c r="A105" s="3252"/>
      <c r="B105" s="2898">
        <v>4</v>
      </c>
      <c r="C105" s="2899">
        <f>0.9622/C101</f>
        <v>0.22533957845433258</v>
      </c>
      <c r="D105" s="2899">
        <f>0.9622/D101</f>
        <v>0.22533957845433258</v>
      </c>
      <c r="E105" s="2899">
        <f>0.8656/E101</f>
        <v>0.20271662763466045</v>
      </c>
      <c r="F105" s="2899">
        <f>0.8656/F101</f>
        <v>0.20271662763466045</v>
      </c>
      <c r="G105" s="2899">
        <f>0.8656/G101</f>
        <v>0.20271662763466045</v>
      </c>
      <c r="H105" s="2899">
        <f>0.8656/H101</f>
        <v>0.20271662763466045</v>
      </c>
      <c r="I105" s="2899">
        <f>0.8656/I101</f>
        <v>0.20271662763466045</v>
      </c>
      <c r="J105" s="2899">
        <f>0.7525/J101</f>
        <v>0.17622950819672131</v>
      </c>
      <c r="K105" s="2899">
        <f>0.7525/K101</f>
        <v>0.17622950819672131</v>
      </c>
      <c r="L105" s="2899">
        <f>0.7525/L101</f>
        <v>0.17622950819672131</v>
      </c>
      <c r="M105" s="2899">
        <f>0.7525/M101</f>
        <v>0.17622950819672131</v>
      </c>
      <c r="N105" s="2899">
        <f>0.7525/N101</f>
        <v>0.17622950819672131</v>
      </c>
    </row>
    <row r="106" spans="1:14">
      <c r="A106" s="3252"/>
      <c r="B106" s="2898">
        <v>5</v>
      </c>
      <c r="C106" s="2899">
        <f>0.8417/C101</f>
        <v>0.1971194379391101</v>
      </c>
      <c r="D106" s="2899">
        <f>0.8417/D101</f>
        <v>0.1971194379391101</v>
      </c>
      <c r="E106" s="2899">
        <f>0.7371/E101</f>
        <v>0.17262295081967213</v>
      </c>
      <c r="F106" s="2899">
        <f>0.7371/F101</f>
        <v>0.17262295081967213</v>
      </c>
      <c r="G106" s="2899">
        <f>0.7371/G101</f>
        <v>0.17262295081967213</v>
      </c>
      <c r="H106" s="2899">
        <f>0.7371/H101</f>
        <v>0.17262295081967213</v>
      </c>
      <c r="I106" s="2899">
        <f>0.7371/I101</f>
        <v>0.17262295081967213</v>
      </c>
      <c r="J106" s="2899">
        <f>0.5659/J101</f>
        <v>0.13252927400468384</v>
      </c>
      <c r="K106" s="2899">
        <f>0.5659/K101</f>
        <v>0.13252927400468384</v>
      </c>
      <c r="L106" s="2899">
        <f>0.5659/L101</f>
        <v>0.13252927400468384</v>
      </c>
      <c r="M106" s="2899">
        <f>0.5659/M101</f>
        <v>0.13252927400468384</v>
      </c>
      <c r="N106" s="2899">
        <f>0.5659/N101</f>
        <v>0.13252927400468384</v>
      </c>
    </row>
    <row r="107" spans="1:14">
      <c r="A107" s="3252"/>
      <c r="B107" s="2898">
        <v>6</v>
      </c>
      <c r="C107" s="2899">
        <f>0.7608/C101</f>
        <v>0.17817330210772836</v>
      </c>
      <c r="D107" s="2899">
        <f>0.7608/D101</f>
        <v>0.17817330210772836</v>
      </c>
      <c r="E107" s="2899">
        <f>0.6482/E101</f>
        <v>0.15180327868852461</v>
      </c>
      <c r="F107" s="2899">
        <f>0.6482/F101</f>
        <v>0.15180327868852461</v>
      </c>
      <c r="G107" s="2899">
        <f>0.6482/G101</f>
        <v>0.15180327868852461</v>
      </c>
      <c r="H107" s="2899">
        <f>0.6482/H101</f>
        <v>0.15180327868852461</v>
      </c>
      <c r="I107" s="2899">
        <f>0.6482/I101</f>
        <v>0.15180327868852461</v>
      </c>
      <c r="J107" s="2899">
        <f>0.4525/J101</f>
        <v>0.10597189695550353</v>
      </c>
      <c r="K107" s="2899">
        <f>0.4525/K101</f>
        <v>0.10597189695550353</v>
      </c>
      <c r="L107" s="2899">
        <f>0.4525/L101</f>
        <v>0.10597189695550353</v>
      </c>
      <c r="M107" s="2899">
        <f>0.4525/M101</f>
        <v>0.10597189695550353</v>
      </c>
      <c r="N107" s="2899">
        <f>0.4525/N101</f>
        <v>0.10597189695550353</v>
      </c>
    </row>
    <row r="108" spans="1:14">
      <c r="A108" s="3252"/>
      <c r="B108" s="3125"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3"/>
      <c r="B109" s="3126"/>
      <c r="C109" s="2901">
        <f>(-0.163*(C108^2)-0.59*C108+7617)*(10^(-4))/C101</f>
        <v>0.17838407494145203</v>
      </c>
      <c r="D109" s="2901">
        <f>(-0.163*(D108^2)-0.59*D108+7617)*(10^(-4))/D101</f>
        <v>0.17838407494145203</v>
      </c>
      <c r="E109" s="2901">
        <f>(-0.161*(E108^2)-7.509*E108+6533)*(10^(-4))/E101</f>
        <v>0.15299765807962531</v>
      </c>
      <c r="F109" s="2901">
        <f>(-0.161*(F108^2)-7.509*F108+6533)*(10^(-4))/F101</f>
        <v>0.15299765807962531</v>
      </c>
      <c r="G109" s="2901">
        <f>(-0.161*(G108^2)-7.509*G108+6533)*(10^(-4))/G101</f>
        <v>0.15299765807962531</v>
      </c>
      <c r="H109" s="2901">
        <f>(-0.161*(H108^2)-7.509*H108+6533)*(10^(-4))/H101</f>
        <v>0.15299765807962531</v>
      </c>
      <c r="I109" s="2901">
        <f>(-0.161*(I108^2)-7.509*I108+6533)*(10^(-4))/I101</f>
        <v>0.15299765807962531</v>
      </c>
      <c r="J109" s="2901">
        <f>(-0.214*(J108^2)-21.991*J108+4665)*(10^(-4))/J101</f>
        <v>0.1092505854800937</v>
      </c>
      <c r="K109" s="2901">
        <f>(-0.214*(K108^2)-21.991*K108+4665)*(10^(-4))/K101</f>
        <v>0.1092505854800937</v>
      </c>
      <c r="L109" s="2901">
        <f>(-0.214*(L108^2)-21.991*L108+4665)*(10^(-4))/L101</f>
        <v>0.1092505854800937</v>
      </c>
      <c r="M109" s="2901">
        <f>(-0.214*(M108^2)-21.991*M108+4665)*(10^(-4))/M101</f>
        <v>0.1092505854800937</v>
      </c>
      <c r="N109" s="2901">
        <f>(-0.214*(N108^2)-21.991*N108+4665)*(10^(-4))/N101</f>
        <v>0.1092505854800937</v>
      </c>
    </row>
    <row r="110" spans="1:14">
      <c r="A110" s="3249" t="s">
        <v>2982</v>
      </c>
      <c r="B110" s="3249"/>
      <c r="C110" s="3249"/>
      <c r="D110" s="3249"/>
      <c r="E110" s="3249"/>
      <c r="F110" s="3249"/>
      <c r="G110" s="3249"/>
      <c r="H110" s="3249"/>
      <c r="I110" s="3249"/>
      <c r="J110" s="3249"/>
      <c r="K110" s="2904"/>
      <c r="L110" s="2904"/>
      <c r="M110" s="2904"/>
      <c r="N110" s="2904"/>
    </row>
    <row r="112" spans="1:14" ht="13.5" thickBot="1"/>
    <row r="113" spans="1:13" ht="25.5" thickBot="1">
      <c r="A113" s="903" t="s">
        <v>2983</v>
      </c>
      <c r="B113" s="1288">
        <f>G3</f>
        <v>4.2699999999999996</v>
      </c>
      <c r="C113" s="904" t="s">
        <v>2984</v>
      </c>
      <c r="D113" s="905">
        <f>SUMPRODUCT((A115:A118=F113)*(B114:M114=H113)*B115:M118)</f>
        <v>0</v>
      </c>
      <c r="E113" s="2727" t="s">
        <v>2814</v>
      </c>
      <c r="F113" s="2906">
        <f>E2</f>
        <v>0</v>
      </c>
      <c r="G113" s="2727" t="s">
        <v>2815</v>
      </c>
      <c r="H113" s="2906">
        <f>G2</f>
        <v>0</v>
      </c>
      <c r="I113" s="2727"/>
      <c r="J113" s="2907"/>
      <c r="K113" s="2907"/>
      <c r="L113" s="2907"/>
      <c r="M113" s="2907"/>
    </row>
    <row r="114" spans="1:13">
      <c r="A114" s="908"/>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9" t="s">
        <v>2879</v>
      </c>
      <c r="B115" s="910">
        <f>ROUND(0.9335-0.0094*B113,4)</f>
        <v>0.89339999999999997</v>
      </c>
      <c r="C115" s="910">
        <f>B115</f>
        <v>0.89339999999999997</v>
      </c>
      <c r="D115" s="910">
        <f>ROUND(0.8331-0.0109*B113,4)</f>
        <v>0.78659999999999997</v>
      </c>
      <c r="E115" s="910">
        <f>D115</f>
        <v>0.78659999999999997</v>
      </c>
      <c r="F115" s="910">
        <f>E115</f>
        <v>0.78659999999999997</v>
      </c>
      <c r="G115" s="910">
        <f>F115</f>
        <v>0.78659999999999997</v>
      </c>
      <c r="H115" s="910">
        <f>G115</f>
        <v>0.78659999999999997</v>
      </c>
      <c r="I115" s="910">
        <f>ROUND(0.689-0.0155*B113,4)</f>
        <v>0.62280000000000002</v>
      </c>
      <c r="J115" s="910">
        <f t="shared" ref="J115:M118" si="33">I115</f>
        <v>0.62280000000000002</v>
      </c>
      <c r="K115" s="910">
        <f t="shared" si="33"/>
        <v>0.62280000000000002</v>
      </c>
      <c r="L115" s="910">
        <f t="shared" si="33"/>
        <v>0.62280000000000002</v>
      </c>
      <c r="M115" s="911">
        <f t="shared" si="33"/>
        <v>0.62280000000000002</v>
      </c>
    </row>
    <row r="116" spans="1:13">
      <c r="A116" s="909" t="s">
        <v>2880</v>
      </c>
      <c r="B116" s="910">
        <f>ROUND(0.949-0.012*B113,4)</f>
        <v>0.89780000000000004</v>
      </c>
      <c r="C116" s="910">
        <f>B116</f>
        <v>0.89780000000000004</v>
      </c>
      <c r="D116" s="910">
        <f>ROUND(0.8567-0.013*B113,4)</f>
        <v>0.80120000000000002</v>
      </c>
      <c r="E116" s="910">
        <f t="shared" ref="E116:H117" si="34">D116</f>
        <v>0.80120000000000002</v>
      </c>
      <c r="F116" s="910">
        <f t="shared" si="34"/>
        <v>0.80120000000000002</v>
      </c>
      <c r="G116" s="910">
        <f t="shared" si="34"/>
        <v>0.80120000000000002</v>
      </c>
      <c r="H116" s="910">
        <f t="shared" si="34"/>
        <v>0.80120000000000002</v>
      </c>
      <c r="I116" s="910">
        <f>ROUND(0.7694-0.014*B113,4)</f>
        <v>0.70960000000000001</v>
      </c>
      <c r="J116" s="910">
        <f t="shared" si="33"/>
        <v>0.70960000000000001</v>
      </c>
      <c r="K116" s="910">
        <f t="shared" si="33"/>
        <v>0.70960000000000001</v>
      </c>
      <c r="L116" s="910">
        <f t="shared" si="33"/>
        <v>0.70960000000000001</v>
      </c>
      <c r="M116" s="911">
        <f t="shared" si="33"/>
        <v>0.70960000000000001</v>
      </c>
    </row>
    <row r="117" spans="1:13">
      <c r="A117" s="909" t="s">
        <v>2881</v>
      </c>
      <c r="B117" s="910">
        <f>ROUND(0.8808-0.006*B113,4)</f>
        <v>0.85519999999999996</v>
      </c>
      <c r="C117" s="910">
        <f>B117</f>
        <v>0.85519999999999996</v>
      </c>
      <c r="D117" s="910">
        <f>ROUND(0.8748-0.008*B113,4)</f>
        <v>0.84060000000000001</v>
      </c>
      <c r="E117" s="910">
        <f t="shared" si="34"/>
        <v>0.84060000000000001</v>
      </c>
      <c r="F117" s="910">
        <f t="shared" si="34"/>
        <v>0.84060000000000001</v>
      </c>
      <c r="G117" s="910">
        <f t="shared" si="34"/>
        <v>0.84060000000000001</v>
      </c>
      <c r="H117" s="910">
        <f t="shared" si="34"/>
        <v>0.84060000000000001</v>
      </c>
      <c r="I117" s="910">
        <f>ROUND(0.7412-0.0095*B113,4)</f>
        <v>0.7006</v>
      </c>
      <c r="J117" s="910">
        <f t="shared" si="33"/>
        <v>0.7006</v>
      </c>
      <c r="K117" s="910">
        <f t="shared" si="33"/>
        <v>0.7006</v>
      </c>
      <c r="L117" s="910">
        <f t="shared" si="33"/>
        <v>0.7006</v>
      </c>
      <c r="M117" s="911">
        <f t="shared" si="33"/>
        <v>0.7006</v>
      </c>
    </row>
    <row r="118" spans="1:13" ht="13.5" thickBot="1">
      <c r="A118" s="714" t="s">
        <v>2882</v>
      </c>
      <c r="B118" s="912">
        <f>ROUND(0.7275-0.01*B113,4)</f>
        <v>0.68479999999999996</v>
      </c>
      <c r="C118" s="912">
        <f>B118</f>
        <v>0.68479999999999996</v>
      </c>
      <c r="D118" s="912">
        <f>ROUND(0.7043-0.012*B113,4)</f>
        <v>0.65310000000000001</v>
      </c>
      <c r="E118" s="912">
        <f>D118</f>
        <v>0.65310000000000001</v>
      </c>
      <c r="F118" s="912">
        <f>E118</f>
        <v>0.65310000000000001</v>
      </c>
      <c r="G118" s="912">
        <f>ROUND(0.6299-0.0122*B113,4)</f>
        <v>0.57779999999999998</v>
      </c>
      <c r="H118" s="912">
        <f>G118</f>
        <v>0.57779999999999998</v>
      </c>
      <c r="I118" s="912">
        <f>ROUND(0.5667-0.0136*B113,4)</f>
        <v>0.50860000000000005</v>
      </c>
      <c r="J118" s="912">
        <f t="shared" si="33"/>
        <v>0.50860000000000005</v>
      </c>
      <c r="K118" s="912">
        <f t="shared" si="33"/>
        <v>0.50860000000000005</v>
      </c>
      <c r="L118" s="912">
        <f t="shared" si="33"/>
        <v>0.50860000000000005</v>
      </c>
      <c r="M118" s="913">
        <f t="shared" si="33"/>
        <v>0.50860000000000005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t="e">
        <f ca="1">SUMIF(B6:B13,"&lt;&gt;#ref!",B6:B13)</f>
        <v>#DIV/0!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#DIV/0!</v>
      </c>
      <c r="C6" s="2913" t="s">
        <v>2998</v>
      </c>
      <c r="D6" s="2915"/>
      <c r="E6" s="2578">
        <f ca="1">SUMIF(INDIRECT("'"&amp;A6&amp;"'"&amp;"!C:C"),"建筑面积",INDIRECT("'"&amp;A6&amp;"'"&amp;"!D:D"))</f>
        <v>0</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3" t="s">
        <v>1146</v>
      </c>
      <c r="C1" s="3263"/>
      <c r="D1" s="3263"/>
      <c r="E1" s="3263"/>
      <c r="F1" s="3263"/>
      <c r="G1" s="3262" t="s">
        <v>1147</v>
      </c>
      <c r="H1" s="3262"/>
      <c r="I1" s="3262"/>
      <c r="J1" s="3262"/>
      <c r="K1" s="3262"/>
      <c r="L1" s="3262"/>
      <c r="N1" s="3262" t="s">
        <v>1148</v>
      </c>
      <c r="O1" s="3262"/>
      <c r="P1" s="3262"/>
      <c r="Q1" s="3262"/>
      <c r="R1" s="1447"/>
      <c r="S1" s="3262" t="s">
        <v>1149</v>
      </c>
      <c r="T1" s="3262"/>
      <c r="U1" s="3262"/>
      <c r="V1" s="3262"/>
      <c r="X1" s="3261" t="s">
        <v>1150</v>
      </c>
      <c r="Y1" s="3262"/>
      <c r="Z1" s="3262"/>
      <c r="AA1" s="3262"/>
      <c r="AB1" s="3262"/>
      <c r="AD1" s="3261" t="s">
        <v>1151</v>
      </c>
      <c r="AE1" s="3262"/>
      <c r="AF1" s="3262"/>
      <c r="AG1" s="3262"/>
      <c r="AH1" s="3262"/>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3034</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3047</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3035</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3048</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59">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3041</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59"/>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3040</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59"/>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3033</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68"/>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3030</v>
      </c>
      <c r="B10" s="1470">
        <v>439</v>
      </c>
      <c r="C10" s="1470">
        <v>327</v>
      </c>
      <c r="D10" s="1470">
        <f>C10</f>
        <v>327</v>
      </c>
      <c r="E10" s="1470">
        <v>627</v>
      </c>
      <c r="F10" s="1471">
        <v>283</v>
      </c>
      <c r="G10" s="3264">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3031</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59"/>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59"/>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68"/>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64">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59"/>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59"/>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0"/>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58">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59"/>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59"/>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0"/>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58">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59"/>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59"/>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0"/>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65">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66"/>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66"/>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67"/>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58">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59"/>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59"/>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0"/>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58">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59">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59">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0">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58">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59">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59">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0">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58">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59">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59">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0">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58">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59">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59">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0">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58">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59">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59">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0">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58">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59">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59">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0">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58">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59">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59">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0">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58">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59">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59">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0">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58">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59">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59">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0">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58">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59">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59">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0">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4" sqref="C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72" t="s">
        <v>2686</v>
      </c>
      <c r="C1" s="1621" t="s">
        <v>2530</v>
      </c>
      <c r="D1" s="1622" t="s">
        <v>3052</v>
      </c>
      <c r="E1" s="1631"/>
      <c r="F1" s="2587" t="s">
        <v>3065</v>
      </c>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f>IF(C2="——",ROUND(C50*D3/10000,0),ROUND(C50*D3/10000,0)-D2)</f>
        <v>751</v>
      </c>
      <c r="C2" s="2589" t="s">
        <v>70</v>
      </c>
      <c r="D2" s="1366" t="e">
        <f ca="1">SUMIF(INDIRECT("'"&amp;F2&amp;"'"&amp;"!A:A"),"承租人权益价值",INDIRECT("'"&amp;F2&amp;"'"&amp;"!c:c"))</f>
        <v>#REF!</v>
      </c>
      <c r="E2" s="2590" t="s">
        <v>2328</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4149</v>
      </c>
      <c r="C3" s="400" t="s">
        <v>2644</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2645</v>
      </c>
      <c r="B4" s="402"/>
      <c r="C4" s="3200" t="s">
        <v>2646</v>
      </c>
      <c r="D4" s="3201"/>
      <c r="E4" s="3202" t="s">
        <v>2647</v>
      </c>
      <c r="F4" s="3203"/>
      <c r="G4" s="3200" t="s">
        <v>2648</v>
      </c>
      <c r="H4" s="3201"/>
      <c r="I4" s="3200" t="s">
        <v>2649</v>
      </c>
      <c r="J4" s="3201"/>
      <c r="K4" s="610" t="s">
        <v>2650</v>
      </c>
      <c r="L4" s="1131"/>
      <c r="M4" s="1132"/>
      <c r="N4" s="1132"/>
      <c r="O4" s="1132"/>
      <c r="P4" s="3275" t="s">
        <v>2651</v>
      </c>
      <c r="Q4" s="3276"/>
      <c r="R4" s="3279" t="s">
        <v>2647</v>
      </c>
      <c r="S4" s="3280"/>
      <c r="T4" s="3279" t="s">
        <v>2648</v>
      </c>
      <c r="U4" s="3280"/>
      <c r="V4" s="3281" t="s">
        <v>2649</v>
      </c>
      <c r="W4" s="3281"/>
      <c r="X4" s="2673"/>
      <c r="Y4" s="3279" t="s">
        <v>2651</v>
      </c>
      <c r="Z4" s="3280"/>
      <c r="AA4" s="3283" t="s">
        <v>2647</v>
      </c>
      <c r="AB4" s="3283" t="s">
        <v>2648</v>
      </c>
      <c r="AC4" s="3272" t="s">
        <v>2649</v>
      </c>
    </row>
    <row r="5" spans="1:29" ht="15">
      <c r="A5" s="404"/>
      <c r="B5" s="405"/>
      <c r="C5" s="3219" t="s">
        <v>2542</v>
      </c>
      <c r="D5" s="3220"/>
      <c r="E5" s="3226" t="s">
        <v>2543</v>
      </c>
      <c r="F5" s="3227"/>
      <c r="G5" s="3219" t="s">
        <v>2544</v>
      </c>
      <c r="H5" s="3220"/>
      <c r="I5" s="3219" t="s">
        <v>2545</v>
      </c>
      <c r="J5" s="3220"/>
      <c r="K5" s="610"/>
      <c r="L5" s="1131"/>
      <c r="M5" s="1132"/>
      <c r="N5" s="1132"/>
      <c r="O5" s="1132"/>
      <c r="P5" s="3277"/>
      <c r="Q5" s="3207"/>
      <c r="R5" s="3212"/>
      <c r="S5" s="3213"/>
      <c r="T5" s="3212"/>
      <c r="U5" s="3213"/>
      <c r="V5" s="3216"/>
      <c r="W5" s="3216"/>
      <c r="X5" s="1813"/>
      <c r="Y5" s="3212"/>
      <c r="Z5" s="3213"/>
      <c r="AA5" s="3198"/>
      <c r="AB5" s="3198"/>
      <c r="AC5" s="3273"/>
    </row>
    <row r="6" spans="1:29" ht="15.75" thickBot="1">
      <c r="A6" s="406"/>
      <c r="B6" s="407"/>
      <c r="C6" s="3217" t="s">
        <v>2546</v>
      </c>
      <c r="D6" s="3218"/>
      <c r="E6" s="3224" t="s">
        <v>2546</v>
      </c>
      <c r="F6" s="3225"/>
      <c r="G6" s="3217" t="s">
        <v>2546</v>
      </c>
      <c r="H6" s="3218"/>
      <c r="I6" s="3217" t="s">
        <v>2546</v>
      </c>
      <c r="J6" s="3218"/>
      <c r="K6" s="610" t="s">
        <v>2547</v>
      </c>
      <c r="L6" s="1131"/>
      <c r="M6" s="1132"/>
      <c r="N6" s="1132"/>
      <c r="O6" s="1132"/>
      <c r="P6" s="3278"/>
      <c r="Q6" s="3209"/>
      <c r="R6" s="3212"/>
      <c r="S6" s="3213"/>
      <c r="T6" s="3214"/>
      <c r="U6" s="3215"/>
      <c r="V6" s="3216"/>
      <c r="W6" s="3216"/>
      <c r="X6" s="1813"/>
      <c r="Y6" s="3214"/>
      <c r="Z6" s="3215"/>
      <c r="AA6" s="3199"/>
      <c r="AB6" s="3199"/>
      <c r="AC6" s="3274"/>
    </row>
    <row r="7" spans="1:29" s="117" customFormat="1" ht="15.75" thickBot="1">
      <c r="A7" s="408" t="s">
        <v>2548</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282" t="s">
        <v>2549</v>
      </c>
      <c r="Q7" s="3223"/>
      <c r="R7" s="770" t="s">
        <v>17</v>
      </c>
      <c r="S7" s="771">
        <f t="shared" ref="S7:S15" si="0">F7</f>
        <v>100</v>
      </c>
      <c r="T7" s="770" t="s">
        <v>17</v>
      </c>
      <c r="U7" s="771">
        <f t="shared" ref="U7:U15" si="1">H7</f>
        <v>100</v>
      </c>
      <c r="V7" s="770" t="s">
        <v>17</v>
      </c>
      <c r="W7" s="771">
        <f t="shared" ref="W7:W15" si="2">J7</f>
        <v>100</v>
      </c>
      <c r="X7" s="772"/>
      <c r="Y7" s="3221" t="s">
        <v>2549</v>
      </c>
      <c r="Z7" s="3222"/>
      <c r="AA7" s="773">
        <f>D7/F7</f>
        <v>1</v>
      </c>
      <c r="AB7" s="773">
        <f>D7/H7</f>
        <v>1</v>
      </c>
      <c r="AC7" s="2674">
        <f>D7/J7</f>
        <v>1</v>
      </c>
    </row>
    <row r="8" spans="1:29" s="117" customFormat="1" ht="15.75" thickBot="1">
      <c r="A8" s="408" t="s">
        <v>2550</v>
      </c>
      <c r="B8" s="409"/>
      <c r="C8" s="414" t="s">
        <v>2652</v>
      </c>
      <c r="D8" s="411">
        <v>100</v>
      </c>
      <c r="E8" s="414" t="s">
        <v>3064</v>
      </c>
      <c r="F8" s="413">
        <f>SUMIF(62:62,E8,63:63)-SUMIF(62:62,C8,63:63)+100</f>
        <v>100</v>
      </c>
      <c r="G8" s="414" t="s">
        <v>3064</v>
      </c>
      <c r="H8" s="411">
        <f>SUMIF(62:62,G8,63:63)-SUMIF(62:62,C8,63:63)+100</f>
        <v>100</v>
      </c>
      <c r="I8" s="414" t="s">
        <v>3064</v>
      </c>
      <c r="J8" s="411">
        <f>SUMIF(62:62,I8,63:63)-SUMIF(62:62,C8,63:63)+100</f>
        <v>100</v>
      </c>
      <c r="K8" s="611"/>
      <c r="L8" s="1133"/>
      <c r="M8" s="1134"/>
      <c r="N8" s="1134"/>
      <c r="O8" s="1134"/>
      <c r="P8" s="3282" t="s">
        <v>2552</v>
      </c>
      <c r="Q8" s="3222"/>
      <c r="R8" s="770" t="s">
        <v>17</v>
      </c>
      <c r="S8" s="771">
        <f t="shared" si="0"/>
        <v>100</v>
      </c>
      <c r="T8" s="770" t="s">
        <v>17</v>
      </c>
      <c r="U8" s="771">
        <f t="shared" si="1"/>
        <v>100</v>
      </c>
      <c r="V8" s="770" t="s">
        <v>17</v>
      </c>
      <c r="W8" s="771">
        <f t="shared" si="2"/>
        <v>100</v>
      </c>
      <c r="X8" s="772"/>
      <c r="Y8" s="3221" t="s">
        <v>2552</v>
      </c>
      <c r="Z8" s="3222"/>
      <c r="AA8" s="773">
        <f t="shared" ref="AA8:AA47" si="3">D8/F8</f>
        <v>1</v>
      </c>
      <c r="AB8" s="773">
        <f t="shared" ref="AB8:AB47" si="4">D8/H8</f>
        <v>1</v>
      </c>
      <c r="AC8" s="2674">
        <f t="shared" ref="AC8:AC47" si="5">D8/J8</f>
        <v>1</v>
      </c>
    </row>
    <row r="9" spans="1:29" s="117" customFormat="1">
      <c r="A9" s="415" t="s">
        <v>2553</v>
      </c>
      <c r="B9" s="71" t="s">
        <v>2554</v>
      </c>
      <c r="C9" s="2947" t="s">
        <v>3062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196" t="s">
        <v>2555</v>
      </c>
      <c r="Q9" s="1795" t="str">
        <f t="shared" ref="Q9:Q15" si="6">B9</f>
        <v>用途</v>
      </c>
      <c r="R9" s="770" t="s">
        <v>17</v>
      </c>
      <c r="S9" s="771">
        <f t="shared" si="0"/>
        <v>100</v>
      </c>
      <c r="T9" s="770" t="s">
        <v>17</v>
      </c>
      <c r="U9" s="771">
        <f t="shared" si="1"/>
        <v>100</v>
      </c>
      <c r="V9" s="770" t="s">
        <v>17</v>
      </c>
      <c r="W9" s="771">
        <f t="shared" si="2"/>
        <v>100</v>
      </c>
      <c r="X9" s="772"/>
      <c r="Y9" s="3010" t="s">
        <v>2556</v>
      </c>
      <c r="Z9" s="55" t="str">
        <f t="shared" ref="Z9:Z15" si="7">Q9</f>
        <v>用途</v>
      </c>
      <c r="AA9" s="773">
        <f t="shared" si="3"/>
        <v>1</v>
      </c>
      <c r="AB9" s="773">
        <f t="shared" si="4"/>
        <v>1</v>
      </c>
      <c r="AC9" s="2674">
        <f t="shared" si="5"/>
        <v>1</v>
      </c>
    </row>
    <row r="10" spans="1:29" s="427" customFormat="1" ht="27.75" thickBot="1">
      <c r="A10" s="421"/>
      <c r="B10" s="422" t="s">
        <v>2557</v>
      </c>
      <c r="C10" s="423" t="s">
        <v>3063</v>
      </c>
      <c r="D10" s="136">
        <v>100</v>
      </c>
      <c r="E10" s="423" t="s">
        <v>3063</v>
      </c>
      <c r="F10" s="136">
        <f>SUMIF(66:66,E10,67:67)-SUMIF(66:66,C10,67:67)+100</f>
        <v>100</v>
      </c>
      <c r="G10" s="424" t="s">
        <v>3063</v>
      </c>
      <c r="H10" s="136">
        <f>SUMIF(66:66,G10,67:67)-SUMIF(66:66,C10,67:67)+100</f>
        <v>100</v>
      </c>
      <c r="I10" s="423" t="s">
        <v>3063</v>
      </c>
      <c r="J10" s="136">
        <f>SUMIF(66:66,I10,67:67)-SUMIF(66:66,C10,67:67)+100</f>
        <v>100</v>
      </c>
      <c r="K10" s="612">
        <v>1</v>
      </c>
      <c r="L10" s="1136"/>
      <c r="M10" s="1137"/>
      <c r="N10" s="1137"/>
      <c r="O10" s="1137"/>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4">
        <f t="shared" si="5"/>
        <v>1</v>
      </c>
    </row>
    <row r="11" spans="1:29" ht="15" hidden="1">
      <c r="A11" s="428"/>
      <c r="B11" s="422" t="s">
        <v>2558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196"/>
      <c r="Q11" s="1795"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194" t="s">
        <v>2560</v>
      </c>
      <c r="Q15" s="1810" t="str">
        <f t="shared" si="6"/>
        <v>办公集聚程度</v>
      </c>
      <c r="R15" s="774" t="s">
        <v>17</v>
      </c>
      <c r="S15" s="775">
        <f t="shared" si="0"/>
        <v>100</v>
      </c>
      <c r="T15" s="774" t="s">
        <v>17</v>
      </c>
      <c r="U15" s="775">
        <f t="shared" si="1"/>
        <v>97</v>
      </c>
      <c r="V15" s="774" t="s">
        <v>17</v>
      </c>
      <c r="W15" s="775">
        <f t="shared" si="2"/>
        <v>100</v>
      </c>
      <c r="X15" s="1813"/>
      <c r="Y15" s="3187" t="s">
        <v>2560</v>
      </c>
      <c r="Z15" s="1814" t="str">
        <f t="shared" si="7"/>
        <v>办公集聚程度</v>
      </c>
      <c r="AA15" s="1811">
        <f t="shared" si="3"/>
        <v>1</v>
      </c>
      <c r="AB15" s="1811">
        <f t="shared" si="4"/>
        <v>1.0309278350515463</v>
      </c>
      <c r="AC15" s="2677">
        <f t="shared" si="5"/>
        <v>1</v>
      </c>
    </row>
    <row r="16" spans="1:29" ht="15">
      <c r="A16" s="428"/>
      <c r="B16" s="630"/>
      <c r="C16" s="2614" t="s">
        <v>3127</v>
      </c>
      <c r="D16" s="448"/>
      <c r="E16" s="447" t="s">
        <v>3127</v>
      </c>
      <c r="F16" s="448"/>
      <c r="G16" s="2614" t="s">
        <v>3066</v>
      </c>
      <c r="H16" s="450"/>
      <c r="I16" s="447" t="s">
        <v>3127</v>
      </c>
      <c r="J16" s="448"/>
      <c r="K16" s="615"/>
      <c r="L16" s="1141"/>
      <c r="M16" s="1132"/>
      <c r="N16" s="1132"/>
      <c r="O16" s="1132"/>
      <c r="P16" s="3195"/>
      <c r="Q16" s="1810"/>
      <c r="R16" s="774"/>
      <c r="S16" s="775"/>
      <c r="T16" s="774"/>
      <c r="U16" s="775"/>
      <c r="V16" s="774"/>
      <c r="W16" s="775"/>
      <c r="X16" s="1813"/>
      <c r="Y16" s="3188"/>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195"/>
      <c r="Q17" s="1810" t="str">
        <f>B17</f>
        <v>交通便捷度</v>
      </c>
      <c r="R17" s="774" t="s">
        <v>17</v>
      </c>
      <c r="S17" s="775">
        <f>F17</f>
        <v>100</v>
      </c>
      <c r="T17" s="774" t="s">
        <v>17</v>
      </c>
      <c r="U17" s="775">
        <f>H17</f>
        <v>97</v>
      </c>
      <c r="V17" s="774" t="s">
        <v>17</v>
      </c>
      <c r="W17" s="775">
        <f>J17</f>
        <v>100</v>
      </c>
      <c r="X17" s="1813"/>
      <c r="Y17" s="3188"/>
      <c r="Z17" s="1814" t="str">
        <f>Q17</f>
        <v>交通便捷度</v>
      </c>
      <c r="AA17" s="1811">
        <f t="shared" si="3"/>
        <v>1</v>
      </c>
      <c r="AB17" s="1811">
        <f t="shared" si="4"/>
        <v>1.0309278350515463</v>
      </c>
      <c r="AC17" s="2677">
        <f t="shared" si="5"/>
        <v>1</v>
      </c>
    </row>
    <row r="18" spans="1:29" ht="15">
      <c r="A18" s="428"/>
      <c r="B18" s="632"/>
      <c r="C18" s="2679" t="s">
        <v>3127</v>
      </c>
      <c r="D18" s="450"/>
      <c r="E18" s="2612" t="s">
        <v>3127</v>
      </c>
      <c r="F18" s="450"/>
      <c r="G18" s="2613" t="s">
        <v>3066</v>
      </c>
      <c r="H18" s="448"/>
      <c r="I18" s="2613" t="s">
        <v>3127</v>
      </c>
      <c r="J18" s="448"/>
      <c r="K18" s="615"/>
      <c r="L18" s="1141"/>
      <c r="M18" s="1132"/>
      <c r="N18" s="1132"/>
      <c r="O18" s="1132"/>
      <c r="P18" s="3195"/>
      <c r="Q18" s="1810"/>
      <c r="R18" s="774"/>
      <c r="S18" s="775"/>
      <c r="T18" s="774"/>
      <c r="U18" s="775"/>
      <c r="V18" s="774"/>
      <c r="W18" s="775"/>
      <c r="X18" s="1813"/>
      <c r="Y18" s="3188"/>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2677">
        <f t="shared" si="5"/>
        <v>1</v>
      </c>
    </row>
    <row r="20" spans="1:29" ht="15">
      <c r="A20" s="428"/>
      <c r="B20" s="632"/>
      <c r="C20" s="2614" t="s">
        <v>3066</v>
      </c>
      <c r="D20" s="448"/>
      <c r="E20" s="2607" t="s">
        <v>3066</v>
      </c>
      <c r="F20" s="448"/>
      <c r="G20" s="2608" t="s">
        <v>3066</v>
      </c>
      <c r="H20" s="448"/>
      <c r="I20" s="2608" t="s">
        <v>3066</v>
      </c>
      <c r="J20" s="448"/>
      <c r="K20" s="615"/>
      <c r="L20" s="1141"/>
      <c r="M20" s="1132"/>
      <c r="N20" s="1132"/>
      <c r="O20" s="1132"/>
      <c r="P20" s="3195"/>
      <c r="Q20" s="1810"/>
      <c r="R20" s="774"/>
      <c r="S20" s="775"/>
      <c r="T20" s="774"/>
      <c r="U20" s="775"/>
      <c r="V20" s="774"/>
      <c r="W20" s="775"/>
      <c r="X20" s="1813"/>
      <c r="Y20" s="3188"/>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2677">
        <f t="shared" ref="AC21" si="10">D21/J21</f>
        <v>1</v>
      </c>
    </row>
    <row r="22" spans="1:29" ht="15">
      <c r="A22" s="428"/>
      <c r="B22" s="633"/>
      <c r="C22" s="2679" t="s">
        <v>3067</v>
      </c>
      <c r="D22" s="448"/>
      <c r="E22" s="447" t="s">
        <v>3067</v>
      </c>
      <c r="F22" s="448"/>
      <c r="G22" s="2614" t="s">
        <v>3067</v>
      </c>
      <c r="H22" s="448"/>
      <c r="I22" s="2614" t="s">
        <v>3067</v>
      </c>
      <c r="J22" s="448"/>
      <c r="K22" s="1384"/>
      <c r="L22" s="1141"/>
      <c r="M22" s="1132"/>
      <c r="N22" s="1132"/>
      <c r="O22" s="1132"/>
      <c r="P22" s="3195"/>
      <c r="Q22" s="1810"/>
      <c r="R22" s="774"/>
      <c r="S22" s="775"/>
      <c r="T22" s="774"/>
      <c r="U22" s="775"/>
      <c r="V22" s="774"/>
      <c r="W22" s="775"/>
      <c r="X22" s="1813"/>
      <c r="Y22" s="3188"/>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195"/>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2677">
        <f t="shared" si="5"/>
        <v>1</v>
      </c>
    </row>
    <row r="24" spans="1:29" ht="15">
      <c r="A24" s="428"/>
      <c r="B24" s="633"/>
      <c r="C24" s="2614" t="s">
        <v>3066</v>
      </c>
      <c r="D24" s="448"/>
      <c r="E24" s="2607" t="s">
        <v>3066</v>
      </c>
      <c r="F24" s="448"/>
      <c r="G24" s="2608" t="s">
        <v>3066</v>
      </c>
      <c r="H24" s="448"/>
      <c r="I24" s="2608" t="s">
        <v>3066</v>
      </c>
      <c r="J24" s="448"/>
      <c r="K24" s="615"/>
      <c r="L24" s="1141"/>
      <c r="M24" s="1132"/>
      <c r="N24" s="1132"/>
      <c r="O24" s="1132"/>
      <c r="P24" s="3195"/>
      <c r="Q24" s="1810"/>
      <c r="R24" s="774"/>
      <c r="S24" s="775"/>
      <c r="T24" s="774"/>
      <c r="U24" s="775"/>
      <c r="V24" s="774"/>
      <c r="W24" s="775"/>
      <c r="X24" s="1813"/>
      <c r="Y24" s="3188"/>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195"/>
      <c r="Q25" s="1810" t="str">
        <f>B25</f>
        <v>毗邻道路的类型与等级</v>
      </c>
      <c r="R25" s="774" t="s">
        <v>17</v>
      </c>
      <c r="S25" s="775">
        <f>F25</f>
        <v>100</v>
      </c>
      <c r="T25" s="774" t="s">
        <v>17</v>
      </c>
      <c r="U25" s="775">
        <f>H25</f>
        <v>100</v>
      </c>
      <c r="V25" s="774" t="s">
        <v>17</v>
      </c>
      <c r="W25" s="775">
        <f>J25</f>
        <v>100</v>
      </c>
      <c r="X25" s="1813"/>
      <c r="Y25" s="318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195"/>
      <c r="Q26" s="1810"/>
      <c r="R26" s="774"/>
      <c r="S26" s="775"/>
      <c r="T26" s="774"/>
      <c r="U26" s="775"/>
      <c r="V26" s="774"/>
      <c r="W26" s="775"/>
      <c r="X26" s="1813"/>
      <c r="Y26" s="3188"/>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195"/>
      <c r="Q27" s="1810" t="str">
        <f t="shared" ref="Q27:Q47" si="11">B27</f>
        <v>楼层</v>
      </c>
      <c r="R27" s="774" t="s">
        <v>17</v>
      </c>
      <c r="S27" s="775">
        <f>F27</f>
        <v>100</v>
      </c>
      <c r="T27" s="774" t="s">
        <v>17</v>
      </c>
      <c r="U27" s="775">
        <f>H27</f>
        <v>100</v>
      </c>
      <c r="V27" s="774" t="s">
        <v>17</v>
      </c>
      <c r="W27" s="775">
        <f>J27</f>
        <v>100</v>
      </c>
      <c r="X27" s="1813"/>
      <c r="Y27" s="3188"/>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195"/>
      <c r="Q28" s="1795" t="str">
        <f t="shared" si="11"/>
        <v>朝向</v>
      </c>
      <c r="R28" s="770" t="s">
        <v>17</v>
      </c>
      <c r="S28" s="771">
        <f>F28</f>
        <v>100</v>
      </c>
      <c r="T28" s="770" t="s">
        <v>17</v>
      </c>
      <c r="U28" s="771">
        <f>H28</f>
        <v>100</v>
      </c>
      <c r="V28" s="770" t="s">
        <v>17</v>
      </c>
      <c r="W28" s="771">
        <f>J28</f>
        <v>100</v>
      </c>
      <c r="X28" s="772"/>
      <c r="Y28" s="3188"/>
      <c r="Z28" s="55" t="str">
        <f>Q28</f>
        <v>朝向</v>
      </c>
      <c r="AA28" s="1811">
        <f>D28/F28</f>
        <v>1</v>
      </c>
      <c r="AB28" s="1811">
        <f>D28/H28</f>
        <v>1</v>
      </c>
      <c r="AC28" s="2677">
        <f>D28/J28</f>
        <v>1</v>
      </c>
    </row>
    <row r="29" spans="1:29" ht="15">
      <c r="A29" s="428"/>
      <c r="B29" s="2951" t="s">
        <v>3100</v>
      </c>
      <c r="C29" s="2952" t="s">
        <v>3104</v>
      </c>
      <c r="D29" s="435">
        <v>100</v>
      </c>
      <c r="E29" s="2953" t="s">
        <v>3104</v>
      </c>
      <c r="F29" s="435">
        <f>SUMIF(93:93,E29,94:94)-SUMIF(93:93,C29,94:94)+100</f>
        <v>100</v>
      </c>
      <c r="G29" s="2954" t="s">
        <v>3105</v>
      </c>
      <c r="H29" s="435">
        <f>SUMIF(93:93,G29,94:94)-SUMIF(93:93,C29,94:94)+100</f>
        <v>100</v>
      </c>
      <c r="I29" s="2953" t="s">
        <v>3105</v>
      </c>
      <c r="J29" s="435">
        <f>SUMIF(93:93,I29,94:94)-SUMIF(93:93,C29,94:94)+100</f>
        <v>100</v>
      </c>
      <c r="K29" s="613"/>
      <c r="L29" s="1141"/>
      <c r="M29" s="1132"/>
      <c r="N29" s="1132"/>
      <c r="O29" s="1132"/>
      <c r="P29" s="3195"/>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188"/>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195"/>
      <c r="Q32" s="1810">
        <f t="shared" si="11"/>
        <v>111</v>
      </c>
      <c r="R32" s="774" t="s">
        <v>17</v>
      </c>
      <c r="S32" s="775">
        <f t="shared" si="12"/>
        <v>100</v>
      </c>
      <c r="T32" s="774" t="s">
        <v>17</v>
      </c>
      <c r="U32" s="775">
        <f t="shared" si="13"/>
        <v>100</v>
      </c>
      <c r="V32" s="774" t="s">
        <v>17</v>
      </c>
      <c r="W32" s="775">
        <f t="shared" si="14"/>
        <v>100</v>
      </c>
      <c r="X32" s="1813"/>
      <c r="Y32" s="3188"/>
      <c r="Z32" s="1814">
        <f t="shared" si="15"/>
        <v>111</v>
      </c>
      <c r="AA32" s="1811">
        <f t="shared" si="3"/>
        <v>1</v>
      </c>
      <c r="AB32" s="1811">
        <f t="shared" si="4"/>
        <v>1</v>
      </c>
      <c r="AC32" s="2677">
        <f t="shared" si="5"/>
        <v>1</v>
      </c>
    </row>
    <row r="33" spans="1:29" ht="15">
      <c r="A33" s="440" t="s">
        <v>2563</v>
      </c>
      <c r="B33" s="71" t="s">
        <v>2693</v>
      </c>
      <c r="C33" s="2682" t="s">
        <v>3072</v>
      </c>
      <c r="D33" s="467">
        <v>100</v>
      </c>
      <c r="E33" s="2682" t="s">
        <v>3072</v>
      </c>
      <c r="F33" s="461">
        <f>SUMIF(101:101,E33,102:102)-SUMIF(101:101,C33,102:102)+100</f>
        <v>100</v>
      </c>
      <c r="G33" s="2682" t="s">
        <v>3072</v>
      </c>
      <c r="H33" s="435">
        <f>SUMIF(101:101,G33,102:102)-SUMIF(101:101,C33,102:102)+100</f>
        <v>100</v>
      </c>
      <c r="I33" s="2682" t="s">
        <v>3072</v>
      </c>
      <c r="J33" s="467">
        <f>SUMIF(101:101,I33,102:102)-SUMIF(101:101,C33,102:102)+100</f>
        <v>100</v>
      </c>
      <c r="K33" s="612">
        <v>2</v>
      </c>
      <c r="L33" s="1141"/>
      <c r="M33" s="1132"/>
      <c r="N33" s="1132"/>
      <c r="O33" s="1132"/>
      <c r="P33" s="3189" t="s">
        <v>2565</v>
      </c>
      <c r="Q33" s="1810" t="str">
        <f t="shared" si="11"/>
        <v>建筑类型</v>
      </c>
      <c r="R33" s="774" t="s">
        <v>17</v>
      </c>
      <c r="S33" s="775">
        <f t="shared" si="12"/>
        <v>100</v>
      </c>
      <c r="T33" s="774" t="s">
        <v>17</v>
      </c>
      <c r="U33" s="775">
        <f t="shared" si="13"/>
        <v>100</v>
      </c>
      <c r="V33" s="774" t="s">
        <v>17</v>
      </c>
      <c r="W33" s="775">
        <f t="shared" si="14"/>
        <v>100</v>
      </c>
      <c r="X33" s="1813"/>
      <c r="Y33" s="3192"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190"/>
      <c r="Q34" s="776" t="str">
        <f t="shared" si="11"/>
        <v>项目建筑规模</v>
      </c>
      <c r="R34" s="777" t="s">
        <v>17</v>
      </c>
      <c r="S34" s="778">
        <f t="shared" si="12"/>
        <v>100</v>
      </c>
      <c r="T34" s="777" t="s">
        <v>17</v>
      </c>
      <c r="U34" s="778">
        <f t="shared" si="13"/>
        <v>100</v>
      </c>
      <c r="V34" s="777" t="s">
        <v>17</v>
      </c>
      <c r="W34" s="778">
        <f t="shared" si="14"/>
        <v>100</v>
      </c>
      <c r="X34" s="779"/>
      <c r="Y34" s="3192"/>
      <c r="Z34" s="780" t="str">
        <f t="shared" si="15"/>
        <v>项目建筑规模</v>
      </c>
      <c r="AA34" s="1811">
        <f t="shared" si="3"/>
        <v>1</v>
      </c>
      <c r="AB34" s="1811">
        <f t="shared" si="4"/>
        <v>1</v>
      </c>
      <c r="AC34" s="2677">
        <f t="shared" si="5"/>
        <v>1</v>
      </c>
    </row>
    <row r="35" spans="1:29" ht="15">
      <c r="A35" s="472"/>
      <c r="B35" s="422" t="s">
        <v>2567</v>
      </c>
      <c r="C35" s="460" t="s">
        <v>3060</v>
      </c>
      <c r="D35" s="435">
        <v>100</v>
      </c>
      <c r="E35" s="460" t="s">
        <v>3074</v>
      </c>
      <c r="F35" s="461">
        <f>SUMIF(106:106,E35,107:107)-SUMIF(106:106,C35,107:107)+100</f>
        <v>103</v>
      </c>
      <c r="G35" s="460" t="s">
        <v>3074</v>
      </c>
      <c r="H35" s="435">
        <f>SUMIF(106:106,G35,107:107)-SUMIF(106:106,C35,107:107)+100</f>
        <v>103</v>
      </c>
      <c r="I35" s="460" t="s">
        <v>3074</v>
      </c>
      <c r="J35" s="435">
        <f>SUMIF(106:106,I35,107:107)-SUMIF(106:106,C35,107:107)+100</f>
        <v>103</v>
      </c>
      <c r="K35" s="612">
        <v>3</v>
      </c>
      <c r="L35" s="1141"/>
      <c r="M35" s="1132"/>
      <c r="N35" s="1132"/>
      <c r="O35" s="1132"/>
      <c r="P35" s="3190"/>
      <c r="Q35" s="1810" t="str">
        <f t="shared" si="11"/>
        <v>建筑结构</v>
      </c>
      <c r="R35" s="774" t="s">
        <v>17</v>
      </c>
      <c r="S35" s="775">
        <f t="shared" si="12"/>
        <v>103</v>
      </c>
      <c r="T35" s="774" t="s">
        <v>17</v>
      </c>
      <c r="U35" s="775">
        <f t="shared" si="13"/>
        <v>103</v>
      </c>
      <c r="V35" s="774" t="s">
        <v>17</v>
      </c>
      <c r="W35" s="775">
        <f t="shared" si="14"/>
        <v>103</v>
      </c>
      <c r="X35" s="1813"/>
      <c r="Y35" s="3192"/>
      <c r="Z35" s="1814" t="str">
        <f t="shared" si="15"/>
        <v>建筑结构</v>
      </c>
      <c r="AA35" s="1811">
        <f t="shared" si="3"/>
        <v>0.970873786407767</v>
      </c>
      <c r="AB35" s="1811">
        <f t="shared" si="4"/>
        <v>0.970873786407767</v>
      </c>
      <c r="AC35" s="2677">
        <f t="shared" si="5"/>
        <v>0.970873786407767</v>
      </c>
    </row>
    <row r="36" spans="1:29" ht="15">
      <c r="A36" s="472"/>
      <c r="B36" s="422" t="s">
        <v>2661</v>
      </c>
      <c r="C36" s="460" t="s">
        <v>3080</v>
      </c>
      <c r="D36" s="435">
        <v>100</v>
      </c>
      <c r="E36" s="460" t="s">
        <v>3078</v>
      </c>
      <c r="F36" s="461">
        <f>SUMIF(108:108,E36,109:109)-SUMIF(108:108,C36,109:109)+100</f>
        <v>102</v>
      </c>
      <c r="G36" s="460" t="s">
        <v>3078</v>
      </c>
      <c r="H36" s="435">
        <f>SUMIF(108:108,G36,109:109)-SUMIF(108:108,C36,109:109)+100</f>
        <v>102</v>
      </c>
      <c r="I36" s="460" t="s">
        <v>3078</v>
      </c>
      <c r="J36" s="435">
        <f>SUMIF(108:108,I36,109:109)-SUMIF(108:108,C36,109:109)+100</f>
        <v>102</v>
      </c>
      <c r="K36" s="612">
        <v>2</v>
      </c>
      <c r="L36" s="1141"/>
      <c r="M36" s="1132"/>
      <c r="N36" s="1132"/>
      <c r="O36" s="1132"/>
      <c r="P36" s="3190"/>
      <c r="Q36" s="1810" t="str">
        <f t="shared" si="11"/>
        <v>公共部分装修</v>
      </c>
      <c r="R36" s="774" t="s">
        <v>17</v>
      </c>
      <c r="S36" s="775">
        <f t="shared" si="12"/>
        <v>102</v>
      </c>
      <c r="T36" s="774" t="s">
        <v>17</v>
      </c>
      <c r="U36" s="775">
        <f t="shared" si="13"/>
        <v>102</v>
      </c>
      <c r="V36" s="774" t="s">
        <v>17</v>
      </c>
      <c r="W36" s="775">
        <f t="shared" si="14"/>
        <v>102</v>
      </c>
      <c r="X36" s="1813"/>
      <c r="Y36" s="3192"/>
      <c r="Z36" s="1814" t="str">
        <f t="shared" si="15"/>
        <v>公共部分装修</v>
      </c>
      <c r="AA36" s="1811">
        <f t="shared" si="3"/>
        <v>0.98039215686274506</v>
      </c>
      <c r="AB36" s="1811">
        <f t="shared" si="4"/>
        <v>0.98039215686274506</v>
      </c>
      <c r="AC36" s="2677">
        <f t="shared" si="5"/>
        <v>0.98039215686274506</v>
      </c>
    </row>
    <row r="37" spans="1:29" ht="15">
      <c r="A37" s="472"/>
      <c r="B37" s="422" t="s">
        <v>2662</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190"/>
      <c r="Q37" s="1810" t="str">
        <f t="shared" si="11"/>
        <v>成新度</v>
      </c>
      <c r="R37" s="774" t="s">
        <v>17</v>
      </c>
      <c r="S37" s="775">
        <f t="shared" si="12"/>
        <v>102</v>
      </c>
      <c r="T37" s="774" t="s">
        <v>17</v>
      </c>
      <c r="U37" s="775">
        <f t="shared" si="13"/>
        <v>102</v>
      </c>
      <c r="V37" s="774" t="s">
        <v>17</v>
      </c>
      <c r="W37" s="775">
        <f t="shared" si="14"/>
        <v>102</v>
      </c>
      <c r="X37" s="1813"/>
      <c r="Y37" s="3192"/>
      <c r="Z37" s="1814" t="str">
        <f t="shared" si="15"/>
        <v>成新度</v>
      </c>
      <c r="AA37" s="1811">
        <f t="shared" si="3"/>
        <v>0.98039215686274506</v>
      </c>
      <c r="AB37" s="1811">
        <f t="shared" si="4"/>
        <v>0.98039215686274506</v>
      </c>
      <c r="AC37" s="2677">
        <f t="shared" si="5"/>
        <v>0.98039215686274506</v>
      </c>
    </row>
    <row r="38" spans="1:29" s="117" customFormat="1" ht="15" hidden="1">
      <c r="A38" s="473"/>
      <c r="B38" s="422" t="s">
        <v>2694</v>
      </c>
      <c r="C38" s="460" t="s">
        <v>3086</v>
      </c>
      <c r="D38" s="136">
        <v>100</v>
      </c>
      <c r="E38" s="460" t="s">
        <v>3084</v>
      </c>
      <c r="F38" s="461">
        <f>SUMIF(113:113,E38,114:114)-SUMIF(113:113,C38,114:114)+100</f>
        <v>100</v>
      </c>
      <c r="G38" s="460" t="s">
        <v>3086</v>
      </c>
      <c r="H38" s="435">
        <f>SUMIF(113:113,G38,114:114)-SUMIF(113:113,C38,114:114)+100</f>
        <v>100</v>
      </c>
      <c r="I38" s="460" t="s">
        <v>3084</v>
      </c>
      <c r="J38" s="435">
        <f>SUMIF(113:113,I38,114:114)-SUMIF(113:113,C38,114:114)+100</f>
        <v>100</v>
      </c>
      <c r="K38" s="612"/>
      <c r="L38" s="1133"/>
      <c r="M38" s="1134"/>
      <c r="N38" s="1134"/>
      <c r="O38" s="1134"/>
      <c r="P38" s="3190"/>
      <c r="Q38" s="1795"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4">
        <f t="shared" si="5"/>
        <v>1</v>
      </c>
    </row>
    <row r="39" spans="1:29" ht="15">
      <c r="A39" s="472"/>
      <c r="B39" s="422" t="s">
        <v>2695</v>
      </c>
      <c r="C39" s="460" t="s">
        <v>3068</v>
      </c>
      <c r="D39" s="435">
        <v>100</v>
      </c>
      <c r="E39" s="460" t="s">
        <v>3066</v>
      </c>
      <c r="F39" s="461">
        <f>SUMIF(115:115,E39,116:116)-SUMIF(115:115,C39,116:116)+100</f>
        <v>102</v>
      </c>
      <c r="G39" s="460" t="s">
        <v>3068</v>
      </c>
      <c r="H39" s="435">
        <f>SUMIF(115:115,G39,116:116)-SUMIF(115:115,C39,116:116)+100</f>
        <v>100</v>
      </c>
      <c r="I39" s="460" t="s">
        <v>3066</v>
      </c>
      <c r="J39" s="435">
        <f>SUMIF(115:115,I39,116:116)-SUMIF(115:115,C39,116:116)+100</f>
        <v>102</v>
      </c>
      <c r="K39" s="612">
        <v>2</v>
      </c>
      <c r="L39" s="1141"/>
      <c r="M39" s="1132"/>
      <c r="N39" s="1132"/>
      <c r="O39" s="1132"/>
      <c r="P39" s="3190" t="s">
        <v>2565</v>
      </c>
      <c r="Q39" s="1810" t="str">
        <f t="shared" si="11"/>
        <v>物业管理</v>
      </c>
      <c r="R39" s="774" t="s">
        <v>17</v>
      </c>
      <c r="S39" s="775">
        <f t="shared" si="12"/>
        <v>102</v>
      </c>
      <c r="T39" s="774" t="s">
        <v>17</v>
      </c>
      <c r="U39" s="775">
        <f t="shared" si="13"/>
        <v>100</v>
      </c>
      <c r="V39" s="774" t="s">
        <v>17</v>
      </c>
      <c r="W39" s="775">
        <f t="shared" si="14"/>
        <v>102</v>
      </c>
      <c r="X39" s="1813"/>
      <c r="Y39" s="3192" t="s">
        <v>2565</v>
      </c>
      <c r="Z39" s="1814" t="str">
        <f t="shared" si="15"/>
        <v>物业管理</v>
      </c>
      <c r="AA39" s="1811">
        <f t="shared" si="3"/>
        <v>0.98039215686274506</v>
      </c>
      <c r="AB39" s="1811">
        <f t="shared" si="4"/>
        <v>1</v>
      </c>
      <c r="AC39" s="2677">
        <f t="shared" si="5"/>
        <v>0.98039215686274506</v>
      </c>
    </row>
    <row r="40" spans="1:29" ht="15">
      <c r="A40" s="472"/>
      <c r="B40" s="422" t="s">
        <v>2663</v>
      </c>
      <c r="C40" s="460" t="s">
        <v>3067</v>
      </c>
      <c r="D40" s="435">
        <v>100</v>
      </c>
      <c r="E40" s="460" t="s">
        <v>3067</v>
      </c>
      <c r="F40" s="461">
        <f>SUMIF(117:117,E40,118:118)-SUMIF(117:117,C40,118:118)+100</f>
        <v>100</v>
      </c>
      <c r="G40" s="460" t="s">
        <v>3067</v>
      </c>
      <c r="H40" s="435">
        <f>SUMIF(117:117,G40,118:118)-SUMIF(117:117,C40,118:118)+100</f>
        <v>100</v>
      </c>
      <c r="I40" s="460" t="s">
        <v>3067</v>
      </c>
      <c r="J40" s="435">
        <f>SUMIF(117:117,I40,118:118)-SUMIF(117:117,C40,118:118)+100</f>
        <v>100</v>
      </c>
      <c r="K40" s="612">
        <v>1</v>
      </c>
      <c r="L40" s="1141"/>
      <c r="M40" s="1132"/>
      <c r="N40" s="1132"/>
      <c r="O40" s="1132"/>
      <c r="P40" s="3190"/>
      <c r="Q40" s="1810" t="str">
        <f t="shared" si="11"/>
        <v>市政基础设施</v>
      </c>
      <c r="R40" s="774" t="s">
        <v>17</v>
      </c>
      <c r="S40" s="775">
        <f t="shared" si="12"/>
        <v>100</v>
      </c>
      <c r="T40" s="774" t="s">
        <v>17</v>
      </c>
      <c r="U40" s="775">
        <f t="shared" si="13"/>
        <v>100</v>
      </c>
      <c r="V40" s="774" t="s">
        <v>17</v>
      </c>
      <c r="W40" s="775">
        <f t="shared" si="14"/>
        <v>100</v>
      </c>
      <c r="X40" s="1813"/>
      <c r="Y40" s="3192"/>
      <c r="Z40" s="1814" t="str">
        <f t="shared" si="15"/>
        <v>市政基础设施</v>
      </c>
      <c r="AA40" s="1811">
        <f t="shared" si="3"/>
        <v>1</v>
      </c>
      <c r="AB40" s="1811">
        <f t="shared" si="4"/>
        <v>1</v>
      </c>
      <c r="AC40" s="2677">
        <f t="shared" si="5"/>
        <v>1</v>
      </c>
    </row>
    <row r="41" spans="1:29" ht="15">
      <c r="A41" s="472"/>
      <c r="B41" s="422" t="s">
        <v>2665</v>
      </c>
      <c r="C41" s="616" t="s">
        <v>3095</v>
      </c>
      <c r="D41" s="435">
        <v>100</v>
      </c>
      <c r="E41" s="616" t="s">
        <v>3095</v>
      </c>
      <c r="F41" s="461">
        <f>SUMIF(119:119,E41,120:120)-SUMIF(119:119,C41,120:120)+100</f>
        <v>100</v>
      </c>
      <c r="G41" s="616" t="s">
        <v>3095</v>
      </c>
      <c r="H41" s="435">
        <f>SUMIF(119:119,G41,120:120)-SUMIF(119:119,C41,120:120)+100</f>
        <v>100</v>
      </c>
      <c r="I41" s="616" t="s">
        <v>3095</v>
      </c>
      <c r="J41" s="435">
        <f>SUMIF(119:119,I41,120:120)-SUMIF(119:119,C41,120:120)+100</f>
        <v>100</v>
      </c>
      <c r="K41" s="612">
        <v>1</v>
      </c>
      <c r="L41" s="1141"/>
      <c r="M41" s="1132"/>
      <c r="N41" s="1132"/>
      <c r="O41" s="1132"/>
      <c r="P41" s="3190"/>
      <c r="Q41" s="1810" t="str">
        <f t="shared" si="11"/>
        <v>层高</v>
      </c>
      <c r="R41" s="774" t="s">
        <v>17</v>
      </c>
      <c r="S41" s="775">
        <f t="shared" si="12"/>
        <v>100</v>
      </c>
      <c r="T41" s="774" t="s">
        <v>17</v>
      </c>
      <c r="U41" s="775">
        <f t="shared" si="13"/>
        <v>100</v>
      </c>
      <c r="V41" s="774" t="s">
        <v>17</v>
      </c>
      <c r="W41" s="775">
        <f t="shared" si="14"/>
        <v>100</v>
      </c>
      <c r="X41" s="1813"/>
      <c r="Y41" s="3192"/>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1">
        <f t="shared" si="3"/>
        <v>1</v>
      </c>
      <c r="AB42" s="1811">
        <f t="shared" si="4"/>
        <v>1</v>
      </c>
      <c r="AC42" s="2677">
        <f t="shared" si="5"/>
        <v>1</v>
      </c>
    </row>
    <row r="43" spans="1:29" ht="15">
      <c r="A43" s="472"/>
      <c r="B43" s="422" t="s">
        <v>2668</v>
      </c>
      <c r="C43" s="460" t="s">
        <v>3080</v>
      </c>
      <c r="D43" s="435">
        <v>100</v>
      </c>
      <c r="E43" s="460" t="s">
        <v>3078</v>
      </c>
      <c r="F43" s="461">
        <f>SUMIF(123:123,E43,124:124)-SUMIF(123:123,C43,124:124)+100</f>
        <v>103</v>
      </c>
      <c r="G43" s="460" t="s">
        <v>3078</v>
      </c>
      <c r="H43" s="435">
        <f>SUMIF(123:123,G43,124:124)-SUMIF(123:123,C43,124:124)+100</f>
        <v>103</v>
      </c>
      <c r="I43" s="460" t="s">
        <v>3080</v>
      </c>
      <c r="J43" s="435">
        <f>SUMIF(123:123,I43,124:124)-SUMIF(123:123,C43,124:124)+100</f>
        <v>100</v>
      </c>
      <c r="K43" s="612">
        <v>3</v>
      </c>
      <c r="L43" s="1141"/>
      <c r="M43" s="1132"/>
      <c r="N43" s="1132"/>
      <c r="O43" s="1132"/>
      <c r="P43" s="3190"/>
      <c r="Q43" s="1810" t="str">
        <f t="shared" si="11"/>
        <v>内部装修</v>
      </c>
      <c r="R43" s="774" t="s">
        <v>17</v>
      </c>
      <c r="S43" s="775">
        <f t="shared" si="12"/>
        <v>103</v>
      </c>
      <c r="T43" s="774" t="s">
        <v>17</v>
      </c>
      <c r="U43" s="775">
        <f t="shared" si="13"/>
        <v>103</v>
      </c>
      <c r="V43" s="774" t="s">
        <v>17</v>
      </c>
      <c r="W43" s="775">
        <f t="shared" si="14"/>
        <v>100</v>
      </c>
      <c r="X43" s="1813"/>
      <c r="Y43" s="3192"/>
      <c r="Z43" s="1814" t="str">
        <f t="shared" si="15"/>
        <v>内部装修</v>
      </c>
      <c r="AA43" s="1811">
        <f t="shared" si="3"/>
        <v>0.970873786407767</v>
      </c>
      <c r="AB43" s="1811">
        <f t="shared" si="4"/>
        <v>0.970873786407767</v>
      </c>
      <c r="AC43" s="2677">
        <f t="shared" si="5"/>
        <v>1</v>
      </c>
    </row>
    <row r="44" spans="1:29" ht="15">
      <c r="A44" s="472"/>
      <c r="B44" s="422" t="s">
        <v>2576</v>
      </c>
      <c r="C44" s="460" t="s">
        <v>3066</v>
      </c>
      <c r="D44" s="435">
        <v>100</v>
      </c>
      <c r="E44" s="2616" t="s">
        <v>3066</v>
      </c>
      <c r="F44" s="461">
        <f>SUMIF(125:125,E44,126:126)-SUMIF(125:125,C44,126:126)+100</f>
        <v>100</v>
      </c>
      <c r="G44" s="2616" t="s">
        <v>3066</v>
      </c>
      <c r="H44" s="435">
        <f>SUMIF(125:125,G44,126:126)-SUMIF(125:125,C44,126:126)+100</f>
        <v>100</v>
      </c>
      <c r="I44" s="2616" t="s">
        <v>3066</v>
      </c>
      <c r="J44" s="435">
        <f>SUMIF(125:125,I44,126:126)-SUMIF(125:125,C44,126:126)+100</f>
        <v>100</v>
      </c>
      <c r="K44" s="612">
        <v>1</v>
      </c>
      <c r="L44" s="1141"/>
      <c r="M44" s="1132"/>
      <c r="N44" s="1132"/>
      <c r="O44" s="1132"/>
      <c r="P44" s="3190"/>
      <c r="Q44" s="1810" t="str">
        <f t="shared" si="11"/>
        <v>内部装修维护情况</v>
      </c>
      <c r="R44" s="774" t="s">
        <v>17</v>
      </c>
      <c r="S44" s="775">
        <f t="shared" si="12"/>
        <v>100</v>
      </c>
      <c r="T44" s="774" t="s">
        <v>17</v>
      </c>
      <c r="U44" s="775">
        <f t="shared" si="13"/>
        <v>100</v>
      </c>
      <c r="V44" s="774" t="s">
        <v>17</v>
      </c>
      <c r="W44" s="775">
        <f t="shared" si="14"/>
        <v>100</v>
      </c>
      <c r="X44" s="1813"/>
      <c r="Y44" s="3192"/>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90"/>
      <c r="Q45" s="1795">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90"/>
      <c r="Q46" s="1810">
        <f t="shared" si="11"/>
        <v>111</v>
      </c>
      <c r="R46" s="774" t="s">
        <v>17</v>
      </c>
      <c r="S46" s="775">
        <f t="shared" si="12"/>
        <v>100</v>
      </c>
      <c r="T46" s="774" t="s">
        <v>17</v>
      </c>
      <c r="U46" s="775">
        <f t="shared" si="13"/>
        <v>100</v>
      </c>
      <c r="V46" s="774" t="s">
        <v>17</v>
      </c>
      <c r="W46" s="775">
        <f t="shared" si="14"/>
        <v>100</v>
      </c>
      <c r="X46" s="1813"/>
      <c r="Y46" s="319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91"/>
      <c r="Q47" s="1810">
        <f t="shared" si="11"/>
        <v>111</v>
      </c>
      <c r="R47" s="774" t="s">
        <v>17</v>
      </c>
      <c r="S47" s="775">
        <f t="shared" si="12"/>
        <v>100</v>
      </c>
      <c r="T47" s="774" t="s">
        <v>17</v>
      </c>
      <c r="U47" s="775">
        <f t="shared" si="13"/>
        <v>100</v>
      </c>
      <c r="V47" s="774" t="s">
        <v>17</v>
      </c>
      <c r="W47" s="775">
        <f t="shared" si="14"/>
        <v>100</v>
      </c>
      <c r="X47" s="1813"/>
      <c r="Y47" s="3193"/>
      <c r="Z47" s="1814">
        <f t="shared" si="15"/>
        <v>111</v>
      </c>
      <c r="AA47" s="1811">
        <f t="shared" si="3"/>
        <v>1</v>
      </c>
      <c r="AB47" s="1811">
        <f t="shared" si="4"/>
        <v>1</v>
      </c>
      <c r="AC47" s="2677">
        <f t="shared" si="5"/>
        <v>1</v>
      </c>
    </row>
    <row r="48" spans="1:29" ht="15">
      <c r="A48" s="479" t="s">
        <v>2577</v>
      </c>
      <c r="B48" s="480"/>
      <c r="C48" s="1408" t="s">
        <v>1</v>
      </c>
      <c r="D48" s="1409"/>
      <c r="E48" s="2960">
        <v>4285</v>
      </c>
      <c r="F48" s="1411"/>
      <c r="G48" s="2961">
        <v>4387</v>
      </c>
      <c r="H48" s="1413"/>
      <c r="I48" s="1410">
        <v>4829</v>
      </c>
      <c r="J48" s="485"/>
      <c r="K48" s="783"/>
      <c r="L48" s="1144"/>
      <c r="M48" s="1132"/>
      <c r="N48" s="1132"/>
      <c r="O48" s="1132"/>
      <c r="P48" s="3196" t="str">
        <f>A48</f>
        <v>成交单价（元/平方米）</v>
      </c>
      <c r="Q48" s="3185"/>
      <c r="R48" s="3186">
        <f>E48</f>
        <v>4285</v>
      </c>
      <c r="S48" s="3186"/>
      <c r="T48" s="3186">
        <f>G48</f>
        <v>4387</v>
      </c>
      <c r="U48" s="3186"/>
      <c r="V48" s="3186">
        <f>I48</f>
        <v>4829</v>
      </c>
      <c r="W48" s="3186"/>
      <c r="X48" s="446"/>
      <c r="Y48" s="781"/>
      <c r="Z48" s="446"/>
      <c r="AA48" s="446"/>
      <c r="AB48" s="446"/>
      <c r="AC48" s="630"/>
    </row>
    <row r="49" spans="1:29" ht="15.75" thickBot="1">
      <c r="A49" s="486" t="s">
        <v>2669</v>
      </c>
      <c r="B49" s="487"/>
      <c r="C49" s="1414">
        <f>R50</f>
        <v>4149</v>
      </c>
      <c r="D49" s="1415"/>
      <c r="E49" s="1416">
        <f>R49</f>
        <v>3806</v>
      </c>
      <c r="F49" s="1416"/>
      <c r="G49" s="1414">
        <f>T49</f>
        <v>4224</v>
      </c>
      <c r="H49" s="1415"/>
      <c r="I49" s="1416">
        <f>V49</f>
        <v>4418</v>
      </c>
      <c r="J49" s="489"/>
      <c r="K49" s="784"/>
      <c r="L49" s="1144"/>
      <c r="M49" s="1132"/>
      <c r="N49" s="1132"/>
      <c r="O49" s="1132"/>
      <c r="P49" s="3196" t="str">
        <f>A49</f>
        <v>比较价值（元/平方米）</v>
      </c>
      <c r="Q49" s="3185"/>
      <c r="R49" s="3186">
        <f>IF(F1="售价",ROUND(PRODUCT(R48,AA7:AA47),0),ROUND(PRODUCT(R48,AA7:AA47),1))</f>
        <v>3806</v>
      </c>
      <c r="S49" s="3186"/>
      <c r="T49" s="3186">
        <f>IF(F1="售价",ROUND(PRODUCT(T48,AB7:AB47),0),ROUND(PRODUCT(T48,AB7:AB47),1))</f>
        <v>4224</v>
      </c>
      <c r="U49" s="3186"/>
      <c r="V49" s="3186">
        <f>IF(F1="售价",ROUND(PRODUCT(V48,AC7:AC47),0),ROUND(PRODUCT(V48,AC7:AC47),1))</f>
        <v>4418</v>
      </c>
      <c r="W49" s="3186"/>
      <c r="X49" s="446"/>
      <c r="Y49" s="446"/>
      <c r="Z49" s="446"/>
      <c r="AA49" s="446"/>
      <c r="AB49" s="446"/>
      <c r="AC49" s="630"/>
    </row>
    <row r="50" spans="1:29" ht="15.75" thickBot="1">
      <c r="A50" s="492" t="s">
        <v>2670</v>
      </c>
      <c r="B50" s="493"/>
      <c r="C50" s="1418">
        <f>R50</f>
        <v>4149</v>
      </c>
      <c r="D50" s="1418"/>
      <c r="E50" s="1418"/>
      <c r="F50" s="1418"/>
      <c r="G50" s="1418"/>
      <c r="H50" s="1418"/>
      <c r="I50" s="1418"/>
      <c r="J50" s="494"/>
      <c r="K50" s="785"/>
      <c r="L50" s="1144"/>
      <c r="M50" s="1132"/>
      <c r="N50" s="1132"/>
      <c r="O50" s="1132"/>
      <c r="P50" s="3269" t="str">
        <f>A50</f>
        <v>估价对象XX用房的比较价值（楼面单价，元/平方米）</v>
      </c>
      <c r="Q50" s="3270"/>
      <c r="R50" s="3271">
        <f>IF(F1="售价",ROUND(AVERAGE(R49:V49),0),ROUND(AVERAGE(R49:V49),1))</f>
        <v>4149</v>
      </c>
      <c r="S50" s="3271"/>
      <c r="T50" s="3271"/>
      <c r="U50" s="3271"/>
      <c r="V50" s="3271"/>
      <c r="W50" s="3271"/>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2671</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2672</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2673</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2674</v>
      </c>
      <c r="B58" s="759"/>
      <c r="C58" s="764"/>
      <c r="D58" s="764"/>
      <c r="E58" s="764"/>
      <c r="F58" s="765"/>
      <c r="G58" s="765"/>
      <c r="H58" s="764"/>
      <c r="I58" s="764"/>
      <c r="J58" s="764"/>
      <c r="K58" s="766"/>
      <c r="L58" s="1162"/>
      <c r="M58" s="1160"/>
      <c r="N58" s="1160"/>
      <c r="O58" s="1160"/>
      <c r="P58" s="2684"/>
      <c r="Q58" s="504"/>
    </row>
    <row r="59" spans="1:29" s="508" customFormat="1" ht="15">
      <c r="A59" s="505" t="s">
        <v>2548</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2588</v>
      </c>
      <c r="B64" s="528" t="s">
        <v>2554</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2558</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2699</v>
      </c>
      <c r="C87" s="2948" t="s">
        <v>3069</v>
      </c>
      <c r="D87" s="2948" t="s">
        <v>3070</v>
      </c>
      <c r="E87" s="2948" t="s">
        <v>3071</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3102</v>
      </c>
      <c r="D93" s="2948" t="s">
        <v>3104</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2563</v>
      </c>
      <c r="B101" s="528" t="s">
        <v>2612</v>
      </c>
      <c r="C101" s="2949" t="s">
        <v>3073</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2613</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2614</v>
      </c>
      <c r="C106" s="2948" t="s">
        <v>3075</v>
      </c>
      <c r="D106" s="2948" t="s">
        <v>3076</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2616</v>
      </c>
      <c r="C108" s="2948" t="s">
        <v>3077</v>
      </c>
      <c r="D108" s="2948" t="s">
        <v>3079</v>
      </c>
      <c r="E108" s="2948" t="s">
        <v>3081</v>
      </c>
      <c r="F108" s="2950" t="s">
        <v>3082</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2700</v>
      </c>
      <c r="C113" s="2948" t="s">
        <v>3083</v>
      </c>
      <c r="D113" s="2948" t="s">
        <v>3085</v>
      </c>
      <c r="E113" s="2948" t="s">
        <v>3087</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2617</v>
      </c>
      <c r="C115" s="2948" t="s">
        <v>3088</v>
      </c>
      <c r="D115" s="2948" t="s">
        <v>3089</v>
      </c>
      <c r="E115" s="2950" t="s">
        <v>3090</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2618</v>
      </c>
      <c r="C117" s="2948" t="s">
        <v>3091</v>
      </c>
      <c r="D117" s="2948" t="s">
        <v>3092</v>
      </c>
      <c r="E117" s="2948" t="s">
        <v>3093</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2701</v>
      </c>
      <c r="C119" s="2950" t="s">
        <v>3094</v>
      </c>
      <c r="D119" s="2950" t="s">
        <v>3096</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2684</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2620</v>
      </c>
      <c r="C123" s="2948" t="s">
        <v>3077</v>
      </c>
      <c r="D123" s="2948" t="s">
        <v>3079</v>
      </c>
      <c r="E123" s="2948" t="s">
        <v>3081</v>
      </c>
      <c r="F123" s="2950" t="s">
        <v>3082</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37" sqref="S37:S4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3007</v>
      </c>
      <c r="C1" s="3285" t="s">
        <v>3008</v>
      </c>
      <c r="D1" s="3286"/>
      <c r="E1" s="3286"/>
      <c r="F1" s="3286"/>
      <c r="G1" s="3286"/>
      <c r="H1" s="3286"/>
      <c r="I1" s="3286"/>
      <c r="J1" s="3286"/>
      <c r="K1" s="3286"/>
      <c r="L1" s="3286"/>
      <c r="M1" s="3286"/>
      <c r="N1" s="3286"/>
      <c r="O1" s="3286"/>
      <c r="P1" s="3286"/>
      <c r="Q1" s="3286"/>
      <c r="R1" s="3286"/>
      <c r="S1" s="3287"/>
      <c r="T1" s="1205" t="s">
        <v>3009</v>
      </c>
    </row>
    <row r="2" spans="1:45" s="707" customFormat="1" ht="38.25">
      <c r="A2" s="1206"/>
      <c r="B2" s="703" t="s">
        <v>3010</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3106</v>
      </c>
      <c r="C9" s="2957" t="s">
        <v>3107</v>
      </c>
      <c r="D9" s="2958" t="s">
        <v>3108</v>
      </c>
      <c r="E9" s="2958" t="s">
        <v>3110</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36.75">
      <c r="A13" s="1216"/>
      <c r="B13" s="2955" t="s">
        <v>3116</v>
      </c>
      <c r="C13" s="2962" t="s">
        <v>3117</v>
      </c>
      <c r="D13" s="2963" t="s">
        <v>3118</v>
      </c>
      <c r="E13" s="2963" t="s">
        <v>3119</v>
      </c>
      <c r="F13" s="2963" t="s">
        <v>3120</v>
      </c>
      <c r="G13" s="2963" t="s">
        <v>3121</v>
      </c>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v>100</v>
      </c>
      <c r="D14" s="1119">
        <v>95</v>
      </c>
      <c r="E14" s="1119">
        <v>90</v>
      </c>
      <c r="F14" s="1119">
        <v>85</v>
      </c>
      <c r="G14" s="1119">
        <v>80</v>
      </c>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3012</v>
      </c>
      <c r="B17" s="2920" t="s">
        <v>3013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3014</v>
      </c>
      <c r="E19" s="1792"/>
      <c r="F19" s="1792"/>
      <c r="G19" s="1792"/>
      <c r="H19" s="1281"/>
      <c r="I19" s="168"/>
      <c r="J19" s="168"/>
      <c r="K19" s="168"/>
      <c r="L19" s="168"/>
      <c r="M19" s="168"/>
      <c r="N19" s="168"/>
      <c r="O19" s="168"/>
      <c r="P19" s="168"/>
      <c r="Q19" s="168"/>
      <c r="R19" s="788"/>
      <c r="S19" s="138"/>
    </row>
    <row r="20" spans="1:45" ht="16.5" thickBot="1">
      <c r="A20" s="715" t="s">
        <v>3015</v>
      </c>
      <c r="B20" s="338">
        <f ca="1">IF(D20="——",S22,S22-F20)</f>
        <v>6687</v>
      </c>
      <c r="C20" s="168"/>
      <c r="D20" s="2922" t="s">
        <v>70</v>
      </c>
      <c r="E20" s="1793"/>
      <c r="F20" s="1205" t="e">
        <f ca="1">SUMIF(INDIRECT("'"&amp;H20&amp;"'"&amp;"!A:A"),"承租人权益价值",INDIRECT("'"&amp;H20&amp;"'"&amp;"!c:c"))</f>
        <v>#REF!</v>
      </c>
      <c r="G20" s="1205" t="s">
        <v>3016</v>
      </c>
      <c r="H20" s="2923"/>
      <c r="I20" s="168"/>
      <c r="J20" s="168"/>
      <c r="K20" s="168"/>
      <c r="L20" s="168"/>
      <c r="M20" s="168"/>
      <c r="N20" s="168"/>
      <c r="O20" s="168"/>
      <c r="P20" s="168"/>
      <c r="Q20" s="168"/>
      <c r="R20" s="788"/>
      <c r="S20" s="138"/>
    </row>
    <row r="21" spans="1:45" ht="15.75">
      <c r="A21" s="715" t="s">
        <v>3017</v>
      </c>
      <c r="B21" s="338">
        <f ca="1">R22</f>
        <v>4585</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14583.990000000002</v>
      </c>
      <c r="C22" s="3147" t="s">
        <v>33</v>
      </c>
      <c r="D22" s="3148"/>
      <c r="E22" s="3148"/>
      <c r="F22" s="3148"/>
      <c r="G22" s="3148"/>
      <c r="H22" s="3148"/>
      <c r="I22" s="3148"/>
      <c r="J22" s="3148"/>
      <c r="K22" s="3148"/>
      <c r="L22" s="3148"/>
      <c r="M22" s="3148"/>
      <c r="N22" s="3148"/>
      <c r="O22" s="3148"/>
      <c r="P22" s="3148"/>
      <c r="Q22" s="3284"/>
      <c r="R22" s="716">
        <f ca="1">ROUND(S22*10000/B22,0)</f>
        <v>4585</v>
      </c>
      <c r="S22" s="24">
        <f ca="1">SUM(S24:S10000)</f>
        <v>6687</v>
      </c>
    </row>
    <row r="23" spans="1:45" s="12" customFormat="1" ht="24">
      <c r="A23" s="11" t="s">
        <v>3019</v>
      </c>
      <c r="B23" s="11" t="s">
        <v>3020</v>
      </c>
      <c r="C23" s="11" t="s">
        <v>3021</v>
      </c>
      <c r="D23" s="11">
        <f>B5</f>
        <v>0</v>
      </c>
      <c r="E23" s="11" t="s">
        <v>3021</v>
      </c>
      <c r="F23" s="11">
        <f>B7</f>
        <v>0</v>
      </c>
      <c r="G23" s="11" t="s">
        <v>3021</v>
      </c>
      <c r="H23" s="11" t="str">
        <f>B9</f>
        <v>临街状况</v>
      </c>
      <c r="I23" s="11" t="s">
        <v>3021</v>
      </c>
      <c r="J23" s="11">
        <f>B11</f>
        <v>0</v>
      </c>
      <c r="K23" s="11" t="s">
        <v>3021</v>
      </c>
      <c r="L23" s="11" t="str">
        <f>B13</f>
        <v>容积率</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1809.36</v>
      </c>
      <c r="C24" s="719">
        <v>1</v>
      </c>
      <c r="D24" s="2964"/>
      <c r="E24" s="719">
        <v>1</v>
      </c>
      <c r="F24" s="720"/>
      <c r="G24" s="719">
        <v>1</v>
      </c>
      <c r="H24" s="720" t="s">
        <v>3103</v>
      </c>
      <c r="I24" s="719">
        <v>1</v>
      </c>
      <c r="J24" s="720"/>
      <c r="K24" s="719">
        <v>1</v>
      </c>
      <c r="L24" s="720" t="s">
        <v>3122</v>
      </c>
      <c r="M24" s="719">
        <v>1</v>
      </c>
      <c r="N24" s="720"/>
      <c r="O24" s="719">
        <v>1</v>
      </c>
      <c r="P24" s="720"/>
      <c r="Q24" s="719">
        <v>1</v>
      </c>
      <c r="R24" s="721">
        <f ca="1">结果表!C105</f>
        <v>4394</v>
      </c>
      <c r="S24" s="719">
        <f t="shared" ref="S24:S54" ca="1" si="11">ROUND(R24*B24/10000,0)</f>
        <v>795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0.2</v>
      </c>
      <c r="N25" s="720"/>
      <c r="O25" s="24">
        <f>(SUMIF($15:$15,N25,$16:$16)-SUMIF($15:$15,$N$24,$16:$16)+100)/100</f>
        <v>1</v>
      </c>
      <c r="P25" s="720"/>
      <c r="Q25" s="24">
        <f>(SUMIF($17:$17,P25,$18:$18)-SUMIF($17:$17,$P$24,$18:$18)+100)/100</f>
        <v>1</v>
      </c>
      <c r="R25" s="716">
        <f>IF(B25="",0,ROUND($R$24*C25*E25*G25*I25*K25*M25*O25*Q25,0))</f>
        <v>0</v>
      </c>
      <c r="S25" s="361">
        <f t="shared" si="11"/>
        <v>0</v>
      </c>
      <c r="U25" s="795">
        <f>SUM(B25:B46)</f>
        <v>12774.630000000001</v>
      </c>
      <c r="V25" s="795">
        <f ca="1">SUM(S25:S46)</f>
        <v>5892</v>
      </c>
    </row>
    <row r="26" spans="1:45">
      <c r="A26" s="2959" t="s">
        <v>3111</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3103</v>
      </c>
      <c r="I26" s="24">
        <f t="shared" ref="I26:I89" si="15">(SUMIF($9:$9,H26,$10:$10)-SUMIF($9:$9,$H$24,$10:$10)+100)/100</f>
        <v>1</v>
      </c>
      <c r="J26" s="720"/>
      <c r="K26" s="24">
        <f t="shared" ref="K26:K89" si="16">(SUMIF($11:$11,J26,$12:$12)-SUMIF($11:$11,$J$24,$12:$12)+100)/100</f>
        <v>1</v>
      </c>
      <c r="L26" s="720" t="s">
        <v>3123</v>
      </c>
      <c r="M26" s="24">
        <f t="shared" ref="M26:M89" si="17">(SUMIF($13:$13,L26,$14:$14)-SUMIF($13:$13,$L$24,$14:$14)+100)/100</f>
        <v>1.1499999999999999</v>
      </c>
      <c r="N26" s="720"/>
      <c r="O26" s="24">
        <f t="shared" ref="O26:O89" si="18">(SUMIF($15:$15,N26,$16:$16)-SUMIF($15:$15,$N$24,$16:$16)+100)/100</f>
        <v>1</v>
      </c>
      <c r="P26" s="720"/>
      <c r="Q26" s="24">
        <f t="shared" ref="Q26:Q89" si="19">(SUMIF($17:$17,P26,$18:$18)-SUMIF($17:$17,$P$24,$18:$18)+100)/100</f>
        <v>1</v>
      </c>
      <c r="R26" s="716">
        <f t="shared" ref="R26:R89" ca="1" si="20">IF(B26="",0,ROUND($R$24*C26*E26*G26*I26*K26*M26*O26*Q26,0))</f>
        <v>5053</v>
      </c>
      <c r="S26" s="361">
        <f t="shared" ca="1" si="11"/>
        <v>1002</v>
      </c>
    </row>
    <row r="27" spans="1:45">
      <c r="A27" s="159"/>
      <c r="B27" s="59">
        <v>612.94000000000005</v>
      </c>
      <c r="C27" s="24">
        <f t="shared" si="12"/>
        <v>0.99</v>
      </c>
      <c r="D27" s="2964"/>
      <c r="E27" s="24">
        <f t="shared" si="13"/>
        <v>1</v>
      </c>
      <c r="F27" s="720"/>
      <c r="G27" s="24">
        <f t="shared" si="14"/>
        <v>1</v>
      </c>
      <c r="H27" s="720" t="s">
        <v>3109</v>
      </c>
      <c r="I27" s="24">
        <f t="shared" si="15"/>
        <v>0.95</v>
      </c>
      <c r="J27" s="720"/>
      <c r="K27" s="24">
        <f t="shared" si="16"/>
        <v>1</v>
      </c>
      <c r="L27" s="720" t="s">
        <v>3123</v>
      </c>
      <c r="M27" s="24">
        <f t="shared" si="17"/>
        <v>1.1499999999999999</v>
      </c>
      <c r="N27" s="720"/>
      <c r="O27" s="24">
        <f t="shared" si="18"/>
        <v>1</v>
      </c>
      <c r="P27" s="720"/>
      <c r="Q27" s="24">
        <f t="shared" si="19"/>
        <v>1</v>
      </c>
      <c r="R27" s="716">
        <f t="shared" ca="1" si="20"/>
        <v>4752</v>
      </c>
      <c r="S27" s="361">
        <f t="shared" ca="1" si="11"/>
        <v>291</v>
      </c>
    </row>
    <row r="28" spans="1:45">
      <c r="A28" s="159"/>
      <c r="B28" s="59">
        <v>360.5</v>
      </c>
      <c r="C28" s="24">
        <f t="shared" si="12"/>
        <v>0.99</v>
      </c>
      <c r="D28" s="2964"/>
      <c r="E28" s="24">
        <f t="shared" si="13"/>
        <v>1</v>
      </c>
      <c r="F28" s="720"/>
      <c r="G28" s="24">
        <f t="shared" si="14"/>
        <v>1</v>
      </c>
      <c r="H28" s="720" t="s">
        <v>3109</v>
      </c>
      <c r="I28" s="24">
        <f t="shared" si="15"/>
        <v>0.95</v>
      </c>
      <c r="J28" s="720"/>
      <c r="K28" s="24">
        <f t="shared" si="16"/>
        <v>1</v>
      </c>
      <c r="L28" s="720" t="s">
        <v>3123</v>
      </c>
      <c r="M28" s="24">
        <f t="shared" si="17"/>
        <v>1.1499999999999999</v>
      </c>
      <c r="N28" s="720"/>
      <c r="O28" s="24">
        <f t="shared" si="18"/>
        <v>1</v>
      </c>
      <c r="P28" s="720"/>
      <c r="Q28" s="24">
        <f t="shared" si="19"/>
        <v>1</v>
      </c>
      <c r="R28" s="716">
        <f t="shared" ca="1" si="20"/>
        <v>4752</v>
      </c>
      <c r="S28" s="361">
        <f t="shared" ca="1" si="11"/>
        <v>171</v>
      </c>
    </row>
    <row r="29" spans="1:45">
      <c r="A29" s="159"/>
      <c r="B29" s="59">
        <v>1204</v>
      </c>
      <c r="C29" s="24">
        <f t="shared" si="12"/>
        <v>1</v>
      </c>
      <c r="D29" s="2964"/>
      <c r="E29" s="24">
        <f t="shared" si="13"/>
        <v>1</v>
      </c>
      <c r="F29" s="720"/>
      <c r="G29" s="24">
        <f t="shared" si="14"/>
        <v>1</v>
      </c>
      <c r="H29" s="720" t="s">
        <v>3103</v>
      </c>
      <c r="I29" s="24">
        <f t="shared" si="15"/>
        <v>1</v>
      </c>
      <c r="J29" s="720"/>
      <c r="K29" s="24">
        <f t="shared" si="16"/>
        <v>1</v>
      </c>
      <c r="L29" s="720" t="s">
        <v>3123</v>
      </c>
      <c r="M29" s="24">
        <f t="shared" si="17"/>
        <v>1.1499999999999999</v>
      </c>
      <c r="N29" s="720"/>
      <c r="O29" s="24">
        <f t="shared" si="18"/>
        <v>1</v>
      </c>
      <c r="P29" s="720"/>
      <c r="Q29" s="24">
        <f t="shared" si="19"/>
        <v>1</v>
      </c>
      <c r="R29" s="716">
        <f t="shared" ca="1" si="20"/>
        <v>5053</v>
      </c>
      <c r="S29" s="361">
        <f t="shared" ca="1" si="11"/>
        <v>608</v>
      </c>
    </row>
    <row r="30" spans="1:45" hidden="1">
      <c r="A30" s="2959" t="s">
        <v>3113</v>
      </c>
      <c r="B30" s="59"/>
      <c r="C30" s="24">
        <f t="shared" si="12"/>
        <v>1</v>
      </c>
      <c r="D30" s="2964"/>
      <c r="E30" s="24">
        <f t="shared" si="13"/>
        <v>1</v>
      </c>
      <c r="F30" s="720"/>
      <c r="G30" s="24">
        <f t="shared" si="14"/>
        <v>1</v>
      </c>
      <c r="H30" s="720" t="s">
        <v>3109</v>
      </c>
      <c r="I30" s="24">
        <f t="shared" si="15"/>
        <v>0.95</v>
      </c>
      <c r="J30" s="720" t="s">
        <v>3112</v>
      </c>
      <c r="K30" s="24">
        <f t="shared" si="16"/>
        <v>1</v>
      </c>
      <c r="L30" s="720" t="s">
        <v>3124</v>
      </c>
      <c r="M30" s="24">
        <f t="shared" si="17"/>
        <v>1.2</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3109</v>
      </c>
      <c r="I31" s="24">
        <f t="shared" si="15"/>
        <v>0.95</v>
      </c>
      <c r="J31" s="720" t="s">
        <v>3112</v>
      </c>
      <c r="K31" s="24">
        <f t="shared" si="16"/>
        <v>1</v>
      </c>
      <c r="L31" s="720" t="s">
        <v>3124</v>
      </c>
      <c r="M31" s="24">
        <f t="shared" si="17"/>
        <v>1.2</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3109</v>
      </c>
      <c r="I32" s="24">
        <f t="shared" si="15"/>
        <v>0.95</v>
      </c>
      <c r="J32" s="720" t="s">
        <v>3112</v>
      </c>
      <c r="K32" s="24">
        <f t="shared" si="16"/>
        <v>1</v>
      </c>
      <c r="L32" s="720" t="s">
        <v>3124</v>
      </c>
      <c r="M32" s="24">
        <f t="shared" si="17"/>
        <v>1.2</v>
      </c>
      <c r="N32" s="720"/>
      <c r="O32" s="24">
        <f t="shared" si="18"/>
        <v>1</v>
      </c>
      <c r="P32" s="720"/>
      <c r="Q32" s="24">
        <f t="shared" si="19"/>
        <v>1</v>
      </c>
      <c r="R32" s="716">
        <f t="shared" si="20"/>
        <v>0</v>
      </c>
      <c r="S32" s="361">
        <f t="shared" si="11"/>
        <v>0</v>
      </c>
    </row>
    <row r="33" spans="1:19" hidden="1">
      <c r="A33" s="159"/>
      <c r="B33" s="59"/>
      <c r="C33" s="24">
        <f t="shared" si="12"/>
        <v>1</v>
      </c>
      <c r="D33" s="2964"/>
      <c r="E33" s="24">
        <f t="shared" si="13"/>
        <v>1</v>
      </c>
      <c r="F33" s="720"/>
      <c r="G33" s="24">
        <f t="shared" si="14"/>
        <v>1</v>
      </c>
      <c r="H33" s="720" t="s">
        <v>3109</v>
      </c>
      <c r="I33" s="24">
        <f t="shared" si="15"/>
        <v>0.95</v>
      </c>
      <c r="J33" s="720">
        <v>6</v>
      </c>
      <c r="K33" s="24">
        <f t="shared" si="16"/>
        <v>1</v>
      </c>
      <c r="L33" s="720" t="s">
        <v>3124</v>
      </c>
      <c r="M33" s="24">
        <f t="shared" si="17"/>
        <v>1.2</v>
      </c>
      <c r="N33" s="720"/>
      <c r="O33" s="24">
        <f t="shared" si="18"/>
        <v>1</v>
      </c>
      <c r="P33" s="720"/>
      <c r="Q33" s="24">
        <f t="shared" si="19"/>
        <v>1</v>
      </c>
      <c r="R33" s="716">
        <f t="shared" si="20"/>
        <v>0</v>
      </c>
      <c r="S33" s="361">
        <f t="shared" si="11"/>
        <v>0</v>
      </c>
    </row>
    <row r="34" spans="1:19" hidden="1">
      <c r="A34" s="159"/>
      <c r="B34" s="59"/>
      <c r="C34" s="24">
        <f t="shared" si="12"/>
        <v>1</v>
      </c>
      <c r="D34" s="2964"/>
      <c r="E34" s="24">
        <f t="shared" si="13"/>
        <v>1</v>
      </c>
      <c r="F34" s="720"/>
      <c r="G34" s="24">
        <f t="shared" si="14"/>
        <v>1</v>
      </c>
      <c r="H34" s="720" t="s">
        <v>3109</v>
      </c>
      <c r="I34" s="24">
        <f t="shared" si="15"/>
        <v>0.95</v>
      </c>
      <c r="J34" s="720" t="s">
        <v>3112</v>
      </c>
      <c r="K34" s="24">
        <f t="shared" si="16"/>
        <v>1</v>
      </c>
      <c r="L34" s="720" t="s">
        <v>3124</v>
      </c>
      <c r="M34" s="24">
        <f t="shared" si="17"/>
        <v>1.2</v>
      </c>
      <c r="N34" s="720"/>
      <c r="O34" s="24">
        <f t="shared" si="18"/>
        <v>1</v>
      </c>
      <c r="P34" s="720"/>
      <c r="Q34" s="24">
        <f t="shared" si="19"/>
        <v>1</v>
      </c>
      <c r="R34" s="716">
        <f t="shared" si="20"/>
        <v>0</v>
      </c>
      <c r="S34" s="361">
        <f t="shared" si="11"/>
        <v>0</v>
      </c>
    </row>
    <row r="35" spans="1:19" hidden="1">
      <c r="A35" s="159"/>
      <c r="B35" s="59"/>
      <c r="C35" s="24">
        <f t="shared" si="12"/>
        <v>1</v>
      </c>
      <c r="D35" s="2964"/>
      <c r="E35" s="24">
        <f t="shared" si="13"/>
        <v>1</v>
      </c>
      <c r="F35" s="720"/>
      <c r="G35" s="24">
        <f t="shared" si="14"/>
        <v>1</v>
      </c>
      <c r="H35" s="720" t="s">
        <v>3103</v>
      </c>
      <c r="I35" s="24">
        <f t="shared" si="15"/>
        <v>1</v>
      </c>
      <c r="J35" s="720" t="s">
        <v>3112</v>
      </c>
      <c r="K35" s="24">
        <f t="shared" si="16"/>
        <v>1</v>
      </c>
      <c r="L35" s="720" t="s">
        <v>3124</v>
      </c>
      <c r="M35" s="24">
        <f t="shared" si="17"/>
        <v>1.2</v>
      </c>
      <c r="N35" s="720"/>
      <c r="O35" s="24">
        <f t="shared" si="18"/>
        <v>1</v>
      </c>
      <c r="P35" s="720"/>
      <c r="Q35" s="24">
        <f t="shared" si="19"/>
        <v>1</v>
      </c>
      <c r="R35" s="716">
        <f t="shared" si="20"/>
        <v>0</v>
      </c>
      <c r="S35" s="361">
        <f t="shared" si="11"/>
        <v>0</v>
      </c>
    </row>
    <row r="36" spans="1:19" hidden="1">
      <c r="A36" s="159"/>
      <c r="B36" s="59"/>
      <c r="C36" s="24">
        <f t="shared" si="12"/>
        <v>1</v>
      </c>
      <c r="D36" s="2964"/>
      <c r="E36" s="24">
        <f t="shared" si="13"/>
        <v>1</v>
      </c>
      <c r="F36" s="720"/>
      <c r="G36" s="24">
        <f t="shared" si="14"/>
        <v>1</v>
      </c>
      <c r="H36" s="720" t="s">
        <v>3101</v>
      </c>
      <c r="I36" s="24">
        <f t="shared" si="15"/>
        <v>1.05</v>
      </c>
      <c r="J36" s="720">
        <v>4</v>
      </c>
      <c r="K36" s="24">
        <f t="shared" si="16"/>
        <v>1</v>
      </c>
      <c r="L36" s="720" t="s">
        <v>3124</v>
      </c>
      <c r="M36" s="24">
        <f t="shared" si="17"/>
        <v>1.2</v>
      </c>
      <c r="N36" s="720"/>
      <c r="O36" s="24">
        <f t="shared" si="18"/>
        <v>1</v>
      </c>
      <c r="P36" s="720"/>
      <c r="Q36" s="24">
        <f t="shared" si="19"/>
        <v>1</v>
      </c>
      <c r="R36" s="716">
        <f t="shared" si="20"/>
        <v>0</v>
      </c>
      <c r="S36" s="361">
        <f t="shared" si="11"/>
        <v>0</v>
      </c>
    </row>
    <row r="37" spans="1:19">
      <c r="A37" s="2959" t="s">
        <v>3114</v>
      </c>
      <c r="B37" s="59">
        <v>2083.1999999999998</v>
      </c>
      <c r="C37" s="24">
        <f t="shared" si="12"/>
        <v>1</v>
      </c>
      <c r="D37" s="2964"/>
      <c r="E37" s="24">
        <f t="shared" si="13"/>
        <v>1</v>
      </c>
      <c r="F37" s="720"/>
      <c r="G37" s="24">
        <f t="shared" si="14"/>
        <v>1</v>
      </c>
      <c r="H37" s="720" t="s">
        <v>3109</v>
      </c>
      <c r="I37" s="24">
        <f t="shared" si="15"/>
        <v>0.95</v>
      </c>
      <c r="J37" s="720"/>
      <c r="K37" s="24">
        <f t="shared" si="16"/>
        <v>1</v>
      </c>
      <c r="L37" s="720" t="s">
        <v>3125</v>
      </c>
      <c r="M37" s="24">
        <f t="shared" si="17"/>
        <v>1.05</v>
      </c>
      <c r="N37" s="720"/>
      <c r="O37" s="24">
        <f t="shared" si="18"/>
        <v>1</v>
      </c>
      <c r="P37" s="720"/>
      <c r="Q37" s="24">
        <f t="shared" si="19"/>
        <v>1</v>
      </c>
      <c r="R37" s="716">
        <f t="shared" ca="1" si="20"/>
        <v>4383</v>
      </c>
      <c r="S37" s="361">
        <f t="shared" ca="1" si="11"/>
        <v>913</v>
      </c>
    </row>
    <row r="38" spans="1:19">
      <c r="A38" s="159"/>
      <c r="B38" s="59">
        <v>1641.8</v>
      </c>
      <c r="C38" s="24">
        <f t="shared" si="12"/>
        <v>1</v>
      </c>
      <c r="D38" s="2964"/>
      <c r="E38" s="24">
        <f t="shared" si="13"/>
        <v>1</v>
      </c>
      <c r="F38" s="720"/>
      <c r="G38" s="24">
        <f t="shared" si="14"/>
        <v>1</v>
      </c>
      <c r="H38" s="720" t="s">
        <v>3109</v>
      </c>
      <c r="I38" s="24">
        <f t="shared" si="15"/>
        <v>0.95</v>
      </c>
      <c r="J38" s="720"/>
      <c r="K38" s="24">
        <f t="shared" si="16"/>
        <v>1</v>
      </c>
      <c r="L38" s="720" t="s">
        <v>3125</v>
      </c>
      <c r="M38" s="24">
        <f t="shared" si="17"/>
        <v>1.05</v>
      </c>
      <c r="N38" s="720"/>
      <c r="O38" s="24">
        <f t="shared" si="18"/>
        <v>1</v>
      </c>
      <c r="P38" s="720"/>
      <c r="Q38" s="24">
        <f t="shared" si="19"/>
        <v>1</v>
      </c>
      <c r="R38" s="716">
        <f t="shared" ca="1" si="20"/>
        <v>4383</v>
      </c>
      <c r="S38" s="361">
        <f t="shared" ca="1" si="11"/>
        <v>720</v>
      </c>
    </row>
    <row r="39" spans="1:19">
      <c r="A39" s="159"/>
      <c r="B39" s="59">
        <v>65</v>
      </c>
      <c r="C39" s="24">
        <f t="shared" si="12"/>
        <v>0.99</v>
      </c>
      <c r="D39" s="2964"/>
      <c r="E39" s="24">
        <f t="shared" si="13"/>
        <v>1</v>
      </c>
      <c r="F39" s="720"/>
      <c r="G39" s="24">
        <f t="shared" si="14"/>
        <v>1</v>
      </c>
      <c r="H39" s="720" t="s">
        <v>3109</v>
      </c>
      <c r="I39" s="24">
        <f t="shared" si="15"/>
        <v>0.95</v>
      </c>
      <c r="J39" s="720"/>
      <c r="K39" s="24">
        <f t="shared" si="16"/>
        <v>1</v>
      </c>
      <c r="L39" s="720" t="s">
        <v>3125</v>
      </c>
      <c r="M39" s="24">
        <f t="shared" si="17"/>
        <v>1.05</v>
      </c>
      <c r="N39" s="720"/>
      <c r="O39" s="24">
        <f t="shared" si="18"/>
        <v>1</v>
      </c>
      <c r="P39" s="720"/>
      <c r="Q39" s="24">
        <f t="shared" si="19"/>
        <v>1</v>
      </c>
      <c r="R39" s="716">
        <f t="shared" ca="1" si="20"/>
        <v>4339</v>
      </c>
      <c r="S39" s="361">
        <f t="shared" ca="1" si="11"/>
        <v>28</v>
      </c>
    </row>
    <row r="40" spans="1:19">
      <c r="A40" s="159"/>
      <c r="B40" s="59">
        <v>865.09</v>
      </c>
      <c r="C40" s="24">
        <f t="shared" si="12"/>
        <v>0.99</v>
      </c>
      <c r="D40" s="2964"/>
      <c r="E40" s="24">
        <f t="shared" si="13"/>
        <v>1</v>
      </c>
      <c r="F40" s="720"/>
      <c r="G40" s="24">
        <f t="shared" si="14"/>
        <v>1</v>
      </c>
      <c r="H40" s="720" t="s">
        <v>3103</v>
      </c>
      <c r="I40" s="24">
        <f t="shared" si="15"/>
        <v>1</v>
      </c>
      <c r="J40" s="720"/>
      <c r="K40" s="24">
        <f t="shared" si="16"/>
        <v>1</v>
      </c>
      <c r="L40" s="720" t="s">
        <v>3125</v>
      </c>
      <c r="M40" s="24">
        <f t="shared" si="17"/>
        <v>1.05</v>
      </c>
      <c r="N40" s="720"/>
      <c r="O40" s="24">
        <f t="shared" si="18"/>
        <v>1</v>
      </c>
      <c r="P40" s="720"/>
      <c r="Q40" s="24">
        <f t="shared" si="19"/>
        <v>1</v>
      </c>
      <c r="R40" s="716">
        <f t="shared" ca="1" si="20"/>
        <v>4568</v>
      </c>
      <c r="S40" s="361">
        <f t="shared" ca="1" si="11"/>
        <v>395</v>
      </c>
    </row>
    <row r="41" spans="1:19">
      <c r="A41" s="159"/>
      <c r="B41" s="59">
        <v>1326</v>
      </c>
      <c r="C41" s="24">
        <f t="shared" si="12"/>
        <v>1</v>
      </c>
      <c r="D41" s="2964"/>
      <c r="E41" s="24">
        <f t="shared" si="13"/>
        <v>1</v>
      </c>
      <c r="F41" s="720"/>
      <c r="G41" s="24">
        <f t="shared" si="14"/>
        <v>1</v>
      </c>
      <c r="H41" s="720" t="s">
        <v>3109</v>
      </c>
      <c r="I41" s="24">
        <f t="shared" si="15"/>
        <v>0.95</v>
      </c>
      <c r="J41" s="720"/>
      <c r="K41" s="24">
        <f t="shared" si="16"/>
        <v>1</v>
      </c>
      <c r="L41" s="720" t="s">
        <v>3125</v>
      </c>
      <c r="M41" s="24">
        <f t="shared" si="17"/>
        <v>1.05</v>
      </c>
      <c r="N41" s="720"/>
      <c r="O41" s="24">
        <f t="shared" si="18"/>
        <v>1</v>
      </c>
      <c r="P41" s="720"/>
      <c r="Q41" s="24">
        <f t="shared" si="19"/>
        <v>1</v>
      </c>
      <c r="R41" s="716">
        <f t="shared" ca="1" si="20"/>
        <v>4383</v>
      </c>
      <c r="S41" s="361">
        <f t="shared" ca="1" si="11"/>
        <v>581</v>
      </c>
    </row>
    <row r="42" spans="1:19">
      <c r="A42" s="159"/>
      <c r="B42" s="59">
        <v>576</v>
      </c>
      <c r="C42" s="24">
        <f t="shared" si="12"/>
        <v>0.99</v>
      </c>
      <c r="D42" s="2964"/>
      <c r="E42" s="24">
        <f t="shared" si="13"/>
        <v>1</v>
      </c>
      <c r="F42" s="720"/>
      <c r="G42" s="24">
        <f t="shared" si="14"/>
        <v>1</v>
      </c>
      <c r="H42" s="720" t="s">
        <v>3109</v>
      </c>
      <c r="I42" s="24">
        <f t="shared" si="15"/>
        <v>0.95</v>
      </c>
      <c r="J42" s="720"/>
      <c r="K42" s="24">
        <f t="shared" si="16"/>
        <v>1</v>
      </c>
      <c r="L42" s="720" t="s">
        <v>3125</v>
      </c>
      <c r="M42" s="24">
        <f t="shared" si="17"/>
        <v>1.05</v>
      </c>
      <c r="N42" s="720"/>
      <c r="O42" s="24">
        <f t="shared" si="18"/>
        <v>1</v>
      </c>
      <c r="P42" s="720"/>
      <c r="Q42" s="24">
        <f t="shared" si="19"/>
        <v>1</v>
      </c>
      <c r="R42" s="716">
        <f t="shared" ca="1" si="20"/>
        <v>4339</v>
      </c>
      <c r="S42" s="361">
        <f t="shared" ca="1" si="11"/>
        <v>250</v>
      </c>
    </row>
    <row r="43" spans="1:19">
      <c r="A43" s="159"/>
      <c r="B43" s="59">
        <v>1336.2</v>
      </c>
      <c r="C43" s="24">
        <f t="shared" si="12"/>
        <v>1</v>
      </c>
      <c r="D43" s="2964"/>
      <c r="E43" s="24">
        <f t="shared" si="13"/>
        <v>1</v>
      </c>
      <c r="F43" s="720"/>
      <c r="G43" s="24">
        <f t="shared" si="14"/>
        <v>1</v>
      </c>
      <c r="H43" s="720" t="s">
        <v>3103</v>
      </c>
      <c r="I43" s="24">
        <f t="shared" si="15"/>
        <v>1</v>
      </c>
      <c r="J43" s="720"/>
      <c r="K43" s="24">
        <f t="shared" si="16"/>
        <v>1</v>
      </c>
      <c r="L43" s="720" t="s">
        <v>3125</v>
      </c>
      <c r="M43" s="24">
        <f t="shared" si="17"/>
        <v>1.05</v>
      </c>
      <c r="N43" s="720"/>
      <c r="O43" s="24">
        <f t="shared" si="18"/>
        <v>1</v>
      </c>
      <c r="P43" s="720"/>
      <c r="Q43" s="24">
        <f t="shared" si="19"/>
        <v>1</v>
      </c>
      <c r="R43" s="716">
        <f t="shared" ca="1" si="20"/>
        <v>4614</v>
      </c>
      <c r="S43" s="361">
        <f t="shared" ca="1" si="11"/>
        <v>617</v>
      </c>
    </row>
    <row r="44" spans="1:19">
      <c r="A44" s="159"/>
      <c r="B44" s="59">
        <v>269.44</v>
      </c>
      <c r="C44" s="24">
        <f t="shared" si="12"/>
        <v>0.99</v>
      </c>
      <c r="D44" s="2964"/>
      <c r="E44" s="24">
        <f t="shared" si="13"/>
        <v>1</v>
      </c>
      <c r="F44" s="720"/>
      <c r="G44" s="24">
        <f t="shared" si="14"/>
        <v>1</v>
      </c>
      <c r="H44" s="720" t="s">
        <v>3109</v>
      </c>
      <c r="I44" s="24">
        <f t="shared" si="15"/>
        <v>0.95</v>
      </c>
      <c r="J44" s="720"/>
      <c r="K44" s="24">
        <f t="shared" si="16"/>
        <v>1</v>
      </c>
      <c r="L44" s="720" t="s">
        <v>3125</v>
      </c>
      <c r="M44" s="24">
        <f t="shared" si="17"/>
        <v>1.05</v>
      </c>
      <c r="N44" s="720"/>
      <c r="O44" s="24">
        <f t="shared" si="18"/>
        <v>1</v>
      </c>
      <c r="P44" s="720"/>
      <c r="Q44" s="24">
        <f t="shared" si="19"/>
        <v>1</v>
      </c>
      <c r="R44" s="716">
        <f t="shared" ca="1" si="20"/>
        <v>4339</v>
      </c>
      <c r="S44" s="361">
        <f t="shared" ca="1" si="11"/>
        <v>117</v>
      </c>
    </row>
    <row r="45" spans="1:19">
      <c r="A45" s="159"/>
      <c r="B45" s="59">
        <v>312.92</v>
      </c>
      <c r="C45" s="24">
        <f t="shared" si="12"/>
        <v>0.99</v>
      </c>
      <c r="D45" s="2964"/>
      <c r="E45" s="24">
        <f t="shared" si="13"/>
        <v>1</v>
      </c>
      <c r="F45" s="720"/>
      <c r="G45" s="24">
        <f t="shared" si="14"/>
        <v>1</v>
      </c>
      <c r="H45" s="720" t="s">
        <v>3109</v>
      </c>
      <c r="I45" s="24">
        <f t="shared" si="15"/>
        <v>0.95</v>
      </c>
      <c r="J45" s="720"/>
      <c r="K45" s="24">
        <f t="shared" si="16"/>
        <v>1</v>
      </c>
      <c r="L45" s="720" t="s">
        <v>3125</v>
      </c>
      <c r="M45" s="24">
        <f t="shared" si="17"/>
        <v>1.05</v>
      </c>
      <c r="N45" s="720"/>
      <c r="O45" s="24">
        <f t="shared" si="18"/>
        <v>1</v>
      </c>
      <c r="P45" s="720"/>
      <c r="Q45" s="24">
        <f t="shared" si="19"/>
        <v>1</v>
      </c>
      <c r="R45" s="716">
        <f t="shared" ca="1" si="20"/>
        <v>4339</v>
      </c>
      <c r="S45" s="361">
        <f t="shared" ca="1" si="11"/>
        <v>136</v>
      </c>
    </row>
    <row r="46" spans="1:19">
      <c r="A46" s="159"/>
      <c r="B46" s="59">
        <v>137.76</v>
      </c>
      <c r="C46" s="24">
        <f t="shared" si="12"/>
        <v>0.99</v>
      </c>
      <c r="D46" s="2964"/>
      <c r="E46" s="24">
        <f t="shared" si="13"/>
        <v>1</v>
      </c>
      <c r="F46" s="720"/>
      <c r="G46" s="24">
        <f t="shared" si="14"/>
        <v>1</v>
      </c>
      <c r="H46" s="720" t="s">
        <v>3103</v>
      </c>
      <c r="I46" s="24">
        <f t="shared" si="15"/>
        <v>1</v>
      </c>
      <c r="J46" s="720"/>
      <c r="K46" s="24">
        <f t="shared" si="16"/>
        <v>1</v>
      </c>
      <c r="L46" s="720" t="s">
        <v>3125</v>
      </c>
      <c r="M46" s="24">
        <f t="shared" si="17"/>
        <v>1.05</v>
      </c>
      <c r="N46" s="720"/>
      <c r="O46" s="24">
        <f t="shared" si="18"/>
        <v>1</v>
      </c>
      <c r="P46" s="720"/>
      <c r="Q46" s="24">
        <f t="shared" si="19"/>
        <v>1</v>
      </c>
      <c r="R46" s="716">
        <f t="shared" ca="1" si="20"/>
        <v>4568</v>
      </c>
      <c r="S46" s="361">
        <f t="shared" ca="1" si="11"/>
        <v>63</v>
      </c>
    </row>
    <row r="47" spans="1:19">
      <c r="A47" s="159"/>
      <c r="B47" s="59"/>
      <c r="C47" s="24">
        <f t="shared" si="12"/>
        <v>1</v>
      </c>
      <c r="D47" s="2964"/>
      <c r="E47" s="24">
        <f t="shared" si="13"/>
        <v>1</v>
      </c>
      <c r="F47" s="720"/>
      <c r="G47" s="24">
        <f t="shared" si="14"/>
        <v>1</v>
      </c>
      <c r="H47" s="720"/>
      <c r="I47" s="24">
        <f t="shared" si="15"/>
        <v>0.05</v>
      </c>
      <c r="J47" s="720"/>
      <c r="K47" s="24">
        <f t="shared" si="16"/>
        <v>1</v>
      </c>
      <c r="L47" s="720"/>
      <c r="M47" s="24">
        <f t="shared" si="17"/>
        <v>0.2</v>
      </c>
      <c r="N47" s="720"/>
      <c r="O47" s="24">
        <f t="shared" si="18"/>
        <v>1</v>
      </c>
      <c r="P47" s="720"/>
      <c r="Q47" s="24">
        <f t="shared" si="19"/>
        <v>1</v>
      </c>
      <c r="R47" s="716">
        <f t="shared" si="20"/>
        <v>0</v>
      </c>
      <c r="S47" s="361">
        <f t="shared" si="11"/>
        <v>0</v>
      </c>
    </row>
    <row r="48" spans="1:19">
      <c r="A48" s="159"/>
      <c r="B48" s="59"/>
      <c r="C48" s="24">
        <f t="shared" si="12"/>
        <v>1</v>
      </c>
      <c r="D48" s="2964"/>
      <c r="E48" s="24">
        <f t="shared" si="13"/>
        <v>1</v>
      </c>
      <c r="F48" s="720"/>
      <c r="G48" s="24">
        <f t="shared" si="14"/>
        <v>1</v>
      </c>
      <c r="H48" s="720"/>
      <c r="I48" s="24">
        <f t="shared" si="15"/>
        <v>0.05</v>
      </c>
      <c r="J48" s="720"/>
      <c r="K48" s="24">
        <f t="shared" si="16"/>
        <v>1</v>
      </c>
      <c r="L48" s="720"/>
      <c r="M48" s="24">
        <f t="shared" si="17"/>
        <v>0.2</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0.2</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0.2</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0.2</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0.2</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0.2</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0.2</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0.2</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0.2</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0.2</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0.2</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0.2</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0.2</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0.2</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0.2</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0.2</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0.2</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0.2</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0.2</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0.2</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0.2</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0.2</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0.2</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0.2</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0.2</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0.2</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0.2</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0.2</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0.2</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0.2</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0.2</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0.2</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0.2</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0.2</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0.2</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0.2</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0.2</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0.2</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0.2</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0.2</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0.2</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0.2</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0.2</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0.2</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0.2</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0.2</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0.2</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0.2</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0.2</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0.2</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0.2</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0.2</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0.2</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0.2</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0.2</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0.2</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0.2</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0.2</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0.2</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0.2</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0.2</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0.2</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0.2</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0.2</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0.2</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0.2</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0.2</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0.2</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0.2</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0.2</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0.2</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0.2</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0.2</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0.2</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0.2</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0.2</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0.2</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0.2</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0.2</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0.2</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0.2</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0.2</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0.2</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0.2</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0.2</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0.2</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0.2</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0.2</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0.2</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0.2</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0.2</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0.2</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0.2</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0.2</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0.2</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0.2</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0.2</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0.2</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0.2</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0.2</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0.2</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0.2</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0.2</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0.2</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0.2</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0.2</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0.2</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0.2</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0.2</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0.2</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0.2</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0.2</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0.2</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0.2</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0.2</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0.2</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0.2</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0.2</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0.2</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0.2</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0.2</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0.2</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0.2</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0.2</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0.2</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0.2</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0.2</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0.2</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0.2</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0.2</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0.2</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0.2</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0.2</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0.2</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0.2</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0.2</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0.2</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0.2</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0.2</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0.2</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0.2</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0.2</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0.2</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0.2</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0.2</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0.2</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0.2</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0.2</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0.2</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0.2</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0.2</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0.2</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0.2</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0.2</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0.2</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0.2</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0.2</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0.2</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0.2</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0.2</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0.2</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0.2</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0.2</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0.2</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0.2</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0.2</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0.2</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0.2</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0.2</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0.2</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0.2</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0.2</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0.2</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0.2</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0.2</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0.2</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0.2</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0.2</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0.2</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0.2</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0.2</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0.2</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0.2</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0.2</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0.2</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0.2</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0.2</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0.2</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0.2</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0.2</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0.2</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0.2</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0.2</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0.2</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0.2</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0.2</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0.2</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0.2</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0.2</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0.2</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0.2</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0.2</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0.2</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0.2</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0.2</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0.2</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0.2</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0.2</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0.2</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0.2</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0.2</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0.2</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0.2</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0.2</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0.2</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0.2</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0.2</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0.2</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0.2</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0.2</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0.2</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0.2</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0.2</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0.2</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0.2</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0.2</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0.2</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0.2</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0.2</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0.2</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0.2</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0.2</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0.2</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0.2</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0.2</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0.2</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0.2</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0.2</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0.2</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0.2</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0.2</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0.2</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0.2</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0.2</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0.2</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0.2</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0.2</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0.2</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0.2</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0.2</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0.2</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0.2</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0.2</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0.2</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0.2</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0.2</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0.2</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0.2</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0.2</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0.2</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0.2</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0.2</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0.2</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0.2</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0.2</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0.2</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0.2</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0.2</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0.2</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0.2</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0.2</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0.2</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0.2</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0.2</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0.2</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0.2</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0.2</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0.2</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0.2</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0.2</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0.2</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0.2</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0.2</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0.2</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0.2</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0.2</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0.2</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0.2</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0.2</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0.2</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0.2</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0.2</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0.2</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0.2</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0.2</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0.2</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0.2</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0.2</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0.2</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0.2</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0.2</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0.2</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0.2</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0.2</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0.2</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0.2</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0.2</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0.2</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0.2</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0.2</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0.2</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0.2</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0.2</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0.2</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0.2</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0.2</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0.2</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0.2</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0.2</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0.2</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0.2</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0.2</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0.2</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0.2</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0.2</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0.2</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0.2</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0.2</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0.2</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0.2</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0.2</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0.2</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0.2</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0.2</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0.2</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0.2</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0.2</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0.2</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0.2</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0.2</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0.2</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0.2</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0.2</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0.2</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0.2</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0.2</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0.2</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0.2</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0.2</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0.2</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0.2</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0.2</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0.2</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0.2</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0.2</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0.2</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0.2</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0.2</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0.2</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0.2</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0.2</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0.2</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0.2</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0.2</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0.2</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0.2</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0.2</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0.2</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0.2</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0.2</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0.2</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0.2</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0.2</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0.2</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0.2</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0.2</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0.2</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0.2</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0.2</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0.2</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0.2</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0.2</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0.2</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0.2</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0.2</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0.2</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0.2</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0.2</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0.2</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0.2</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0.2</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0.2</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0.2</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0.2</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0.2</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0.2</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0.2</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0.2</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0.2</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0.2</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0.2</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0.2</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0.2</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0.2</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0.2</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0.2</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0.2</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0.2</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0.2</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0.2</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0.2</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0.2</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0.2</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0.2</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0.2</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0.2</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0.2</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0.2</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0.2</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0.2</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0.2</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0.2</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0.2</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0.2</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0.2</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0.2</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0.2</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0.2</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0.2</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0.2</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0.2</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0.2</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0.2</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0.2</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0.2</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0.2</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0.2</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0.2</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0.2</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0.2</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0.2</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0.2</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0.2</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0.2</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0.2</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0.2</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0.2</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0.2</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0.2</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0.2</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0.2</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0.2</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0.2</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0.2</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0.2</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0.2</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0.2</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0.2</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0.2</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0.2</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0.2</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0.2</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0.2</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0.2</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0.2</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0.2</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0.2</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0.2</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0.2</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0.2</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0.2</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0.2</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0.2</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0.2</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0.2</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0.2</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0.2</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1626</v>
      </c>
      <c r="C4" s="2970"/>
      <c r="D4" s="2970"/>
      <c r="E4" s="1961"/>
    </row>
    <row r="5" spans="1:5" ht="16.5" thickTop="1">
      <c r="A5" s="1959"/>
      <c r="B5" s="2968" t="s">
        <v>1618</v>
      </c>
      <c r="C5" s="1962" t="s">
        <v>1619</v>
      </c>
      <c r="D5" s="1043">
        <f ca="1">结果表!H101</f>
        <v>795</v>
      </c>
      <c r="E5" s="1959"/>
    </row>
    <row r="6" spans="1:5" ht="15.75">
      <c r="A6" s="1959"/>
      <c r="B6" s="2968"/>
      <c r="C6" s="1962" t="s">
        <v>1620</v>
      </c>
      <c r="D6" s="1043" t="str">
        <f ca="1">NUMBERSTRING(INT(D5*10000),2)&amp;"元整"</f>
        <v>柒佰玖拾伍万元整</v>
      </c>
      <c r="E6" s="1959"/>
    </row>
    <row r="7" spans="1:5" ht="15.75">
      <c r="A7" s="1959"/>
      <c r="B7" s="2973"/>
      <c r="C7" s="1963" t="s">
        <v>1621</v>
      </c>
      <c r="D7" s="1044">
        <f ca="1">结果表!H102</f>
        <v>4394</v>
      </c>
      <c r="E7" s="1959"/>
    </row>
    <row r="8" spans="1:5" ht="15.75">
      <c r="A8" s="1959"/>
      <c r="B8" s="2974" t="str">
        <f>结果表!E103</f>
        <v>2.估价师知悉的法定优先受偿款</v>
      </c>
      <c r="C8" s="1964" t="s">
        <v>1622</v>
      </c>
      <c r="D8" s="1044">
        <f>结果表!H103</f>
        <v>0</v>
      </c>
      <c r="E8" s="1959"/>
    </row>
    <row r="9" spans="1:5" ht="15.75">
      <c r="A9" s="1959"/>
      <c r="B9" s="2976"/>
      <c r="C9" s="1962" t="s">
        <v>1620</v>
      </c>
      <c r="D9" s="1043" t="str">
        <f>NUMBERSTRING(INT(D8*10000),2)&amp;"元整"</f>
        <v>零元整</v>
      </c>
      <c r="E9" s="1959"/>
    </row>
    <row r="10" spans="1:5" ht="15">
      <c r="A10" s="1959"/>
      <c r="B10" s="1965" t="s">
        <v>1625</v>
      </c>
      <c r="C10" s="1966" t="s">
        <v>1623</v>
      </c>
      <c r="D10" s="1045">
        <f>结果表!H104</f>
        <v>0</v>
      </c>
      <c r="E10" s="1959"/>
    </row>
    <row r="11" spans="1:5" ht="15">
      <c r="A11" s="1959"/>
      <c r="B11" s="1965" t="s">
        <v>1627</v>
      </c>
      <c r="C11" s="1966" t="s">
        <v>1628</v>
      </c>
      <c r="D11" s="1045">
        <f>结果表!H105</f>
        <v>0</v>
      </c>
      <c r="E11" s="1959"/>
    </row>
    <row r="12" spans="1:5" ht="15">
      <c r="A12" s="1959"/>
      <c r="B12" s="1965" t="s">
        <v>1629</v>
      </c>
      <c r="C12" s="1966" t="s">
        <v>1628</v>
      </c>
      <c r="D12" s="1045">
        <f>结果表!H106</f>
        <v>0</v>
      </c>
      <c r="E12" s="1959"/>
    </row>
    <row r="13" spans="1:5" ht="15.75">
      <c r="A13" s="1959"/>
      <c r="B13" s="2967" t="str">
        <f>结果表!E107</f>
        <v>3.房地产抵押价值</v>
      </c>
      <c r="C13" s="1967" t="s">
        <v>1619</v>
      </c>
      <c r="D13" s="1046">
        <f ca="1">结果表!H107</f>
        <v>795</v>
      </c>
      <c r="E13" s="1959"/>
    </row>
    <row r="14" spans="1:5" ht="15.75">
      <c r="A14" s="1959"/>
      <c r="B14" s="2968"/>
      <c r="C14" s="1962" t="s">
        <v>1620</v>
      </c>
      <c r="D14" s="1043" t="str">
        <f ca="1">NUMBERSTRING(INT(D13*10000),2)&amp;"元整"</f>
        <v>柒佰玖拾伍万元整</v>
      </c>
      <c r="E14" s="1959"/>
    </row>
    <row r="15" spans="1:5" ht="15">
      <c r="A15" s="1959"/>
      <c r="B15" s="2973"/>
      <c r="C15" s="1963" t="s">
        <v>1630</v>
      </c>
      <c r="D15" s="1055">
        <f ca="1">结果表!H108</f>
        <v>4394</v>
      </c>
      <c r="E15" s="1959"/>
    </row>
    <row r="16" spans="1:5" ht="15">
      <c r="A16" s="1959"/>
      <c r="B16" s="2974" t="str">
        <f>结果表!E109</f>
        <v>——</v>
      </c>
      <c r="C16" s="1967" t="s">
        <v>1631</v>
      </c>
      <c r="D16" s="1968" t="str">
        <f>结果表!H109</f>
        <v>——</v>
      </c>
      <c r="E16" s="1959"/>
    </row>
    <row r="17" spans="1:5" ht="15.75">
      <c r="A17" s="1959"/>
      <c r="B17" s="2975"/>
      <c r="C17" s="1962" t="s">
        <v>1632</v>
      </c>
      <c r="D17" s="1043" t="e">
        <f>NUMBERSTRING(INT(D16*10000),2)&amp;"元整"</f>
        <v>#VALUE!</v>
      </c>
      <c r="E17" s="1959"/>
    </row>
    <row r="18" spans="1:5" ht="15">
      <c r="A18" s="1959"/>
      <c r="B18" s="2976"/>
      <c r="C18" s="1963" t="s">
        <v>1621</v>
      </c>
      <c r="D18" s="1055" t="str">
        <f>结果表!H110</f>
        <v>——</v>
      </c>
      <c r="E18" s="1959"/>
    </row>
    <row r="19" spans="1:5" ht="15.75">
      <c r="A19" s="1959"/>
      <c r="B19" s="2967" t="str">
        <f>结果表!E111</f>
        <v>——</v>
      </c>
      <c r="C19" s="1967" t="s">
        <v>1619</v>
      </c>
      <c r="D19" s="1044" t="str">
        <f>结果表!H111</f>
        <v>——</v>
      </c>
      <c r="E19" s="1959"/>
    </row>
    <row r="20" spans="1:5" ht="15.75">
      <c r="A20" s="1959"/>
      <c r="B20" s="2968"/>
      <c r="C20" s="1962" t="s">
        <v>1632</v>
      </c>
      <c r="D20" s="1043" t="e">
        <f>NUMBERSTRING(INT(D19*10000),2)&amp;"元整"</f>
        <v>#VALUE!</v>
      </c>
      <c r="E20" s="1959"/>
    </row>
    <row r="21" spans="1:5" ht="15.75" thickBot="1">
      <c r="A21" s="1959"/>
      <c r="B21" s="2969"/>
      <c r="C21" s="1969" t="s">
        <v>1630</v>
      </c>
      <c r="D21" s="1056"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26368</v>
      </c>
      <c r="C2" s="2" t="s">
        <v>133</v>
      </c>
      <c r="D2" s="243"/>
      <c r="E2" s="243"/>
      <c r="F2" s="243"/>
      <c r="G2" s="243"/>
    </row>
    <row r="3" spans="1:7" s="244" customFormat="1" ht="18" customHeight="1" thickBot="1">
      <c r="A3" s="247" t="s">
        <v>85</v>
      </c>
      <c r="B3" s="248">
        <f ca="1">ROUND(B2*10000/'数据-汇总表'!E3,0)</f>
        <v>145731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27</v>
      </c>
      <c r="D10" s="1035">
        <f>'数据-汇总表'!E6</f>
        <v>1809.36</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v>
      </c>
      <c r="D19" s="1039">
        <f>'数据-汇总表'!E3</f>
        <v>1809.36</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2106</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2106</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26054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289</v>
      </c>
      <c r="D34" s="261"/>
      <c r="E34" s="264"/>
      <c r="F34" s="301">
        <f>IF('数据-取费表'!B24=0,1,'数据-取费表'!N16)</f>
        <v>1</v>
      </c>
      <c r="G34" s="263" t="s">
        <v>116</v>
      </c>
    </row>
    <row r="35" spans="1:7" ht="13.5" customHeight="1">
      <c r="A35" s="954" t="s">
        <v>796</v>
      </c>
      <c r="B35" s="259" t="s">
        <v>60</v>
      </c>
      <c r="C35" s="264">
        <f>ROUND(C34*F35,0)</f>
        <v>14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1809.36</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7</v>
      </c>
      <c r="D42" s="282"/>
      <c r="E42" s="282"/>
      <c r="F42" s="283"/>
      <c r="G42" s="3152" t="s">
        <v>121</v>
      </c>
    </row>
    <row r="43" spans="1:7" ht="13.5" customHeight="1">
      <c r="A43" s="954" t="s">
        <v>792</v>
      </c>
      <c r="B43" s="259" t="s">
        <v>1061</v>
      </c>
      <c r="C43" s="282">
        <f ca="1">ROUND(IF('数据-取费表'!B22&lt;=1,C39*F22*'数据-取费表'!B21/2,C39*(POWER((1+F22),'数据-取费表'!B21/2)-1)),0)</f>
        <v>0</v>
      </c>
      <c r="D43" s="282"/>
      <c r="E43" s="282"/>
      <c r="F43" s="283"/>
      <c r="G43" s="3153"/>
    </row>
    <row r="44" spans="1:7" ht="13.5" customHeight="1">
      <c r="A44" s="954" t="s">
        <v>793</v>
      </c>
      <c r="B44" s="259" t="s">
        <v>1063</v>
      </c>
      <c r="C44" s="282">
        <f ca="1">ROUND(IF('数据-取费表'!B22&lt;=1,C40*F22*'数据-取费表'!B21/2,C40*(POWER((1+F22),'数据-取费表'!B21/2)-1)),4)</f>
        <v>4.0000000000000002E-4</v>
      </c>
      <c r="D44" s="282"/>
      <c r="E44" s="282"/>
      <c r="F44" s="283"/>
      <c r="G44" s="3154"/>
    </row>
    <row r="45" spans="1:7" s="258" customFormat="1" ht="13.5" customHeight="1">
      <c r="A45" s="951" t="s">
        <v>786</v>
      </c>
      <c r="B45" s="288" t="s">
        <v>112</v>
      </c>
      <c r="C45" s="289">
        <f>C46</f>
        <v>35</v>
      </c>
      <c r="D45" s="279">
        <f>C47</f>
        <v>2E-3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424</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314</v>
      </c>
      <c r="D51" s="276"/>
      <c r="E51" s="276"/>
      <c r="F51" s="308"/>
      <c r="G51" s="278" t="s">
        <v>64</v>
      </c>
    </row>
    <row r="52" spans="1:7" s="252" customFormat="1" ht="16.5" thickBot="1">
      <c r="A52" s="309" t="s">
        <v>65</v>
      </c>
      <c r="B52" s="310"/>
      <c r="C52" s="311">
        <f ca="1">C31+C51</f>
        <v>26368</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7" t="s">
        <v>1634</v>
      </c>
      <c r="E3" s="1047" t="s">
        <v>1640</v>
      </c>
      <c r="F3" s="1047" t="s">
        <v>1634</v>
      </c>
      <c r="G3" s="1047" t="s">
        <v>1635</v>
      </c>
      <c r="H3" s="1047" t="s">
        <v>1634</v>
      </c>
      <c r="I3" s="1047" t="s">
        <v>1635</v>
      </c>
    </row>
    <row r="4" spans="1:9" ht="15">
      <c r="A4" s="1973" t="str">
        <f>项目基本情况!S2</f>
        <v>房地产</v>
      </c>
      <c r="B4" s="1047">
        <f>项目基本情况!C17</f>
        <v>1809.36</v>
      </c>
      <c r="C4" s="1047">
        <f>项目基本情况!C18</f>
        <v>424</v>
      </c>
      <c r="D4" s="1047">
        <f ca="1">结果表!D118</f>
        <v>795</v>
      </c>
      <c r="E4" s="1047">
        <f ca="1">结果表!E118</f>
        <v>4394</v>
      </c>
      <c r="F4" s="1047">
        <f ca="1">结果表!F118</f>
        <v>0</v>
      </c>
      <c r="G4" s="1047">
        <f ca="1">结果表!G118</f>
        <v>0</v>
      </c>
      <c r="H4" s="1047">
        <f ca="1">结果表!H118</f>
        <v>795</v>
      </c>
      <c r="I4" s="1047">
        <f ca="1">结果表!I118</f>
        <v>4394</v>
      </c>
    </row>
    <row r="5" spans="1:9" ht="30" customHeight="1">
      <c r="A5" s="2981" t="s">
        <v>1636</v>
      </c>
      <c r="B5" s="2981"/>
      <c r="C5" s="2981"/>
      <c r="D5" s="2982" t="str">
        <f ca="1">结果表!D119</f>
        <v>柒佰玖拾伍万元整</v>
      </c>
      <c r="E5" s="2982"/>
      <c r="F5" s="2982" t="str">
        <f ca="1">结果表!F119</f>
        <v>零元整</v>
      </c>
      <c r="G5" s="2982"/>
      <c r="H5" s="2982" t="str">
        <f ca="1">结果表!H119</f>
        <v>柒佰玖拾伍万元整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1636</v>
      </c>
      <c r="B7" s="2981"/>
      <c r="C7" s="2981"/>
      <c r="D7" s="2983" t="str">
        <f>结果表!D121</f>
        <v>零元整</v>
      </c>
      <c r="E7" s="2984"/>
      <c r="F7" s="2984"/>
      <c r="G7" s="2984"/>
      <c r="H7" s="2984"/>
      <c r="I7" s="2985"/>
    </row>
    <row r="8" spans="1:9" ht="15.75">
      <c r="A8" s="2980" t="str">
        <f>结果表!A122</f>
        <v>房地产抵押价值</v>
      </c>
      <c r="B8" s="2980"/>
      <c r="C8" s="2980"/>
      <c r="D8" s="2980">
        <f ca="1">结果表!D122</f>
        <v>795</v>
      </c>
      <c r="E8" s="2980"/>
      <c r="F8" s="2980"/>
      <c r="G8" s="2980"/>
      <c r="H8" s="2980"/>
      <c r="I8" s="2980"/>
    </row>
    <row r="9" spans="1:9" ht="15">
      <c r="A9" s="2981" t="s">
        <v>1636</v>
      </c>
      <c r="B9" s="2981"/>
      <c r="C9" s="2981"/>
      <c r="D9" s="2982" t="str">
        <f ca="1">结果表!D123</f>
        <v>柒佰玖拾伍万元整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1636</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4" t="s">
        <v>1658</v>
      </c>
      <c r="B1" s="2994"/>
      <c r="C1" s="2994"/>
      <c r="D1" s="2994"/>
    </row>
    <row r="2" spans="1:4" ht="18">
      <c r="A2" s="2995" t="s">
        <v>1642</v>
      </c>
      <c r="B2" s="2995"/>
      <c r="C2" s="2995"/>
      <c r="D2" s="2995"/>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5" t="s">
        <v>1648</v>
      </c>
      <c r="B6" s="2995"/>
      <c r="C6" s="2995"/>
      <c r="D6" s="299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6"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1652</v>
      </c>
      <c r="B16" s="2990"/>
      <c r="C16" s="2990"/>
      <c r="D16" s="2990"/>
    </row>
    <row r="17" spans="1:4" ht="144" customHeight="1">
      <c r="A17" s="2990" t="s">
        <v>1653</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2" t="s">
        <v>1665</v>
      </c>
      <c r="B15" s="2997" t="s">
        <v>136</v>
      </c>
      <c r="C15" s="2998"/>
    </row>
    <row r="16" spans="1:7" ht="13.5">
      <c r="A16" s="3003"/>
      <c r="B16" s="2997" t="s">
        <v>69</v>
      </c>
      <c r="C16" s="2998"/>
    </row>
    <row r="17" spans="1:3" ht="13.5">
      <c r="A17" s="3003"/>
      <c r="B17" s="3000" t="s">
        <v>1666</v>
      </c>
      <c r="C17" s="2000" t="s">
        <v>1665</v>
      </c>
    </row>
    <row r="18" spans="1:3" ht="13.5">
      <c r="A18" s="3003"/>
      <c r="B18" s="3000"/>
      <c r="C18" s="2000" t="s">
        <v>1667</v>
      </c>
    </row>
    <row r="19" spans="1:3" ht="13.5">
      <c r="A19" s="3003"/>
      <c r="B19" s="3000"/>
      <c r="C19" s="2000" t="s">
        <v>1668</v>
      </c>
    </row>
    <row r="20" spans="1:3" ht="13.5">
      <c r="A20" s="3004"/>
      <c r="B20" s="2999" t="s">
        <v>1669</v>
      </c>
      <c r="C20" s="2998"/>
    </row>
    <row r="21" spans="1:3" ht="13.5">
      <c r="A21" s="2001" t="s">
        <v>1670</v>
      </c>
      <c r="B21" s="2002"/>
      <c r="C21" s="2003"/>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0" t="s">
        <v>1676</v>
      </c>
    </row>
    <row r="26" spans="1:3" ht="13.5">
      <c r="A26" s="3001"/>
      <c r="B26" s="3000"/>
      <c r="C26" s="2000" t="s">
        <v>1677</v>
      </c>
    </row>
    <row r="27" spans="1:3" ht="13.5">
      <c r="A27" s="3001"/>
      <c r="B27" s="3000"/>
      <c r="C27" s="2000" t="s">
        <v>1678</v>
      </c>
    </row>
    <row r="28" spans="1:3" ht="13.5">
      <c r="A28" s="3001"/>
      <c r="B28" s="3000"/>
      <c r="C28" s="2000" t="s">
        <v>1679</v>
      </c>
    </row>
    <row r="29" spans="1:3" ht="13.5">
      <c r="A29" s="3001"/>
      <c r="B29" s="3000"/>
      <c r="C29" s="2000" t="s">
        <v>1680</v>
      </c>
    </row>
    <row r="30" spans="1:3" ht="13.5">
      <c r="A30" s="3001"/>
      <c r="B30" s="3000"/>
      <c r="C30" s="2000" t="s">
        <v>1681</v>
      </c>
    </row>
    <row r="31" spans="1:3" ht="13.5">
      <c r="A31" s="3001"/>
      <c r="B31" s="3000"/>
      <c r="C31" s="2000" t="s">
        <v>1682</v>
      </c>
    </row>
    <row r="32" spans="1:3" ht="13.5">
      <c r="A32" s="3001"/>
      <c r="B32" s="3000"/>
      <c r="C32" s="2000" t="s">
        <v>1683</v>
      </c>
    </row>
    <row r="33" spans="1:3" ht="13.5">
      <c r="A33" s="3001"/>
      <c r="B33" s="300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43570</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f ca="1">IF(C11&lt;B2,"已过期",1120100036)</f>
        <v>1120100036</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3042</v>
      </c>
      <c r="B14" s="1025">
        <f ca="1">IF(C14&lt;B2,"已过期",1120040230)</f>
        <v>1120040230</v>
      </c>
      <c r="C14" s="2348">
        <v>43835</v>
      </c>
      <c r="D14" s="2351" t="s">
        <v>3042</v>
      </c>
      <c r="E14" s="1025">
        <f ca="1">IF(F14&lt;B2,"已过期",98030020)</f>
        <v>98030020</v>
      </c>
      <c r="F14" s="1033">
        <v>47118</v>
      </c>
    </row>
    <row r="15" spans="1:6" ht="24" customHeight="1">
      <c r="A15" s="1704" t="s">
        <v>3043</v>
      </c>
      <c r="B15" s="1025">
        <f ca="1">IF(C15&lt;B2,"已过期",1120070085)</f>
        <v>1120070085</v>
      </c>
      <c r="C15" s="2348">
        <v>43814</v>
      </c>
      <c r="D15" s="2352" t="s">
        <v>3043</v>
      </c>
      <c r="E15" s="1025">
        <f ca="1">IF(F15&lt;B2,"已过期",2004110128)</f>
        <v>2004110128</v>
      </c>
      <c r="F15" s="1026">
        <v>47118</v>
      </c>
    </row>
    <row r="16" spans="1:6" ht="24" customHeight="1">
      <c r="A16" s="1703" t="s">
        <v>3044</v>
      </c>
      <c r="B16" s="1025">
        <f ca="1">IF(C16&lt;B2,"已过期",1120140022)</f>
        <v>1120140022</v>
      </c>
      <c r="C16" s="2939">
        <v>44029</v>
      </c>
      <c r="D16" s="2351" t="s">
        <v>3044</v>
      </c>
      <c r="E16" s="1025">
        <f ca="1">IF(F16&lt;B2,"已过期",2008110059)</f>
        <v>2008110059</v>
      </c>
      <c r="F16" s="1033">
        <v>47177</v>
      </c>
    </row>
    <row r="17" spans="1:7" ht="24" customHeight="1">
      <c r="A17" s="1703"/>
      <c r="B17" s="1025"/>
      <c r="C17" s="2348"/>
      <c r="D17" s="2351" t="s">
        <v>3045</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05" t="s">
        <v>843</v>
      </c>
      <c r="B25" s="3005"/>
      <c r="C25" s="3005"/>
      <c r="D25" s="3005"/>
      <c r="E25" s="3005"/>
      <c r="F25" s="3005"/>
      <c r="G25" s="3005"/>
    </row>
    <row r="26" spans="1:7" s="1028" customFormat="1" ht="24" customHeight="1">
      <c r="A26" s="3006" t="s">
        <v>844</v>
      </c>
      <c r="B26" s="3006"/>
      <c r="C26" s="3007"/>
      <c r="D26" s="3008" t="s">
        <v>845</v>
      </c>
      <c r="E26" s="3006"/>
      <c r="F26" s="3006"/>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2019-04-15T01:34:51Z</dcterms:modified>
</cp:coreProperties>
</file>