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京精医疗\"/>
    </mc:Choice>
  </mc:AlternateContent>
  <xr:revisionPtr revIDLastSave="0" documentId="13_ncr:1_{606CADF2-801B-4D90-B974-751271B04E29}"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9" i="1" l="1"/>
  <c r="C6" i="68"/>
  <c r="N19" i="1"/>
  <c r="N6" i="1" l="1"/>
  <c r="K13" i="3"/>
  <c r="I13" i="3" l="1"/>
  <c r="F66" i="40" l="1"/>
  <c r="G66" i="40" s="1"/>
  <c r="H66" i="40" s="1"/>
  <c r="I66" i="40" s="1"/>
  <c r="J66" i="40" s="1"/>
  <c r="K66" i="40" s="1"/>
  <c r="L66" i="40" s="1"/>
  <c r="M66" i="40" s="1"/>
  <c r="E66" i="40"/>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N14" i="1" l="1"/>
  <c r="Y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C10"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E60" i="71" s="1"/>
  <c r="E61" i="71" s="1"/>
  <c r="U61" i="71" s="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C51" i="71"/>
  <c r="Q50" i="71"/>
  <c r="F51" i="71" s="1"/>
  <c r="P50" i="71"/>
  <c r="E51" i="71" s="1"/>
  <c r="E52" i="71" s="1"/>
  <c r="E53" i="71" s="1"/>
  <c r="U53" i="71" s="1"/>
  <c r="O50" i="71"/>
  <c r="N50" i="71"/>
  <c r="B51" i="71" s="1"/>
  <c r="B52" i="71" s="1"/>
  <c r="B53" i="7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c r="O36" i="71"/>
  <c r="Y36" i="71"/>
  <c r="Z36" i="71" s="1"/>
  <c r="N36" i="71"/>
  <c r="X36" i="71" s="1"/>
  <c r="Q35" i="71"/>
  <c r="P35" i="71"/>
  <c r="AA35" i="71" s="1"/>
  <c r="O35" i="71"/>
  <c r="N35" i="71"/>
  <c r="Q34" i="71"/>
  <c r="F35" i="71" s="1"/>
  <c r="P34" i="71"/>
  <c r="O34" i="71"/>
  <c r="N34" i="71"/>
  <c r="D34" i="71"/>
  <c r="Q33" i="71"/>
  <c r="AB33" i="71" s="1"/>
  <c r="P33" i="71"/>
  <c r="O33" i="71"/>
  <c r="N33" i="71"/>
  <c r="Q32" i="71"/>
  <c r="P32" i="71"/>
  <c r="O32" i="71"/>
  <c r="N32" i="71"/>
  <c r="X32" i="71" s="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N65" i="71"/>
  <c r="C31" i="71"/>
  <c r="D31" i="71" s="1"/>
  <c r="C35" i="71"/>
  <c r="D35" i="71" s="1"/>
  <c r="P25" i="71"/>
  <c r="Q25" i="71"/>
  <c r="C64" i="71"/>
  <c r="C63" i="71" s="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B55" i="43"/>
  <c r="B66" i="43"/>
  <c r="C29" i="39"/>
  <c r="F94" i="40"/>
  <c r="H25" i="40"/>
  <c r="AB25" i="40" s="1"/>
  <c r="G94" i="40"/>
  <c r="J25" i="40"/>
  <c r="AC25" i="40" s="1"/>
  <c r="H29" i="39"/>
  <c r="J29" i="39"/>
  <c r="AC29" i="39" s="1"/>
  <c r="J18" i="36"/>
  <c r="AC18" i="36" s="1"/>
  <c r="H18" i="35"/>
  <c r="AB18" i="35" s="1"/>
  <c r="S18" i="35"/>
  <c r="J18" i="35"/>
  <c r="AC18" i="35" s="1"/>
  <c r="H21" i="37"/>
  <c r="F21" i="37"/>
  <c r="H21" i="34"/>
  <c r="AB21" i="34" s="1"/>
  <c r="H21" i="33"/>
  <c r="U21" i="33" s="1"/>
  <c r="F21" i="33"/>
  <c r="E83" i="21"/>
  <c r="F83" i="21" s="1"/>
  <c r="G83" i="21" s="1"/>
  <c r="H1" i="69"/>
  <c r="W29" i="39"/>
  <c r="W18" i="36"/>
  <c r="AA21" i="33"/>
  <c r="S21" i="33"/>
  <c r="U18" i="35"/>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M108"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c r="K81" i="43"/>
  <c r="J81" i="43" s="1"/>
  <c r="M78" i="43"/>
  <c r="N78" i="43"/>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c r="M66" i="43"/>
  <c r="N66" i="43"/>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c r="K52" i="43"/>
  <c r="J52" i="43" s="1"/>
  <c r="D52" i="43"/>
  <c r="M51" i="43"/>
  <c r="N51" i="43" s="1"/>
  <c r="K51" i="43"/>
  <c r="J51" i="43"/>
  <c r="D51" i="43"/>
  <c r="M50" i="43"/>
  <c r="N50" i="43"/>
  <c r="K50" i="43"/>
  <c r="J50" i="43"/>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A85" i="3" s="1"/>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L73" i="3" s="1"/>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A26" i="3" s="1"/>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A23" i="3" s="1"/>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A18" i="3" s="1"/>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L174" i="3" s="1"/>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L268" i="3" s="1"/>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L246" i="3" s="1"/>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L396" i="3" s="1"/>
  <c r="BR396" i="3"/>
  <c r="BQ396" i="3"/>
  <c r="BP396" i="3"/>
  <c r="BO396" i="3"/>
  <c r="BN396" i="3"/>
  <c r="BM396" i="3"/>
  <c r="BK396" i="3"/>
  <c r="BJ396" i="3"/>
  <c r="BI396" i="3"/>
  <c r="BH396" i="3"/>
  <c r="BG396" i="3"/>
  <c r="BA396" i="3" s="1"/>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A358" i="3" s="1"/>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A474" i="3" s="1"/>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L470" i="3" s="1"/>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L441" i="3" s="1"/>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L426" i="3" s="1"/>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A423" i="3" s="1"/>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A416" i="3" s="1"/>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L404" i="3" s="1"/>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A398" i="3" s="1"/>
  <c r="AZ398" i="3" s="1"/>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A495" i="3" s="1"/>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AC497" i="3"/>
  <c r="BB497" i="3"/>
  <c r="BC497" i="3"/>
  <c r="BD497" i="3"/>
  <c r="BD5" i="3" s="1"/>
  <c r="BE497" i="3"/>
  <c r="BF497" i="3"/>
  <c r="BG497" i="3"/>
  <c r="BH497" i="3"/>
  <c r="BI497" i="3"/>
  <c r="BJ497" i="3"/>
  <c r="BK497" i="3"/>
  <c r="BM497" i="3"/>
  <c r="BN497" i="3"/>
  <c r="BO497" i="3"/>
  <c r="BP497" i="3"/>
  <c r="BR497" i="3"/>
  <c r="BR5" i="3" s="1"/>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L500" i="3" s="1"/>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A503" i="3" s="1"/>
  <c r="AZ503" i="3" s="1"/>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A506" i="3" s="1"/>
  <c r="AZ506" i="3" s="1"/>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A508" i="3" s="1"/>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K5" i="3" s="1"/>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L510" i="3" s="1"/>
  <c r="AZ510" i="3" s="1"/>
  <c r="BR510" i="3"/>
  <c r="BS510" i="3"/>
  <c r="BT510" i="3"/>
  <c r="H511" i="3"/>
  <c r="AC511" i="3"/>
  <c r="BB511" i="3"/>
  <c r="BC511" i="3"/>
  <c r="BD511" i="3"/>
  <c r="BE511" i="3"/>
  <c r="BF511" i="3"/>
  <c r="BG511" i="3"/>
  <c r="BH511" i="3"/>
  <c r="BA511" i="3" s="1"/>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AZ512" i="3" s="1"/>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A514" i="3" s="1"/>
  <c r="AZ514" i="3" s="1"/>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s="1"/>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A517" i="3" s="1"/>
  <c r="AZ517" i="3" s="1"/>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L518" i="3" s="1"/>
  <c r="BR518" i="3"/>
  <c r="BS518" i="3"/>
  <c r="BT518" i="3"/>
  <c r="H519" i="3"/>
  <c r="AC519" i="3"/>
  <c r="BB519" i="3"/>
  <c r="BC519" i="3"/>
  <c r="BD519" i="3"/>
  <c r="BE519" i="3"/>
  <c r="BF519" i="3"/>
  <c r="BG519" i="3"/>
  <c r="BH519" i="3"/>
  <c r="BA519" i="3" s="1"/>
  <c r="AZ519" i="3" s="1"/>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A522" i="3" s="1"/>
  <c r="AZ522" i="3" s="1"/>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AZ524" i="3" s="1"/>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A527" i="3" s="1"/>
  <c r="AZ527" i="3" s="1"/>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AZ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L529" i="3" s="1"/>
  <c r="BT529" i="3"/>
  <c r="H530" i="3"/>
  <c r="AC530" i="3"/>
  <c r="BB530" i="3"/>
  <c r="BC530" i="3"/>
  <c r="BD530" i="3"/>
  <c r="BE530" i="3"/>
  <c r="BF530" i="3"/>
  <c r="BG530" i="3"/>
  <c r="BH530" i="3"/>
  <c r="BI530" i="3"/>
  <c r="BJ530" i="3"/>
  <c r="BA530" i="3" s="1"/>
  <c r="AZ530" i="3" s="1"/>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A533" i="3" s="1"/>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E535" i="3"/>
  <c r="BF535" i="3"/>
  <c r="BG535" i="3"/>
  <c r="BH535" i="3"/>
  <c r="BA535" i="3" s="1"/>
  <c r="AZ535" i="3" s="1"/>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A538" i="3" s="1"/>
  <c r="AZ538" i="3" s="1"/>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AZ540" i="3" s="1"/>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A541" i="3" s="1"/>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A560" i="3" s="1"/>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W31" i="35"/>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c r="Q36" i="40"/>
  <c r="Z36" i="40" s="1"/>
  <c r="Q35" i="40"/>
  <c r="Z35" i="40"/>
  <c r="Q34" i="40"/>
  <c r="Z34" i="40"/>
  <c r="J34" i="40"/>
  <c r="AC34" i="40" s="1"/>
  <c r="H34" i="40"/>
  <c r="F34" i="40"/>
  <c r="AA34" i="40" s="1"/>
  <c r="Q33" i="40"/>
  <c r="Z33" i="40" s="1"/>
  <c r="Q32" i="40"/>
  <c r="Z32" i="40" s="1"/>
  <c r="Q31" i="40"/>
  <c r="Z31" i="40"/>
  <c r="Q30" i="40"/>
  <c r="Z30" i="40" s="1"/>
  <c r="Q28" i="40"/>
  <c r="Z28" i="40"/>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H26" i="37" s="1"/>
  <c r="D79" i="37"/>
  <c r="E79" i="37" s="1"/>
  <c r="D75" i="37"/>
  <c r="E75" i="37" s="1"/>
  <c r="D73" i="37"/>
  <c r="E73" i="37" s="1"/>
  <c r="F73" i="37" s="1"/>
  <c r="G73" i="37" s="1"/>
  <c r="D71" i="37"/>
  <c r="H15" i="37"/>
  <c r="AB15" i="37" s="1"/>
  <c r="B68" i="37"/>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c r="H30" i="37"/>
  <c r="AB30" i="37" s="1"/>
  <c r="F30" i="37"/>
  <c r="AA30" i="37" s="1"/>
  <c r="Q29" i="37"/>
  <c r="Z29" i="37"/>
  <c r="H29" i="37"/>
  <c r="AB29" i="37" s="1"/>
  <c r="Q28" i="37"/>
  <c r="Z28" i="37" s="1"/>
  <c r="Q27" i="37"/>
  <c r="Z27" i="37"/>
  <c r="Q26" i="37"/>
  <c r="Z26" i="37"/>
  <c r="J26" i="37"/>
  <c r="AC26" i="37" s="1"/>
  <c r="AB26" i="37"/>
  <c r="F26" i="37"/>
  <c r="AA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c r="J8" i="37"/>
  <c r="W8" i="37"/>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c r="J9" i="36"/>
  <c r="AC9" i="36" s="1"/>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AB36" i="35" s="1"/>
  <c r="B99" i="35"/>
  <c r="B97" i="35"/>
  <c r="H34" i="35" s="1"/>
  <c r="B77" i="35"/>
  <c r="B75" i="35"/>
  <c r="J24" i="35" s="1"/>
  <c r="AC24" i="35" s="1"/>
  <c r="B73" i="35"/>
  <c r="B57" i="35"/>
  <c r="B61" i="35"/>
  <c r="B59" i="35"/>
  <c r="F12" i="35" s="1"/>
  <c r="B131" i="34"/>
  <c r="B129" i="34"/>
  <c r="B127" i="34"/>
  <c r="B99" i="34"/>
  <c r="F32" i="34" s="1"/>
  <c r="B97" i="34"/>
  <c r="B95" i="34"/>
  <c r="H30" i="34" s="1"/>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W34" i="35" s="1"/>
  <c r="Q33" i="35"/>
  <c r="Z33" i="35" s="1"/>
  <c r="Q32" i="35"/>
  <c r="Z32" i="35" s="1"/>
  <c r="H32" i="35"/>
  <c r="AB32" i="35" s="1"/>
  <c r="F32" i="35"/>
  <c r="AA32" i="35" s="1"/>
  <c r="Q31" i="35"/>
  <c r="Z31" i="35" s="1"/>
  <c r="Q30" i="35"/>
  <c r="Z30" i="35"/>
  <c r="Q29" i="35"/>
  <c r="Z29" i="35"/>
  <c r="Q28" i="35"/>
  <c r="Z28" i="35"/>
  <c r="J28" i="35"/>
  <c r="H28" i="35"/>
  <c r="AB28" i="35"/>
  <c r="F28" i="35"/>
  <c r="AA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U33" i="33" s="1"/>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c r="G15" i="20"/>
  <c r="B81" i="43"/>
  <c r="C24" i="20"/>
  <c r="B73" i="43" s="1"/>
  <c r="C21" i="20"/>
  <c r="C20" i="20"/>
  <c r="B77" i="43" s="1"/>
  <c r="C18" i="20"/>
  <c r="C17" i="20"/>
  <c r="B59" i="43" s="1"/>
  <c r="C16" i="20"/>
  <c r="C17" i="39" s="1"/>
  <c r="C15" i="20"/>
  <c r="C15" i="39" s="1"/>
  <c r="E54" i="21"/>
  <c r="F54" i="21"/>
  <c r="I54" i="21"/>
  <c r="J54" i="21"/>
  <c r="G54" i="21"/>
  <c r="H54" i="21" s="1"/>
  <c r="D125" i="21"/>
  <c r="E125" i="2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F46" i="21" s="1"/>
  <c r="B128" i="21"/>
  <c r="J45" i="21" s="1"/>
  <c r="W45" i="21" s="1"/>
  <c r="B126" i="21"/>
  <c r="H44" i="21" s="1"/>
  <c r="U44" i="21" s="1"/>
  <c r="B98" i="21"/>
  <c r="H31" i="21"/>
  <c r="B96" i="2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F45" i="39"/>
  <c r="S45" i="39" s="1"/>
  <c r="J44" i="39"/>
  <c r="AC44" i="39" s="1"/>
  <c r="F36" i="39"/>
  <c r="S36" i="39" s="1"/>
  <c r="H36" i="39"/>
  <c r="AB36" i="39"/>
  <c r="J35" i="39"/>
  <c r="AC35" i="39" s="1"/>
  <c r="F35" i="39"/>
  <c r="J36" i="39"/>
  <c r="AC36" i="39"/>
  <c r="U9" i="39"/>
  <c r="U30" i="37"/>
  <c r="F103" i="37"/>
  <c r="G103" i="37" s="1"/>
  <c r="H103" i="37" s="1"/>
  <c r="I103" i="37" s="1"/>
  <c r="J103" i="37" s="1"/>
  <c r="K103" i="37" s="1"/>
  <c r="L103" i="37" s="1"/>
  <c r="M103" i="37" s="1"/>
  <c r="F39" i="37"/>
  <c r="S39" i="37" s="1"/>
  <c r="F29" i="36"/>
  <c r="AA29" i="36" s="1"/>
  <c r="F16" i="36"/>
  <c r="AA16" i="36" s="1"/>
  <c r="U9" i="36"/>
  <c r="S30" i="36"/>
  <c r="W31" i="36"/>
  <c r="U31" i="36"/>
  <c r="J33" i="36"/>
  <c r="W33" i="36" s="1"/>
  <c r="H22" i="35"/>
  <c r="AB22" i="35" s="1"/>
  <c r="AC27" i="35"/>
  <c r="U31" i="35"/>
  <c r="W22" i="35"/>
  <c r="F36" i="34"/>
  <c r="J35" i="34"/>
  <c r="H39" i="33"/>
  <c r="AB39" i="33" s="1"/>
  <c r="H39" i="37"/>
  <c r="AB39" i="37"/>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F21" i="40"/>
  <c r="AA21" i="40" s="1"/>
  <c r="J21" i="40"/>
  <c r="W21" i="40" s="1"/>
  <c r="H42" i="39"/>
  <c r="AB42" i="39" s="1"/>
  <c r="J34" i="39"/>
  <c r="AC34" i="39" s="1"/>
  <c r="J31" i="39"/>
  <c r="F100" i="39"/>
  <c r="H27" i="39"/>
  <c r="U27" i="39" s="1"/>
  <c r="J19" i="39"/>
  <c r="AC19" i="39" s="1"/>
  <c r="J17" i="39"/>
  <c r="J27" i="39"/>
  <c r="AC27" i="39" s="1"/>
  <c r="F27" i="39"/>
  <c r="AA27" i="39" s="1"/>
  <c r="F11" i="21"/>
  <c r="S11" i="21"/>
  <c r="S40" i="21"/>
  <c r="U34" i="21"/>
  <c r="C25" i="39"/>
  <c r="H11" i="39"/>
  <c r="S40" i="39"/>
  <c r="H32" i="33"/>
  <c r="AB32" i="33" s="1"/>
  <c r="H11" i="21"/>
  <c r="U11" i="21"/>
  <c r="J11" i="21"/>
  <c r="W11" i="21" s="1"/>
  <c r="H37" i="40"/>
  <c r="U37" i="40" s="1"/>
  <c r="H36" i="40"/>
  <c r="AB36" i="40" s="1"/>
  <c r="F35" i="40"/>
  <c r="AA35" i="40" s="1"/>
  <c r="H17" i="40"/>
  <c r="U17" i="40" s="1"/>
  <c r="AB8" i="39"/>
  <c r="F37" i="39"/>
  <c r="AA37" i="39"/>
  <c r="J34" i="36"/>
  <c r="W34" i="36" s="1"/>
  <c r="U30" i="36"/>
  <c r="J30" i="35"/>
  <c r="W30" i="35"/>
  <c r="H30" i="35"/>
  <c r="AB30" i="35"/>
  <c r="F22" i="35"/>
  <c r="AA22" i="35" s="1"/>
  <c r="H10" i="35"/>
  <c r="U10" i="35" s="1"/>
  <c r="AC16" i="36"/>
  <c r="F33" i="36"/>
  <c r="AA33" i="36" s="1"/>
  <c r="W30" i="36"/>
  <c r="H16" i="36"/>
  <c r="AB16" i="36"/>
  <c r="E85" i="36"/>
  <c r="F85" i="36" s="1"/>
  <c r="G85" i="36" s="1"/>
  <c r="H85" i="36" s="1"/>
  <c r="I85" i="36" s="1"/>
  <c r="J85" i="36" s="1"/>
  <c r="K85" i="36" s="1"/>
  <c r="L85" i="36" s="1"/>
  <c r="M85"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s="1"/>
  <c r="U42" i="34"/>
  <c r="H40" i="34"/>
  <c r="U40" i="34"/>
  <c r="E114" i="34"/>
  <c r="F114" i="34" s="1"/>
  <c r="G114" i="34" s="1"/>
  <c r="H36" i="34"/>
  <c r="U36" i="34"/>
  <c r="F37" i="34"/>
  <c r="AA37" i="34" s="1"/>
  <c r="S35" i="34"/>
  <c r="F27" i="34"/>
  <c r="AA27" i="34" s="1"/>
  <c r="F25" i="34"/>
  <c r="S25" i="34" s="1"/>
  <c r="H23" i="34"/>
  <c r="U23" i="34" s="1"/>
  <c r="J23" i="34"/>
  <c r="F19" i="34"/>
  <c r="H17" i="34"/>
  <c r="U17" i="34"/>
  <c r="F15" i="34"/>
  <c r="AA15" i="34" s="1"/>
  <c r="J15" i="34"/>
  <c r="H15" i="34"/>
  <c r="AB15" i="34" s="1"/>
  <c r="S9" i="34"/>
  <c r="W8" i="34"/>
  <c r="F41" i="33"/>
  <c r="AA41" i="33" s="1"/>
  <c r="S38" i="33"/>
  <c r="E113" i="33"/>
  <c r="F113" i="33" s="1"/>
  <c r="F32" i="33"/>
  <c r="AA32" i="33"/>
  <c r="J19" i="33"/>
  <c r="AC19" i="33"/>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U33" i="35"/>
  <c r="F29" i="35"/>
  <c r="S29" i="35"/>
  <c r="H29" i="35"/>
  <c r="AB29" i="35"/>
  <c r="H33" i="37"/>
  <c r="AB33" i="37" s="1"/>
  <c r="F33" i="37"/>
  <c r="AA33" i="37" s="1"/>
  <c r="U34" i="37"/>
  <c r="W33" i="37"/>
  <c r="S34" i="37"/>
  <c r="AA34" i="37"/>
  <c r="J43" i="34"/>
  <c r="AB42" i="34"/>
  <c r="J40" i="34"/>
  <c r="H114" i="34"/>
  <c r="I114" i="34" s="1"/>
  <c r="J114" i="34" s="1"/>
  <c r="K114" i="34" s="1"/>
  <c r="L114" i="34" s="1"/>
  <c r="M114" i="34" s="1"/>
  <c r="H38" i="34"/>
  <c r="U38" i="34" s="1"/>
  <c r="AB38" i="34"/>
  <c r="J36" i="34"/>
  <c r="H37" i="34"/>
  <c r="U37" i="34" s="1"/>
  <c r="H25" i="34"/>
  <c r="AB25" i="34"/>
  <c r="J25" i="34"/>
  <c r="AC25" i="34" s="1"/>
  <c r="F23" i="34"/>
  <c r="AA23" i="34"/>
  <c r="J19" i="34"/>
  <c r="AC19" i="34"/>
  <c r="F17" i="34"/>
  <c r="AA17" i="34" s="1"/>
  <c r="J17" i="34"/>
  <c r="W17" i="34" s="1"/>
  <c r="AB17" i="34"/>
  <c r="S15" i="34"/>
  <c r="S41" i="33"/>
  <c r="G113" i="33"/>
  <c r="H113" i="33" s="1"/>
  <c r="I113" i="33" s="1"/>
  <c r="J113" i="33" s="1"/>
  <c r="K113" i="33" s="1"/>
  <c r="L113" i="33" s="1"/>
  <c r="M113" i="33" s="1"/>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c r="H28" i="21"/>
  <c r="AB28" i="21" s="1"/>
  <c r="F28" i="21"/>
  <c r="AA28" i="21" s="1"/>
  <c r="W28" i="21"/>
  <c r="H30" i="21"/>
  <c r="U30" i="21" s="1"/>
  <c r="F30" i="21"/>
  <c r="S30" i="21"/>
  <c r="J30" i="21"/>
  <c r="AC30" i="21"/>
  <c r="H46" i="21"/>
  <c r="U46" i="21" s="1"/>
  <c r="J46" i="21"/>
  <c r="W46" i="21" s="1"/>
  <c r="AA46" i="21"/>
  <c r="E119" i="21"/>
  <c r="F119" i="21" s="1"/>
  <c r="G119" i="21" s="1"/>
  <c r="H119" i="21" s="1"/>
  <c r="I119" i="21" s="1"/>
  <c r="J119" i="21" s="1"/>
  <c r="K119" i="21" s="1"/>
  <c r="L119" i="21" s="1"/>
  <c r="M119" i="21" s="1"/>
  <c r="H26" i="33"/>
  <c r="U26" i="33" s="1"/>
  <c r="H28" i="33"/>
  <c r="U28" i="33" s="1"/>
  <c r="F28" i="33"/>
  <c r="AA28" i="33"/>
  <c r="J28" i="33"/>
  <c r="W28" i="33" s="1"/>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J31" i="21"/>
  <c r="AC31" i="21"/>
  <c r="F31" i="21"/>
  <c r="S31" i="21" s="1"/>
  <c r="F45" i="21"/>
  <c r="AA45" i="21" s="1"/>
  <c r="F27" i="33"/>
  <c r="AA27" i="33" s="1"/>
  <c r="J13" i="33"/>
  <c r="H13" i="33"/>
  <c r="F13" i="33"/>
  <c r="J29" i="33"/>
  <c r="AC29" i="33"/>
  <c r="H29" i="33"/>
  <c r="U29" i="33" s="1"/>
  <c r="F29" i="33"/>
  <c r="S29" i="33" s="1"/>
  <c r="J31" i="33"/>
  <c r="W31" i="33" s="1"/>
  <c r="H31" i="33"/>
  <c r="AB31" i="33" s="1"/>
  <c r="F31" i="33"/>
  <c r="H45" i="33"/>
  <c r="AB45" i="33" s="1"/>
  <c r="U45" i="33"/>
  <c r="J45" i="33"/>
  <c r="F45" i="33"/>
  <c r="AA45" i="33" s="1"/>
  <c r="J14" i="34"/>
  <c r="W14" i="34" s="1"/>
  <c r="F14" i="34"/>
  <c r="S14" i="34" s="1"/>
  <c r="H14" i="34"/>
  <c r="F30" i="34"/>
  <c r="J30" i="34"/>
  <c r="AC30" i="34" s="1"/>
  <c r="W30" i="34"/>
  <c r="H32" i="34"/>
  <c r="J32" i="34"/>
  <c r="W32" i="34" s="1"/>
  <c r="H46" i="34"/>
  <c r="AB46" i="34" s="1"/>
  <c r="U46" i="34"/>
  <c r="F46" i="34"/>
  <c r="S46" i="34" s="1"/>
  <c r="J46" i="34"/>
  <c r="H11" i="35"/>
  <c r="AB11" i="35" s="1"/>
  <c r="J11" i="35"/>
  <c r="W11" i="35" s="1"/>
  <c r="AC11" i="35"/>
  <c r="F11" i="35"/>
  <c r="J26" i="36"/>
  <c r="W26" i="36" s="1"/>
  <c r="H28" i="36"/>
  <c r="U28" i="36"/>
  <c r="H32" i="36"/>
  <c r="AB32" i="36"/>
  <c r="J32" i="36"/>
  <c r="W32" i="36" s="1"/>
  <c r="J11"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S14" i="33"/>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c r="H45" i="34"/>
  <c r="U45" i="34"/>
  <c r="J45" i="34"/>
  <c r="W45" i="34" s="1"/>
  <c r="F45" i="34"/>
  <c r="S45" i="34" s="1"/>
  <c r="H47" i="34"/>
  <c r="U47" i="34" s="1"/>
  <c r="F47" i="34"/>
  <c r="S47" i="34" s="1"/>
  <c r="J47" i="34"/>
  <c r="AC47" i="34"/>
  <c r="F13" i="35"/>
  <c r="S13" i="35"/>
  <c r="J13" i="35"/>
  <c r="AC13" i="35"/>
  <c r="H13" i="35"/>
  <c r="U13" i="35" s="1"/>
  <c r="J25" i="35"/>
  <c r="W25" i="35" s="1"/>
  <c r="F25" i="35"/>
  <c r="S25" i="35" s="1"/>
  <c r="H25" i="35"/>
  <c r="AB25" i="35"/>
  <c r="J35" i="35"/>
  <c r="AC35" i="35"/>
  <c r="F35" i="35"/>
  <c r="AA35" i="35" s="1"/>
  <c r="H35" i="35"/>
  <c r="J25" i="36"/>
  <c r="W25" i="36" s="1"/>
  <c r="F25" i="36"/>
  <c r="S25" i="36" s="1"/>
  <c r="H25" i="36"/>
  <c r="AB25" i="36"/>
  <c r="AB13" i="37"/>
  <c r="F13" i="37"/>
  <c r="S13" i="37"/>
  <c r="J13" i="37"/>
  <c r="F28" i="37"/>
  <c r="AA28" i="37" s="1"/>
  <c r="J28" i="37"/>
  <c r="AC28" i="37" s="1"/>
  <c r="H28" i="37"/>
  <c r="U28" i="37"/>
  <c r="H38" i="37"/>
  <c r="AB38" i="37"/>
  <c r="J38" i="37"/>
  <c r="AC38" i="37" s="1"/>
  <c r="F38" i="37"/>
  <c r="S38" i="37" s="1"/>
  <c r="F43" i="39"/>
  <c r="AA43" i="39" s="1"/>
  <c r="H43" i="39"/>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27" i="37"/>
  <c r="AC27" i="37"/>
  <c r="AA13" i="35"/>
  <c r="U31" i="34"/>
  <c r="J36" i="37"/>
  <c r="G105" i="37"/>
  <c r="J10" i="36"/>
  <c r="AC10" i="36" s="1"/>
  <c r="AA14" i="37"/>
  <c r="S11" i="36"/>
  <c r="U31" i="33"/>
  <c r="W29" i="33"/>
  <c r="AC28" i="21"/>
  <c r="F17" i="21"/>
  <c r="AA17" i="21" s="1"/>
  <c r="H17" i="21"/>
  <c r="AB17" i="21" s="1"/>
  <c r="F15" i="21"/>
  <c r="S15" i="21" s="1"/>
  <c r="AB11" i="21"/>
  <c r="J41" i="39"/>
  <c r="W41" i="39" s="1"/>
  <c r="W44" i="39"/>
  <c r="W36" i="39"/>
  <c r="W35" i="39"/>
  <c r="U36" i="39"/>
  <c r="G544" i="3"/>
  <c r="G540" i="3"/>
  <c r="G535" i="3"/>
  <c r="G532" i="3"/>
  <c r="G531" i="3"/>
  <c r="G527" i="3"/>
  <c r="G523" i="3"/>
  <c r="G518" i="3"/>
  <c r="G514" i="3"/>
  <c r="G510" i="3"/>
  <c r="G508" i="3"/>
  <c r="G500" i="3"/>
  <c r="G580" i="3"/>
  <c r="G576" i="3"/>
  <c r="G572" i="3"/>
  <c r="G568" i="3"/>
  <c r="G564" i="3"/>
  <c r="G554" i="3"/>
  <c r="G550" i="3"/>
  <c r="BL572" i="3"/>
  <c r="BL568" i="3"/>
  <c r="BL554" i="3"/>
  <c r="BL546" i="3"/>
  <c r="BL542" i="3"/>
  <c r="BL538" i="3"/>
  <c r="BL530" i="3"/>
  <c r="BL526" i="3"/>
  <c r="BL522" i="3"/>
  <c r="BL506" i="3"/>
  <c r="BL498" i="3"/>
  <c r="BL578" i="3"/>
  <c r="BL574" i="3"/>
  <c r="BL570" i="3"/>
  <c r="BL566" i="3"/>
  <c r="BL562" i="3"/>
  <c r="BL552" i="3"/>
  <c r="BL544" i="3"/>
  <c r="G533" i="3"/>
  <c r="G529" i="3"/>
  <c r="BL524" i="3"/>
  <c r="BL514" i="3"/>
  <c r="G493" i="3"/>
  <c r="BA584" i="3"/>
  <c r="BA576" i="3"/>
  <c r="AZ576" i="3" s="1"/>
  <c r="BA574" i="3"/>
  <c r="BA572" i="3"/>
  <c r="AZ572" i="3" s="1"/>
  <c r="BA570" i="3"/>
  <c r="AZ570" i="3" s="1"/>
  <c r="BA568" i="3"/>
  <c r="BA566" i="3"/>
  <c r="AZ566" i="3" s="1"/>
  <c r="BA554" i="3"/>
  <c r="AZ554" i="3" s="1"/>
  <c r="BA552" i="3"/>
  <c r="AZ552" i="3" s="1"/>
  <c r="BA548" i="3"/>
  <c r="BA546" i="3"/>
  <c r="AZ546" i="3" s="1"/>
  <c r="BA544" i="3"/>
  <c r="AZ544" i="3"/>
  <c r="BA542" i="3"/>
  <c r="AZ542" i="3" s="1"/>
  <c r="BA536" i="3"/>
  <c r="BA534" i="3"/>
  <c r="BA528" i="3"/>
  <c r="BA520" i="3"/>
  <c r="BA518" i="3"/>
  <c r="BA512" i="3"/>
  <c r="BA504" i="3"/>
  <c r="BA498" i="3"/>
  <c r="AZ498" i="3" s="1"/>
  <c r="BA496" i="3"/>
  <c r="BA579" i="3"/>
  <c r="BA577" i="3"/>
  <c r="BA575" i="3"/>
  <c r="BA573" i="3"/>
  <c r="BA571" i="3"/>
  <c r="BA569" i="3"/>
  <c r="BA567" i="3"/>
  <c r="BA563" i="3"/>
  <c r="BA555" i="3"/>
  <c r="BA553" i="3"/>
  <c r="BA549" i="3"/>
  <c r="BA547" i="3"/>
  <c r="BA545" i="3"/>
  <c r="BA543" i="3"/>
  <c r="BA529" i="3"/>
  <c r="BA525" i="3"/>
  <c r="BA507" i="3"/>
  <c r="BA501" i="3"/>
  <c r="AZ501" i="3" s="1"/>
  <c r="BA499" i="3"/>
  <c r="BA493" i="3"/>
  <c r="G583" i="3"/>
  <c r="G581" i="3"/>
  <c r="G577" i="3"/>
  <c r="G575" i="3"/>
  <c r="G573" i="3"/>
  <c r="G571" i="3"/>
  <c r="G569" i="3"/>
  <c r="G567"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c r="BQ563" i="3"/>
  <c r="BQ561" i="3"/>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c r="BQ541" i="3"/>
  <c r="BL541" i="3"/>
  <c r="BQ539" i="3"/>
  <c r="BL539" i="3"/>
  <c r="BQ537" i="3"/>
  <c r="BQ535" i="3"/>
  <c r="BL535" i="3" s="1"/>
  <c r="BQ533" i="3"/>
  <c r="BL533" i="3" s="1"/>
  <c r="BQ531" i="3"/>
  <c r="BQ529" i="3"/>
  <c r="BQ527" i="3"/>
  <c r="BL527" i="3"/>
  <c r="BQ525" i="3"/>
  <c r="BQ523" i="3"/>
  <c r="AC521" i="3"/>
  <c r="G521" i="3"/>
  <c r="BQ521" i="3"/>
  <c r="G519" i="3"/>
  <c r="G517" i="3"/>
  <c r="G515" i="3"/>
  <c r="G513" i="3"/>
  <c r="G511" i="3"/>
  <c r="BQ519" i="3"/>
  <c r="BL519" i="3" s="1"/>
  <c r="BQ517" i="3"/>
  <c r="BL517" i="3"/>
  <c r="BQ515" i="3"/>
  <c r="BQ513" i="3"/>
  <c r="BQ511" i="3"/>
  <c r="BL511" i="3" s="1"/>
  <c r="AC509" i="3"/>
  <c r="G509" i="3" s="1"/>
  <c r="BQ509" i="3"/>
  <c r="BL509" i="3" s="1"/>
  <c r="G505" i="3"/>
  <c r="G503" i="3"/>
  <c r="G501" i="3"/>
  <c r="G497" i="3"/>
  <c r="G495" i="3"/>
  <c r="BQ507" i="3"/>
  <c r="BQ505" i="3"/>
  <c r="BQ503" i="3"/>
  <c r="BL503" i="3" s="1"/>
  <c r="BQ501" i="3"/>
  <c r="BL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AB43" i="33" s="1"/>
  <c r="H17" i="37"/>
  <c r="U17" i="37" s="1"/>
  <c r="AB27" i="37"/>
  <c r="AA36" i="39"/>
  <c r="F39" i="33"/>
  <c r="AA39" i="33" s="1"/>
  <c r="E123" i="33"/>
  <c r="F123" i="33" s="1"/>
  <c r="G123" i="33" s="1"/>
  <c r="H123" i="33" s="1"/>
  <c r="I123" i="33" s="1"/>
  <c r="J123" i="33" s="1"/>
  <c r="K123" i="33" s="1"/>
  <c r="L123" i="33" s="1"/>
  <c r="M123" i="33" s="1"/>
  <c r="F42" i="33"/>
  <c r="AA42" i="33" s="1"/>
  <c r="F14" i="36"/>
  <c r="AA14" i="36"/>
  <c r="F22" i="36"/>
  <c r="S22" i="36" s="1"/>
  <c r="F26" i="36"/>
  <c r="S26" i="36" s="1"/>
  <c r="H27" i="34"/>
  <c r="AB27" i="34" s="1"/>
  <c r="H35" i="34"/>
  <c r="U35" i="34"/>
  <c r="F41" i="34"/>
  <c r="S41" i="34"/>
  <c r="H41" i="34"/>
  <c r="U41" i="34"/>
  <c r="J41" i="34"/>
  <c r="AC41" i="34" s="1"/>
  <c r="F10" i="35"/>
  <c r="AA10" i="35" s="1"/>
  <c r="S10" i="35"/>
  <c r="F24" i="35"/>
  <c r="AA24" i="35" s="1"/>
  <c r="H24" i="35"/>
  <c r="AB24" i="35" s="1"/>
  <c r="H23" i="37"/>
  <c r="AB23" i="37" s="1"/>
  <c r="J32" i="37"/>
  <c r="AC32" i="37" s="1"/>
  <c r="F36" i="37"/>
  <c r="AA36" i="37" s="1"/>
  <c r="F37" i="37"/>
  <c r="AA37" i="37" s="1"/>
  <c r="F31" i="40"/>
  <c r="AA31" i="40" s="1"/>
  <c r="F32" i="40"/>
  <c r="S32" i="40"/>
  <c r="H32" i="40"/>
  <c r="U32" i="40" s="1"/>
  <c r="AB32" i="40"/>
  <c r="J36" i="40"/>
  <c r="W36" i="40" s="1"/>
  <c r="AA41" i="34"/>
  <c r="H19" i="37"/>
  <c r="AB19" i="37" s="1"/>
  <c r="H42" i="33"/>
  <c r="AB42" i="33" s="1"/>
  <c r="J43" i="33"/>
  <c r="AC43" i="33"/>
  <c r="S28" i="31"/>
  <c r="S27" i="31"/>
  <c r="S26" i="31"/>
  <c r="AC33" i="36"/>
  <c r="AA12" i="35"/>
  <c r="AB28" i="37"/>
  <c r="U39" i="37"/>
  <c r="W26" i="37"/>
  <c r="AC8" i="37"/>
  <c r="U26" i="37"/>
  <c r="W47" i="34"/>
  <c r="W37" i="34"/>
  <c r="AC31" i="33"/>
  <c r="W44" i="33"/>
  <c r="U19" i="21"/>
  <c r="U26" i="21"/>
  <c r="U12" i="21"/>
  <c r="AB38" i="21"/>
  <c r="F43" i="33"/>
  <c r="AA43" i="33" s="1"/>
  <c r="W15" i="34"/>
  <c r="AC15" i="34"/>
  <c r="W40" i="37"/>
  <c r="H37" i="21"/>
  <c r="U37" i="21"/>
  <c r="S42" i="21"/>
  <c r="H19" i="34"/>
  <c r="AB19" i="34" s="1"/>
  <c r="F36" i="35"/>
  <c r="S36" i="35" s="1"/>
  <c r="J9" i="37"/>
  <c r="W9" i="37" s="1"/>
  <c r="H9" i="37"/>
  <c r="AB9" i="37"/>
  <c r="F9" i="37"/>
  <c r="S9" i="37"/>
  <c r="J12" i="37"/>
  <c r="H12" i="37"/>
  <c r="U12" i="37" s="1"/>
  <c r="AB12" i="37"/>
  <c r="F12" i="37"/>
  <c r="AA12" i="37" s="1"/>
  <c r="S12"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H19" i="40"/>
  <c r="F88" i="40"/>
  <c r="G88" i="40" s="1"/>
  <c r="F19" i="40"/>
  <c r="AA19" i="40" s="1"/>
  <c r="AC13" i="40"/>
  <c r="W23" i="39"/>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AZ309" i="3" s="1"/>
  <c r="G310" i="3"/>
  <c r="BA311" i="3"/>
  <c r="G319" i="3"/>
  <c r="BL320" i="3"/>
  <c r="AZ320" i="3" s="1"/>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AZ371" i="3" s="1"/>
  <c r="G372" i="3"/>
  <c r="BL373" i="3"/>
  <c r="AZ373" i="3" s="1"/>
  <c r="BA375" i="3"/>
  <c r="AZ375" i="3" s="1"/>
  <c r="BA376" i="3"/>
  <c r="BL376" i="3"/>
  <c r="AZ376" i="3" s="1"/>
  <c r="G377" i="3"/>
  <c r="BA378" i="3"/>
  <c r="AZ378" i="3" s="1"/>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AZ131" i="3"/>
  <c r="BL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AZ172" i="3" s="1"/>
  <c r="G173" i="3"/>
  <c r="BA175" i="3"/>
  <c r="BL176" i="3"/>
  <c r="G177" i="3"/>
  <c r="BA179" i="3"/>
  <c r="AZ179" i="3" s="1"/>
  <c r="BL180" i="3"/>
  <c r="G181" i="3"/>
  <c r="BA183" i="3"/>
  <c r="AZ183" i="3" s="1"/>
  <c r="BL184" i="3"/>
  <c r="G185" i="3"/>
  <c r="BA187" i="3"/>
  <c r="BL188" i="3"/>
  <c r="G189" i="3"/>
  <c r="BA191" i="3"/>
  <c r="BL192" i="3"/>
  <c r="G193" i="3"/>
  <c r="BA195" i="3"/>
  <c r="BL196" i="3"/>
  <c r="G197" i="3"/>
  <c r="BA199" i="3"/>
  <c r="BL200" i="3"/>
  <c r="G201" i="3"/>
  <c r="BA203" i="3"/>
  <c r="BL204" i="3"/>
  <c r="AZ144" i="3"/>
  <c r="AZ168" i="3"/>
  <c r="G534" i="3"/>
  <c r="G530" i="3"/>
  <c r="G522" i="3"/>
  <c r="G516" i="3"/>
  <c r="G506" i="3"/>
  <c r="G498" i="3"/>
  <c r="G494" i="3"/>
  <c r="G16" i="3"/>
  <c r="G15" i="3"/>
  <c r="BA304" i="3"/>
  <c r="BA305" i="3"/>
  <c r="AZ305" i="3"/>
  <c r="BL305" i="3"/>
  <c r="G306" i="3"/>
  <c r="G309" i="3"/>
  <c r="BL310" i="3"/>
  <c r="BA312" i="3"/>
  <c r="BA313" i="3"/>
  <c r="AZ313" i="3" s="1"/>
  <c r="BL313" i="3"/>
  <c r="G314" i="3"/>
  <c r="G317" i="3"/>
  <c r="BL318" i="3"/>
  <c r="BA320" i="3"/>
  <c r="BA321" i="3"/>
  <c r="BL321" i="3"/>
  <c r="G322" i="3"/>
  <c r="G325" i="3"/>
  <c r="BL326" i="3"/>
  <c r="AZ326" i="3" s="1"/>
  <c r="BA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BA356" i="3"/>
  <c r="AZ356" i="3" s="1"/>
  <c r="BL356" i="3"/>
  <c r="G357" i="3"/>
  <c r="G360" i="3"/>
  <c r="BL361" i="3"/>
  <c r="BA363" i="3"/>
  <c r="AZ363" i="3" s="1"/>
  <c r="BA364" i="3"/>
  <c r="BL364" i="3"/>
  <c r="G365" i="3"/>
  <c r="G368" i="3"/>
  <c r="BL369" i="3"/>
  <c r="BA371" i="3"/>
  <c r="BA372" i="3"/>
  <c r="AZ372" i="3"/>
  <c r="BL372" i="3"/>
  <c r="G373" i="3"/>
  <c r="G376" i="3"/>
  <c r="BL377" i="3"/>
  <c r="BL379" i="3"/>
  <c r="AZ379" i="3" s="1"/>
  <c r="BA381" i="3"/>
  <c r="BA382" i="3"/>
  <c r="BL382" i="3"/>
  <c r="G383" i="3"/>
  <c r="G386" i="3"/>
  <c r="BL387" i="3"/>
  <c r="AZ387" i="3" s="1"/>
  <c r="BA389" i="3"/>
  <c r="BA390" i="3"/>
  <c r="BL390" i="3"/>
  <c r="AZ390" i="3" s="1"/>
  <c r="G391" i="3"/>
  <c r="G394" i="3"/>
  <c r="BA16" i="3"/>
  <c r="BL303" i="3"/>
  <c r="G304" i="3"/>
  <c r="BA306" i="3"/>
  <c r="BL307" i="3"/>
  <c r="G308" i="3"/>
  <c r="BA310" i="3"/>
  <c r="AZ310" i="3"/>
  <c r="BL311" i="3"/>
  <c r="AZ311" i="3"/>
  <c r="G312" i="3"/>
  <c r="BA314" i="3"/>
  <c r="BL315" i="3"/>
  <c r="G316" i="3"/>
  <c r="BA318" i="3"/>
  <c r="BL319" i="3"/>
  <c r="G320" i="3"/>
  <c r="BA322" i="3"/>
  <c r="AZ322" i="3"/>
  <c r="BL323" i="3"/>
  <c r="G324" i="3"/>
  <c r="BA326" i="3"/>
  <c r="BL327" i="3"/>
  <c r="G328" i="3"/>
  <c r="BA330" i="3"/>
  <c r="AZ330" i="3" s="1"/>
  <c r="BL331" i="3"/>
  <c r="G332" i="3"/>
  <c r="BA334" i="3"/>
  <c r="AZ334" i="3" s="1"/>
  <c r="BL335" i="3"/>
  <c r="G336" i="3"/>
  <c r="BA338" i="3"/>
  <c r="AZ338" i="3" s="1"/>
  <c r="BL339" i="3"/>
  <c r="G340" i="3"/>
  <c r="BL343" i="3"/>
  <c r="G344" i="3"/>
  <c r="G348" i="3"/>
  <c r="G355" i="3"/>
  <c r="G342" i="3"/>
  <c r="BL345" i="3"/>
  <c r="G346" i="3"/>
  <c r="BL349" i="3"/>
  <c r="BL352" i="3"/>
  <c r="AZ352" i="3" s="1"/>
  <c r="G353" i="3"/>
  <c r="BA357" i="3"/>
  <c r="BL358" i="3"/>
  <c r="AZ358" i="3"/>
  <c r="G359" i="3"/>
  <c r="BA361" i="3"/>
  <c r="AZ361" i="3" s="1"/>
  <c r="BL362" i="3"/>
  <c r="AZ362" i="3" s="1"/>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G548" i="3"/>
  <c r="G538" i="3"/>
  <c r="G502" i="3"/>
  <c r="AZ343" i="3"/>
  <c r="G17" i="3"/>
  <c r="BA17" i="3"/>
  <c r="AZ384" i="3"/>
  <c r="AZ396" i="3"/>
  <c r="AZ394" i="3"/>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c r="F33" i="34"/>
  <c r="AA33" i="34" s="1"/>
  <c r="S33" i="34"/>
  <c r="H20" i="36"/>
  <c r="U20" i="36" s="1"/>
  <c r="J20" i="36"/>
  <c r="J27" i="36"/>
  <c r="W27" i="36" s="1"/>
  <c r="AC33" i="40"/>
  <c r="F111" i="40"/>
  <c r="G111" i="40" s="1"/>
  <c r="H111" i="40"/>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c r="J27" i="40"/>
  <c r="F27" i="40"/>
  <c r="AA27" i="40" s="1"/>
  <c r="J30" i="40"/>
  <c r="AC30" i="40" s="1"/>
  <c r="F30" i="40"/>
  <c r="AA30" i="40" s="1"/>
  <c r="E98" i="40"/>
  <c r="F98" i="40" s="1"/>
  <c r="G98" i="40" s="1"/>
  <c r="H98" i="40" s="1"/>
  <c r="I98" i="40" s="1"/>
  <c r="J98" i="40" s="1"/>
  <c r="K98" i="40" s="1"/>
  <c r="L98" i="40" s="1"/>
  <c r="M98" i="40" s="1"/>
  <c r="F10" i="33"/>
  <c r="S10" i="33"/>
  <c r="F34" i="33"/>
  <c r="AA34" i="33" s="1"/>
  <c r="S34" i="33"/>
  <c r="H34" i="33"/>
  <c r="U34" i="33" s="1"/>
  <c r="F35" i="33"/>
  <c r="AA35" i="33" s="1"/>
  <c r="S35" i="33"/>
  <c r="F39" i="34"/>
  <c r="S39" i="34" s="1"/>
  <c r="J39" i="34"/>
  <c r="W39" i="34"/>
  <c r="F40" i="34"/>
  <c r="S40" i="34"/>
  <c r="F43" i="34"/>
  <c r="AA43" i="34"/>
  <c r="H44" i="34"/>
  <c r="AC38" i="39"/>
  <c r="F39" i="39"/>
  <c r="S39" i="39" s="1"/>
  <c r="J39" i="39"/>
  <c r="AC39" i="39" s="1"/>
  <c r="E96" i="39"/>
  <c r="F96" i="39" s="1"/>
  <c r="G96" i="39" s="1"/>
  <c r="C40" i="11"/>
  <c r="AZ61" i="3"/>
  <c r="I20" i="43"/>
  <c r="F23" i="39"/>
  <c r="S23" i="39" s="1"/>
  <c r="AA23" i="39"/>
  <c r="H27" i="36"/>
  <c r="AB27" i="36" s="1"/>
  <c r="U27" i="36"/>
  <c r="F27" i="36"/>
  <c r="AA27" i="36"/>
  <c r="H33" i="34"/>
  <c r="U33" i="34" s="1"/>
  <c r="F32" i="37"/>
  <c r="AA32" i="37"/>
  <c r="F20" i="36"/>
  <c r="S20" i="36" s="1"/>
  <c r="J33" i="34"/>
  <c r="W33" i="34" s="1"/>
  <c r="AC33" i="34"/>
  <c r="H23" i="39"/>
  <c r="U23" i="39" s="1"/>
  <c r="D48" i="9"/>
  <c r="M52" i="9" s="1"/>
  <c r="H87" i="43"/>
  <c r="K9" i="1"/>
  <c r="M9" i="1" s="1"/>
  <c r="AE9" i="1"/>
  <c r="D93" i="9"/>
  <c r="W27" i="34"/>
  <c r="AC27" i="34"/>
  <c r="AC12" i="39"/>
  <c r="W12" i="39"/>
  <c r="AC39" i="40"/>
  <c r="W39" i="40"/>
  <c r="W12" i="33"/>
  <c r="AC12" i="33"/>
  <c r="AA32" i="36"/>
  <c r="S32" i="36"/>
  <c r="AA39" i="34"/>
  <c r="BL14" i="3"/>
  <c r="U30" i="33"/>
  <c r="AA47" i="34"/>
  <c r="W28" i="37"/>
  <c r="S19" i="39"/>
  <c r="F12" i="33"/>
  <c r="S12" i="33" s="1"/>
  <c r="H12" i="39"/>
  <c r="F39" i="40"/>
  <c r="BA14" i="3"/>
  <c r="S12" i="1"/>
  <c r="AQ12" i="1" s="1"/>
  <c r="R12" i="1"/>
  <c r="B12" i="1"/>
  <c r="E12" i="1"/>
  <c r="S10" i="1"/>
  <c r="AQ10" i="1" s="1"/>
  <c r="R10" i="1"/>
  <c r="B10" i="1"/>
  <c r="E10" i="1"/>
  <c r="K12" i="1"/>
  <c r="M12" i="1" s="1"/>
  <c r="S13" i="1"/>
  <c r="AR13" i="1" s="1"/>
  <c r="R13" i="1"/>
  <c r="S11" i="1"/>
  <c r="AQ11" i="1" s="1"/>
  <c r="R11" i="1"/>
  <c r="S9" i="1"/>
  <c r="AR9" i="1" s="1"/>
  <c r="R9" i="1"/>
  <c r="J51" i="67"/>
  <c r="C42" i="1"/>
  <c r="C24" i="12" s="1"/>
  <c r="H100" i="43"/>
  <c r="AC34" i="33"/>
  <c r="B41" i="1"/>
  <c r="F53" i="9" s="1"/>
  <c r="J100" i="43"/>
  <c r="S35" i="40"/>
  <c r="AA32" i="40"/>
  <c r="AB27" i="40"/>
  <c r="S28"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S17" i="39"/>
  <c r="S9" i="39"/>
  <c r="U14" i="39"/>
  <c r="AC27" i="36"/>
  <c r="U26" i="36"/>
  <c r="S33" i="36"/>
  <c r="S27" i="36"/>
  <c r="AA26" i="36"/>
  <c r="S29" i="36"/>
  <c r="W14" i="36"/>
  <c r="AB14" i="36"/>
  <c r="S16" i="36"/>
  <c r="AA25" i="36"/>
  <c r="S24" i="36"/>
  <c r="AB20" i="36"/>
  <c r="U16" i="36"/>
  <c r="S14" i="36"/>
  <c r="U10" i="36"/>
  <c r="AA25" i="35"/>
  <c r="W24" i="35"/>
  <c r="AB13" i="35"/>
  <c r="U29" i="35"/>
  <c r="U28" i="35"/>
  <c r="AB27" i="35"/>
  <c r="U36" i="35"/>
  <c r="U32" i="35"/>
  <c r="AA33" i="35"/>
  <c r="AC30" i="35"/>
  <c r="S32" i="35"/>
  <c r="W32" i="35"/>
  <c r="S28" i="35"/>
  <c r="AB16" i="35"/>
  <c r="U22" i="35"/>
  <c r="AC20" i="35"/>
  <c r="S22" i="35"/>
  <c r="U14" i="35"/>
  <c r="AC10" i="35"/>
  <c r="AB10" i="35"/>
  <c r="S8" i="35"/>
  <c r="AC9" i="35"/>
  <c r="W9" i="35"/>
  <c r="AC12" i="35"/>
  <c r="W13" i="35"/>
  <c r="F9" i="35"/>
  <c r="AA9" i="35" s="1"/>
  <c r="H9" i="35"/>
  <c r="U9" i="35" s="1"/>
  <c r="F26" i="35"/>
  <c r="AA26" i="35" s="1"/>
  <c r="J26" i="35"/>
  <c r="W26" i="35" s="1"/>
  <c r="H26" i="35"/>
  <c r="W27" i="37"/>
  <c r="S26" i="37"/>
  <c r="AC29" i="37"/>
  <c r="U29" i="37"/>
  <c r="S32" i="37"/>
  <c r="AB31" i="37"/>
  <c r="W30" i="37"/>
  <c r="S36" i="37"/>
  <c r="AA38" i="37"/>
  <c r="AC35" i="37"/>
  <c r="W39" i="37"/>
  <c r="S30" i="37"/>
  <c r="S37" i="37"/>
  <c r="J17" i="37"/>
  <c r="W17" i="37" s="1"/>
  <c r="F17" i="37"/>
  <c r="S17" i="37" s="1"/>
  <c r="AA17" i="37"/>
  <c r="F75" i="37"/>
  <c r="G75" i="37" s="1"/>
  <c r="F19" i="37"/>
  <c r="S19" i="37" s="1"/>
  <c r="F79" i="37"/>
  <c r="F23" i="37"/>
  <c r="U23" i="37"/>
  <c r="U9" i="37"/>
  <c r="AA13" i="37"/>
  <c r="AA9" i="37"/>
  <c r="H10" i="37"/>
  <c r="AB10" i="37" s="1"/>
  <c r="H60" i="37"/>
  <c r="F63" i="37"/>
  <c r="G63" i="37" s="1"/>
  <c r="H63" i="37" s="1"/>
  <c r="I63" i="37" s="1"/>
  <c r="J63" i="37" s="1"/>
  <c r="K63" i="37" s="1"/>
  <c r="L63" i="37" s="1"/>
  <c r="M63" i="37" s="1"/>
  <c r="F11" i="37"/>
  <c r="S11" i="37" s="1"/>
  <c r="S27" i="34"/>
  <c r="W25" i="34"/>
  <c r="AB8" i="34"/>
  <c r="U43" i="34"/>
  <c r="AC39" i="34"/>
  <c r="W41" i="34"/>
  <c r="AC42" i="34"/>
  <c r="AB35" i="34"/>
  <c r="U39" i="34"/>
  <c r="S43" i="34"/>
  <c r="AB41" i="34"/>
  <c r="AA45" i="34"/>
  <c r="AA25" i="34"/>
  <c r="S17" i="34"/>
  <c r="AA29" i="34"/>
  <c r="S23" i="34"/>
  <c r="U15" i="34"/>
  <c r="S10" i="34"/>
  <c r="S13" i="34"/>
  <c r="H67" i="34"/>
  <c r="I67" i="34" s="1"/>
  <c r="H10" i="34"/>
  <c r="F11" i="34"/>
  <c r="AA11" i="34" s="1"/>
  <c r="S11" i="34"/>
  <c r="F70" i="34"/>
  <c r="G70" i="34" s="1"/>
  <c r="H70" i="34" s="1"/>
  <c r="I70" i="34" s="1"/>
  <c r="J70" i="34" s="1"/>
  <c r="K70" i="34" s="1"/>
  <c r="L70" i="34" s="1"/>
  <c r="M70" i="34" s="1"/>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c r="J35" i="33"/>
  <c r="AC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H25" i="33"/>
  <c r="AB25" i="33" s="1"/>
  <c r="F25" i="33"/>
  <c r="J23" i="33"/>
  <c r="AC23" i="33" s="1"/>
  <c r="F85" i="33"/>
  <c r="H23" i="33"/>
  <c r="F19" i="33"/>
  <c r="S19" i="33"/>
  <c r="W19" i="33"/>
  <c r="J17" i="33"/>
  <c r="W17" i="33" s="1"/>
  <c r="F79" i="33"/>
  <c r="G79" i="33" s="1"/>
  <c r="W15" i="33"/>
  <c r="I66" i="33"/>
  <c r="J10" i="33"/>
  <c r="W10" i="33" s="1"/>
  <c r="H10" i="33"/>
  <c r="AA10" i="33"/>
  <c r="AC11" i="33"/>
  <c r="AB14" i="33"/>
  <c r="W36" i="21"/>
  <c r="W41" i="21"/>
  <c r="AB39" i="21"/>
  <c r="AA43" i="21"/>
  <c r="S39" i="21"/>
  <c r="AA38" i="21"/>
  <c r="AA36" i="21"/>
  <c r="AC40" i="21"/>
  <c r="J15" i="21"/>
  <c r="AC15" i="21" s="1"/>
  <c r="W15" i="21"/>
  <c r="F77" i="21"/>
  <c r="G77" i="21"/>
  <c r="F23" i="21"/>
  <c r="E85" i="21"/>
  <c r="F85" i="21" s="1"/>
  <c r="G85" i="21" s="1"/>
  <c r="AC11" i="21"/>
  <c r="AA14" i="21"/>
  <c r="AB8" i="21"/>
  <c r="S8" i="21"/>
  <c r="M3" i="43"/>
  <c r="M1" i="43"/>
  <c r="N8" i="43"/>
  <c r="C18" i="9"/>
  <c r="D18" i="9" s="1"/>
  <c r="F34" i="67"/>
  <c r="F62" i="67" s="1"/>
  <c r="M20" i="67"/>
  <c r="F34" i="15"/>
  <c r="F62" i="15" s="1"/>
  <c r="G13" i="3"/>
  <c r="BL17" i="3"/>
  <c r="AZ17" i="3"/>
  <c r="BL13" i="3"/>
  <c r="J56" i="9"/>
  <c r="J57" i="9" s="1"/>
  <c r="J59" i="9" s="1"/>
  <c r="J61" i="9" s="1"/>
  <c r="A24" i="51"/>
  <c r="B18" i="72" s="1"/>
  <c r="E5" i="6"/>
  <c r="D9" i="68" s="1"/>
  <c r="C9" i="68" s="1"/>
  <c r="E32" i="6"/>
  <c r="L19" i="6"/>
  <c r="G1" i="68"/>
  <c r="K1" i="12"/>
  <c r="E19" i="69"/>
  <c r="E19" i="68"/>
  <c r="E19" i="11"/>
  <c r="E1" i="73"/>
  <c r="G22" i="69"/>
  <c r="G22" i="68"/>
  <c r="G26" i="12"/>
  <c r="G22" i="11"/>
  <c r="C100" i="43"/>
  <c r="E81" i="43"/>
  <c r="B79" i="43" s="1"/>
  <c r="E48" i="43"/>
  <c r="B46" i="43" s="1"/>
  <c r="E70" i="43"/>
  <c r="B68" i="43" s="1"/>
  <c r="F100" i="43"/>
  <c r="H17" i="43"/>
  <c r="H85" i="43"/>
  <c r="H81" i="43"/>
  <c r="H78"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H72" i="43"/>
  <c r="L20" i="6"/>
  <c r="B6" i="1"/>
  <c r="E6" i="1" s="1"/>
  <c r="S8" i="1"/>
  <c r="T8" i="1" s="1"/>
  <c r="K11" i="1"/>
  <c r="M11" i="1" s="1"/>
  <c r="O11" i="1" s="1"/>
  <c r="P11" i="1" s="1"/>
  <c r="AP6" i="1"/>
  <c r="B9" i="1"/>
  <c r="E9" i="1"/>
  <c r="K7" i="1"/>
  <c r="G1" i="15"/>
  <c r="G1" i="69"/>
  <c r="G1" i="67"/>
  <c r="S37" i="40"/>
  <c r="AB28" i="40"/>
  <c r="W28" i="40"/>
  <c r="W19" i="40"/>
  <c r="S36" i="40"/>
  <c r="S13" i="40"/>
  <c r="S33" i="40"/>
  <c r="S31" i="40"/>
  <c r="U8" i="40"/>
  <c r="AC41" i="39"/>
  <c r="U42" i="39"/>
  <c r="AC25" i="39"/>
  <c r="U13" i="39"/>
  <c r="AB13" i="39"/>
  <c r="AA13" i="39"/>
  <c r="S13" i="39"/>
  <c r="S14" i="39"/>
  <c r="AA14" i="39"/>
  <c r="U43" i="39"/>
  <c r="AB43" i="39"/>
  <c r="AB11" i="39"/>
  <c r="U11" i="39"/>
  <c r="W17" i="39"/>
  <c r="AC17" i="39"/>
  <c r="W31" i="39"/>
  <c r="AC31" i="39"/>
  <c r="AB39" i="39"/>
  <c r="W34" i="39"/>
  <c r="U38" i="39"/>
  <c r="S8" i="39"/>
  <c r="AC25" i="36"/>
  <c r="S28" i="36"/>
  <c r="U32" i="36"/>
  <c r="U25" i="36"/>
  <c r="AB28" i="36"/>
  <c r="W9" i="36"/>
  <c r="W22" i="36"/>
  <c r="S9" i="36"/>
  <c r="AB20" i="35"/>
  <c r="U25" i="35"/>
  <c r="S24" i="35"/>
  <c r="W33" i="35"/>
  <c r="AA30" i="35"/>
  <c r="S35" i="35"/>
  <c r="W35" i="35"/>
  <c r="AA16" i="35"/>
  <c r="AA35" i="37"/>
  <c r="S27" i="37"/>
  <c r="S28" i="37"/>
  <c r="W32" i="37"/>
  <c r="U36" i="37"/>
  <c r="S40" i="37"/>
  <c r="U38" i="37"/>
  <c r="AC34" i="37"/>
  <c r="AA11" i="37"/>
  <c r="AA31" i="37"/>
  <c r="AA29" i="37"/>
  <c r="AA8" i="37"/>
  <c r="U8" i="37"/>
  <c r="AA40" i="34"/>
  <c r="AB40" i="34"/>
  <c r="W19" i="34"/>
  <c r="AB33" i="34"/>
  <c r="AA31" i="34"/>
  <c r="AB45" i="34"/>
  <c r="U25" i="34"/>
  <c r="AB36" i="34"/>
  <c r="AC32" i="34"/>
  <c r="W46" i="34"/>
  <c r="AC46" i="34"/>
  <c r="S32" i="34"/>
  <c r="AA32" i="34"/>
  <c r="U30" i="34"/>
  <c r="AB30" i="34"/>
  <c r="S37"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AC30" i="33"/>
  <c r="W30" i="33"/>
  <c r="S31" i="33"/>
  <c r="AA31" i="33"/>
  <c r="W13" i="33"/>
  <c r="AC13" i="33"/>
  <c r="U15" i="33"/>
  <c r="S11" i="33"/>
  <c r="U37" i="33"/>
  <c r="AC28" i="33"/>
  <c r="S28" i="33"/>
  <c r="W8" i="33"/>
  <c r="U28" i="21"/>
  <c r="AA11" i="21"/>
  <c r="S45" i="21"/>
  <c r="F33" i="21"/>
  <c r="S33" i="21" s="1"/>
  <c r="J33" i="21"/>
  <c r="H33" i="21"/>
  <c r="AB33" i="21" s="1"/>
  <c r="F37" i="21"/>
  <c r="AA37" i="21" s="1"/>
  <c r="AA26" i="21"/>
  <c r="AB14" i="21"/>
  <c r="AB46" i="21"/>
  <c r="U40" i="21"/>
  <c r="AB31" i="21"/>
  <c r="U31" i="21"/>
  <c r="U13" i="21"/>
  <c r="AB13" i="21"/>
  <c r="W8" i="21"/>
  <c r="AB37" i="21"/>
  <c r="J37" i="21"/>
  <c r="W37" i="21"/>
  <c r="H15" i="21"/>
  <c r="U15" i="21" s="1"/>
  <c r="J17" i="21"/>
  <c r="W17" i="21" s="1"/>
  <c r="AC17" i="21"/>
  <c r="AC19" i="21"/>
  <c r="W39" i="21"/>
  <c r="AC14" i="21"/>
  <c r="W30" i="21"/>
  <c r="S46" i="21"/>
  <c r="H45" i="21"/>
  <c r="U45" i="21" s="1"/>
  <c r="F29" i="21"/>
  <c r="F13" i="21"/>
  <c r="S13" i="21" s="1"/>
  <c r="AA13" i="21"/>
  <c r="AC38" i="21"/>
  <c r="H32" i="21"/>
  <c r="AB32" i="21" s="1"/>
  <c r="H9" i="21"/>
  <c r="AB9" i="21" s="1"/>
  <c r="J9" i="21"/>
  <c r="AC9" i="21" s="1"/>
  <c r="J32" i="21"/>
  <c r="W32" i="21" s="1"/>
  <c r="F32" i="21"/>
  <c r="S32" i="21" s="1"/>
  <c r="AA31" i="21"/>
  <c r="U17" i="21"/>
  <c r="W29" i="21"/>
  <c r="S19" i="21"/>
  <c r="S9" i="21"/>
  <c r="AA9" i="21"/>
  <c r="K141" i="21"/>
  <c r="K144" i="21"/>
  <c r="K143" i="21"/>
  <c r="AB25" i="21"/>
  <c r="AB44" i="21"/>
  <c r="AA30" i="21"/>
  <c r="W13" i="21"/>
  <c r="AC45" i="21"/>
  <c r="F10" i="21"/>
  <c r="K145" i="21"/>
  <c r="W25" i="21"/>
  <c r="W31" i="21"/>
  <c r="S17" i="21"/>
  <c r="AA15" i="21"/>
  <c r="AC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AA19" i="37"/>
  <c r="J23" i="37"/>
  <c r="W23" i="37" s="1"/>
  <c r="G79" i="37"/>
  <c r="J10" i="37"/>
  <c r="W10" i="37" s="1"/>
  <c r="I60" i="37"/>
  <c r="H11" i="37"/>
  <c r="AB11" i="37" s="1"/>
  <c r="U10" i="37"/>
  <c r="H11" i="34"/>
  <c r="AB11" i="34" s="1"/>
  <c r="AB10" i="34"/>
  <c r="U10" i="34"/>
  <c r="J10" i="34"/>
  <c r="W10" i="34" s="1"/>
  <c r="AB41" i="33"/>
  <c r="U41" i="33"/>
  <c r="J36" i="33"/>
  <c r="W36" i="33" s="1"/>
  <c r="H36" i="33"/>
  <c r="U36" i="33" s="1"/>
  <c r="S36" i="33"/>
  <c r="AA36" i="33"/>
  <c r="AC32" i="33"/>
  <c r="J27" i="33"/>
  <c r="AC27" i="33" s="1"/>
  <c r="S25" i="33"/>
  <c r="AA25" i="33"/>
  <c r="J25" i="33"/>
  <c r="AC25" i="33" s="1"/>
  <c r="AB23" i="33"/>
  <c r="U23" i="33"/>
  <c r="F23" i="33"/>
  <c r="AA23" i="33" s="1"/>
  <c r="G85" i="33"/>
  <c r="AA19" i="33"/>
  <c r="H19" i="33"/>
  <c r="AB19" i="33" s="1"/>
  <c r="H17" i="33"/>
  <c r="F17" i="33"/>
  <c r="U10" i="33"/>
  <c r="AB10" i="33"/>
  <c r="AC37" i="21"/>
  <c r="U33" i="21"/>
  <c r="S37" i="21"/>
  <c r="J23" i="21"/>
  <c r="W23" i="21" s="1"/>
  <c r="H23" i="21"/>
  <c r="AB23" i="21" s="1"/>
  <c r="AP7" i="1"/>
  <c r="AB45" i="21"/>
  <c r="AC33" i="21"/>
  <c r="W33" i="21"/>
  <c r="W9" i="21"/>
  <c r="AA10" i="21"/>
  <c r="S10" i="21"/>
  <c r="W19" i="37"/>
  <c r="AC19" i="37"/>
  <c r="U11" i="37"/>
  <c r="J11" i="37"/>
  <c r="W11" i="37" s="1"/>
  <c r="AC10" i="34"/>
  <c r="J11" i="34"/>
  <c r="AC36" i="33"/>
  <c r="AA17" i="33"/>
  <c r="S17" i="33"/>
  <c r="U17" i="33"/>
  <c r="AB17" i="33"/>
  <c r="AC23" i="21"/>
  <c r="R7" i="1"/>
  <c r="F34" i="11"/>
  <c r="C36" i="11" s="1"/>
  <c r="F11" i="12"/>
  <c r="F34" i="68"/>
  <c r="R8" i="1"/>
  <c r="AE7" i="1"/>
  <c r="AE8" i="1"/>
  <c r="AG6" i="1"/>
  <c r="H109" i="9"/>
  <c r="D124" i="9" s="1"/>
  <c r="D125" i="9" s="1"/>
  <c r="D11" i="52" s="1"/>
  <c r="H112" i="9"/>
  <c r="D21" i="53" s="1"/>
  <c r="B39" i="72" s="1"/>
  <c r="H111" i="9"/>
  <c r="D126" i="9" s="1"/>
  <c r="AD3" i="71"/>
  <c r="J1" i="73"/>
  <c r="C13" i="12"/>
  <c r="H77" i="43"/>
  <c r="H76"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E16" i="71" s="1"/>
  <c r="E15" i="71" s="1"/>
  <c r="E14" i="71" s="1"/>
  <c r="E13" i="71" s="1"/>
  <c r="G20" i="43"/>
  <c r="D2" i="34"/>
  <c r="M22" i="67"/>
  <c r="M22" i="15"/>
  <c r="E7" i="76"/>
  <c r="M9" i="67"/>
  <c r="D2" i="37"/>
  <c r="F5" i="73"/>
  <c r="E2" i="69"/>
  <c r="F9" i="15"/>
  <c r="B13" i="76"/>
  <c r="AO8" i="1"/>
  <c r="M27" i="67"/>
  <c r="F43" i="67"/>
  <c r="B10" i="76"/>
  <c r="F6" i="67"/>
  <c r="F16" i="67"/>
  <c r="B9" i="76"/>
  <c r="D34" i="9"/>
  <c r="D35" i="9"/>
  <c r="C76" i="67"/>
  <c r="AO10" i="1"/>
  <c r="M26" i="67"/>
  <c r="F36" i="67"/>
  <c r="M6" i="67"/>
  <c r="AO11" i="1"/>
  <c r="M24" i="67"/>
  <c r="E12" i="76"/>
  <c r="L47" i="67"/>
  <c r="F16" i="15"/>
  <c r="F37" i="67"/>
  <c r="E9" i="76"/>
  <c r="E11" i="76"/>
  <c r="D2" i="33"/>
  <c r="E8" i="76"/>
  <c r="F20" i="31"/>
  <c r="E13" i="76"/>
  <c r="F13" i="67"/>
  <c r="AO7" i="1"/>
  <c r="AO13" i="1"/>
  <c r="F9" i="67"/>
  <c r="E10" i="76"/>
  <c r="B11" i="76"/>
  <c r="B12" i="76"/>
  <c r="D7" i="73"/>
  <c r="J15" i="67"/>
  <c r="D5" i="73"/>
  <c r="M23" i="67"/>
  <c r="AO12" i="1"/>
  <c r="F7" i="67"/>
  <c r="L48" i="67"/>
  <c r="F41" i="67"/>
  <c r="F6" i="73"/>
  <c r="F35" i="67"/>
  <c r="M28" i="67"/>
  <c r="M21" i="67"/>
  <c r="F38" i="67"/>
  <c r="D2" i="36"/>
  <c r="F26" i="67"/>
  <c r="F42" i="67"/>
  <c r="F7" i="73"/>
  <c r="D3" i="73"/>
  <c r="M29" i="67"/>
  <c r="M26" i="15"/>
  <c r="D2" i="21"/>
  <c r="E2" i="68"/>
  <c r="D2" i="35"/>
  <c r="F4" i="73"/>
  <c r="F3" i="73"/>
  <c r="B8" i="76"/>
  <c r="F8" i="67"/>
  <c r="AO9" i="1"/>
  <c r="B7" i="76"/>
  <c r="M8" i="67"/>
  <c r="AZ139" i="3" l="1"/>
  <c r="C69" i="39"/>
  <c r="D67" i="39"/>
  <c r="D69" i="39" s="1"/>
  <c r="AZ534" i="3"/>
  <c r="AA28" i="34"/>
  <c r="S28" i="34"/>
  <c r="AZ521" i="3"/>
  <c r="AZ516" i="3"/>
  <c r="AZ508" i="3"/>
  <c r="AZ502" i="3"/>
  <c r="AZ500" i="3"/>
  <c r="AZ494" i="3"/>
  <c r="AZ533" i="3"/>
  <c r="AZ532" i="3"/>
  <c r="AZ531" i="3"/>
  <c r="BF5" i="3"/>
  <c r="H14" i="40"/>
  <c r="W23" i="33"/>
  <c r="U25" i="33"/>
  <c r="AC26" i="35"/>
  <c r="AA12" i="33"/>
  <c r="AB37" i="37"/>
  <c r="W37" i="40"/>
  <c r="BM5" i="3"/>
  <c r="AZ507" i="3"/>
  <c r="J24" i="36"/>
  <c r="H24" i="36"/>
  <c r="AC32" i="40"/>
  <c r="H23" i="35"/>
  <c r="J23" i="35"/>
  <c r="AZ541" i="3"/>
  <c r="AZ567" i="3"/>
  <c r="AB34" i="40"/>
  <c r="U34" i="40"/>
  <c r="AC10" i="33"/>
  <c r="W35" i="33"/>
  <c r="AC29" i="34"/>
  <c r="S20" i="35"/>
  <c r="AC13" i="34"/>
  <c r="AZ374" i="3"/>
  <c r="AZ347" i="3"/>
  <c r="U43" i="33"/>
  <c r="BL505" i="3"/>
  <c r="AZ505" i="3" s="1"/>
  <c r="AZ574" i="3"/>
  <c r="U19" i="34"/>
  <c r="S27" i="39"/>
  <c r="W42" i="33"/>
  <c r="S30" i="40"/>
  <c r="AZ307" i="3"/>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13" i="3" s="1"/>
  <c r="AZ543" i="3"/>
  <c r="B74" i="43"/>
  <c r="C27" i="39"/>
  <c r="H9" i="33"/>
  <c r="AC39" i="33"/>
  <c r="W39" i="33"/>
  <c r="U12" i="35"/>
  <c r="AB12" i="35"/>
  <c r="AZ414" i="3"/>
  <c r="W25" i="33"/>
  <c r="S26" i="35"/>
  <c r="S28" i="21"/>
  <c r="W42" i="21"/>
  <c r="W14" i="33"/>
  <c r="AA39" i="39"/>
  <c r="W34" i="34"/>
  <c r="AC13" i="39"/>
  <c r="AC36" i="40"/>
  <c r="AC17" i="34"/>
  <c r="AZ318" i="3"/>
  <c r="AZ196"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14" i="3"/>
  <c r="AZ369" i="3"/>
  <c r="AZ357" i="3"/>
  <c r="W16" i="35"/>
  <c r="BL497" i="3"/>
  <c r="AZ497" i="3" s="1"/>
  <c r="BL523" i="3"/>
  <c r="AZ523" i="3" s="1"/>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191" i="3"/>
  <c r="AZ345" i="3"/>
  <c r="AZ520" i="3"/>
  <c r="AZ536" i="3"/>
  <c r="W31" i="34"/>
  <c r="B70" i="43"/>
  <c r="AC41" i="33"/>
  <c r="AB34" i="34"/>
  <c r="U34" i="34"/>
  <c r="AC28" i="35"/>
  <c r="W28" i="35"/>
  <c r="F34" i="35"/>
  <c r="W31" i="37"/>
  <c r="AC31" i="37"/>
  <c r="E84" i="40"/>
  <c r="F84" i="40" s="1"/>
  <c r="G84" i="40" s="1"/>
  <c r="J15" i="40"/>
  <c r="W15" i="40" s="1"/>
  <c r="BL550" i="3"/>
  <c r="AZ550" i="3" s="1"/>
  <c r="BL548" i="3"/>
  <c r="AZ439" i="3"/>
  <c r="AZ456" i="3"/>
  <c r="AZ96" i="3"/>
  <c r="AB39" i="40"/>
  <c r="G582" i="3"/>
  <c r="G566" i="3"/>
  <c r="BL399" i="3"/>
  <c r="BA401" i="3"/>
  <c r="BA402" i="3"/>
  <c r="BA404" i="3"/>
  <c r="AZ404" i="3" s="1"/>
  <c r="G417" i="3"/>
  <c r="G425" i="3"/>
  <c r="BA432" i="3"/>
  <c r="AZ432" i="3" s="1"/>
  <c r="BA433" i="3"/>
  <c r="AZ433" i="3" s="1"/>
  <c r="BL436" i="3"/>
  <c r="AZ436" i="3" s="1"/>
  <c r="BA441" i="3"/>
  <c r="AZ441" i="3" s="1"/>
  <c r="BA447" i="3"/>
  <c r="BL462" i="3"/>
  <c r="G473" i="3"/>
  <c r="G474" i="3"/>
  <c r="BA489" i="3"/>
  <c r="AZ489" i="3" s="1"/>
  <c r="BA339" i="3"/>
  <c r="AZ339" i="3" s="1"/>
  <c r="G210" i="3"/>
  <c r="BL213" i="3"/>
  <c r="BL216" i="3"/>
  <c r="AZ216" i="3" s="1"/>
  <c r="BL229" i="3"/>
  <c r="BA231" i="3"/>
  <c r="AZ231" i="3" s="1"/>
  <c r="BL142" i="3"/>
  <c r="BA24" i="3"/>
  <c r="AZ24" i="3" s="1"/>
  <c r="BA39" i="3"/>
  <c r="C56" i="71"/>
  <c r="D55" i="71"/>
  <c r="BA412" i="3"/>
  <c r="AZ434" i="3"/>
  <c r="BA436" i="3"/>
  <c r="BL458" i="3"/>
  <c r="BA466" i="3"/>
  <c r="AZ466" i="3" s="1"/>
  <c r="BL466" i="3"/>
  <c r="BA469" i="3"/>
  <c r="AZ469" i="3" s="1"/>
  <c r="BA482" i="3"/>
  <c r="AZ482" i="3" s="1"/>
  <c r="BL354" i="3"/>
  <c r="BA210" i="3"/>
  <c r="AZ260" i="3"/>
  <c r="BL292" i="3"/>
  <c r="BL400" i="3"/>
  <c r="G408" i="3"/>
  <c r="BA424" i="3"/>
  <c r="BL427" i="3"/>
  <c r="AZ427" i="3" s="1"/>
  <c r="BL429" i="3"/>
  <c r="BL431" i="3"/>
  <c r="BL440" i="3"/>
  <c r="AZ440" i="3" s="1"/>
  <c r="BA462" i="3"/>
  <c r="BA481" i="3"/>
  <c r="BA483" i="3"/>
  <c r="AZ483" i="3" s="1"/>
  <c r="BA348" i="3"/>
  <c r="AZ348" i="3" s="1"/>
  <c r="G358" i="3"/>
  <c r="BA374" i="3"/>
  <c r="BA213" i="3"/>
  <c r="AZ213" i="3" s="1"/>
  <c r="BA258" i="3"/>
  <c r="AZ258" i="3" s="1"/>
  <c r="BL113" i="3"/>
  <c r="BL127" i="3"/>
  <c r="AZ127" i="3" s="1"/>
  <c r="BA137" i="3"/>
  <c r="BA142" i="3"/>
  <c r="AZ142" i="3" s="1"/>
  <c r="BA184" i="3"/>
  <c r="AZ184" i="3" s="1"/>
  <c r="BL195" i="3"/>
  <c r="AZ195" i="3" s="1"/>
  <c r="BA197" i="3"/>
  <c r="BL19" i="3"/>
  <c r="BL34" i="3"/>
  <c r="BA54" i="3"/>
  <c r="BA70" i="3"/>
  <c r="BA95" i="3"/>
  <c r="F40" i="40"/>
  <c r="G556" i="3"/>
  <c r="BA400" i="3"/>
  <c r="BA415" i="3"/>
  <c r="AZ415" i="3" s="1"/>
  <c r="BL425" i="3"/>
  <c r="BL428" i="3"/>
  <c r="BA429" i="3"/>
  <c r="BA431" i="3"/>
  <c r="AZ431" i="3" s="1"/>
  <c r="BA440" i="3"/>
  <c r="BA452" i="3"/>
  <c r="AZ452" i="3" s="1"/>
  <c r="BA458" i="3"/>
  <c r="AZ458" i="3" s="1"/>
  <c r="BA470" i="3"/>
  <c r="AZ470" i="3" s="1"/>
  <c r="BL474" i="3"/>
  <c r="BA477" i="3"/>
  <c r="AZ477" i="3" s="1"/>
  <c r="BL359" i="3"/>
  <c r="AZ359" i="3" s="1"/>
  <c r="BL210" i="3"/>
  <c r="AZ210" i="3" s="1"/>
  <c r="BA212" i="3"/>
  <c r="BL273" i="3"/>
  <c r="BA275" i="3"/>
  <c r="BA291" i="3"/>
  <c r="BA128" i="3"/>
  <c r="AZ128" i="3" s="1"/>
  <c r="BL139" i="3"/>
  <c r="BL141" i="3"/>
  <c r="BA196" i="3"/>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AZ333" i="3" s="1"/>
  <c r="BA385" i="3"/>
  <c r="AZ385" i="3" s="1"/>
  <c r="BA386" i="3"/>
  <c r="AZ386" i="3" s="1"/>
  <c r="BL223" i="3"/>
  <c r="AZ223" i="3" s="1"/>
  <c r="G251" i="3"/>
  <c r="BA261" i="3"/>
  <c r="BL154" i="3"/>
  <c r="BL205" i="3"/>
  <c r="G570" i="3"/>
  <c r="G551" i="3"/>
  <c r="A15" i="62"/>
  <c r="B61" i="72" s="1"/>
  <c r="BL413" i="3"/>
  <c r="BL414" i="3"/>
  <c r="BL415" i="3"/>
  <c r="BL422" i="3"/>
  <c r="BL423" i="3"/>
  <c r="BA473" i="3"/>
  <c r="AZ473" i="3" s="1"/>
  <c r="BL489" i="3"/>
  <c r="BA239" i="3"/>
  <c r="AZ239" i="3" s="1"/>
  <c r="BL165" i="3"/>
  <c r="AZ165" i="3" s="1"/>
  <c r="BA194" i="3"/>
  <c r="BA102" i="3"/>
  <c r="AZ102" i="3" s="1"/>
  <c r="BL405" i="3"/>
  <c r="BL407" i="3"/>
  <c r="BA409" i="3"/>
  <c r="BL409" i="3"/>
  <c r="BL412" i="3"/>
  <c r="BA426" i="3"/>
  <c r="AZ426" i="3" s="1"/>
  <c r="BA430" i="3"/>
  <c r="G436" i="3"/>
  <c r="BL445" i="3"/>
  <c r="BA448" i="3"/>
  <c r="AZ448" i="3" s="1"/>
  <c r="BL449" i="3"/>
  <c r="BA457" i="3"/>
  <c r="AZ457" i="3" s="1"/>
  <c r="BA490" i="3"/>
  <c r="AZ490" i="3" s="1"/>
  <c r="BA307" i="3"/>
  <c r="BA317" i="3"/>
  <c r="AZ317" i="3" s="1"/>
  <c r="BL265" i="3"/>
  <c r="S40" i="33"/>
  <c r="H12" i="33"/>
  <c r="F44" i="39"/>
  <c r="BA399" i="3"/>
  <c r="BL406" i="3"/>
  <c r="BA407" i="3"/>
  <c r="BA410" i="3"/>
  <c r="AZ410" i="3" s="1"/>
  <c r="BL417" i="3"/>
  <c r="BA420" i="3"/>
  <c r="AZ420" i="3" s="1"/>
  <c r="G435" i="3"/>
  <c r="BL437" i="3"/>
  <c r="BA449" i="3"/>
  <c r="AZ449" i="3" s="1"/>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C5" i="3"/>
  <c r="BL560" i="3"/>
  <c r="AZ560" i="3" s="1"/>
  <c r="G560" i="3"/>
  <c r="BL558" i="3"/>
  <c r="BA558" i="3"/>
  <c r="BL557" i="3"/>
  <c r="BL556" i="3"/>
  <c r="BA556" i="3"/>
  <c r="G399" i="3"/>
  <c r="BL403" i="3"/>
  <c r="AZ403" i="3" s="1"/>
  <c r="BA406" i="3"/>
  <c r="BL408" i="3"/>
  <c r="BA413" i="3"/>
  <c r="BA422" i="3"/>
  <c r="BL435" i="3"/>
  <c r="AZ435" i="3" s="1"/>
  <c r="BA443" i="3"/>
  <c r="BA444" i="3"/>
  <c r="AZ444" i="3" s="1"/>
  <c r="BL456" i="3"/>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BL110" i="3"/>
  <c r="F3" i="35"/>
  <c r="BA586" i="3"/>
  <c r="G398" i="3"/>
  <c r="BL401" i="3"/>
  <c r="BL402" i="3"/>
  <c r="BA408" i="3"/>
  <c r="AZ408" i="3" s="1"/>
  <c r="BL421" i="3"/>
  <c r="BA425" i="3"/>
  <c r="AZ425" i="3" s="1"/>
  <c r="G427" i="3"/>
  <c r="G429" i="3"/>
  <c r="BL432" i="3"/>
  <c r="BA437" i="3"/>
  <c r="AZ437" i="3" s="1"/>
  <c r="G452" i="3"/>
  <c r="BA475" i="3"/>
  <c r="BL492" i="3"/>
  <c r="BL312" i="3"/>
  <c r="AZ312" i="3" s="1"/>
  <c r="G212" i="3"/>
  <c r="BA218" i="3"/>
  <c r="AZ218" i="3" s="1"/>
  <c r="BA229" i="3"/>
  <c r="AZ229" i="3" s="1"/>
  <c r="BA233" i="3"/>
  <c r="AZ233" i="3" s="1"/>
  <c r="BA241" i="3"/>
  <c r="BA250" i="3"/>
  <c r="BL260" i="3"/>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AZ110" i="3" s="1"/>
  <c r="N100" i="43"/>
  <c r="S21" i="21"/>
  <c r="E72" i="71"/>
  <c r="E71" i="71" s="1"/>
  <c r="U65" i="71"/>
  <c r="C32" i="71"/>
  <c r="F40" i="71"/>
  <c r="F41" i="71" s="1"/>
  <c r="V41" i="71" s="1"/>
  <c r="F60" i="71"/>
  <c r="F61" i="71" s="1"/>
  <c r="V61" i="71" s="1"/>
  <c r="S69" i="71"/>
  <c r="AB10" i="43"/>
  <c r="P74" i="67"/>
  <c r="BL314" i="3"/>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AZ492" i="3" s="1"/>
  <c r="G307" i="3"/>
  <c r="BA316" i="3"/>
  <c r="G347" i="3"/>
  <c r="BL393" i="3"/>
  <c r="AZ393" i="3" s="1"/>
  <c r="BA208" i="3"/>
  <c r="G219" i="3"/>
  <c r="BL224" i="3"/>
  <c r="BA227" i="3"/>
  <c r="G238" i="3"/>
  <c r="BA245" i="3"/>
  <c r="G256" i="3"/>
  <c r="BL261" i="3"/>
  <c r="BA269" i="3"/>
  <c r="AZ269" i="3" s="1"/>
  <c r="BL271" i="3"/>
  <c r="G279" i="3"/>
  <c r="BL285" i="3"/>
  <c r="G302" i="3"/>
  <c r="BA302" i="3"/>
  <c r="G154" i="3"/>
  <c r="BL162" i="3"/>
  <c r="G171" i="3"/>
  <c r="BA182" i="3"/>
  <c r="AZ182" i="3" s="1"/>
  <c r="G196" i="3"/>
  <c r="G28" i="3"/>
  <c r="G29" i="3"/>
  <c r="BA40" i="3"/>
  <c r="BL64" i="3"/>
  <c r="G79" i="3"/>
  <c r="G80" i="3"/>
  <c r="BL85" i="3"/>
  <c r="AZ85" i="3" s="1"/>
  <c r="BA88" i="3"/>
  <c r="BA92" i="3"/>
  <c r="G99" i="3"/>
  <c r="BL103" i="3"/>
  <c r="BL104" i="3"/>
  <c r="BA109" i="3"/>
  <c r="AZ109" i="3" s="1"/>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AZ60" i="3" s="1"/>
  <c r="BL60" i="3"/>
  <c r="BL80" i="3"/>
  <c r="BL101" i="3"/>
  <c r="E59" i="43"/>
  <c r="B57" i="43" s="1"/>
  <c r="C84" i="71"/>
  <c r="D65" i="71"/>
  <c r="E44" i="71"/>
  <c r="E45" i="71" s="1"/>
  <c r="U45" i="71" s="1"/>
  <c r="F56" i="71"/>
  <c r="F57" i="71" s="1"/>
  <c r="V57" i="71" s="1"/>
  <c r="BA280" i="3"/>
  <c r="AZ280" i="3" s="1"/>
  <c r="BA289" i="3"/>
  <c r="BA114" i="3"/>
  <c r="AZ114" i="3" s="1"/>
  <c r="BL118" i="3"/>
  <c r="BL125" i="3"/>
  <c r="BL157" i="3"/>
  <c r="BL191" i="3"/>
  <c r="BL198" i="3"/>
  <c r="G19" i="3"/>
  <c r="BL42" i="3"/>
  <c r="G47" i="3"/>
  <c r="G50" i="3"/>
  <c r="BL56" i="3"/>
  <c r="BA63" i="3"/>
  <c r="BA65" i="3"/>
  <c r="G72" i="3"/>
  <c r="BL76" i="3"/>
  <c r="BL78" i="3"/>
  <c r="AZ78" i="3" s="1"/>
  <c r="BL79" i="3"/>
  <c r="AZ79" i="3" s="1"/>
  <c r="BL81" i="3"/>
  <c r="BL83" i="3"/>
  <c r="G91" i="3"/>
  <c r="G111" i="3"/>
  <c r="C80" i="7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AZ368" i="3" s="1"/>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AZ189" i="3" s="1"/>
  <c r="BA192" i="3"/>
  <c r="AZ192" i="3" s="1"/>
  <c r="G202" i="3"/>
  <c r="G36" i="3"/>
  <c r="BL68" i="3"/>
  <c r="BA72" i="3"/>
  <c r="BA75" i="3"/>
  <c r="AZ75" i="3" s="1"/>
  <c r="G85" i="3"/>
  <c r="G86" i="3"/>
  <c r="BA98" i="3"/>
  <c r="G104" i="3"/>
  <c r="P27" i="6"/>
  <c r="B48" i="71"/>
  <c r="B49" i="71" s="1"/>
  <c r="S49" i="71" s="1"/>
  <c r="BA13" i="3"/>
  <c r="AZ13" i="3" s="1"/>
  <c r="G19" i="6"/>
  <c r="G27" i="6" s="1"/>
  <c r="F19" i="6"/>
  <c r="S8" i="40"/>
  <c r="AA25" i="40"/>
  <c r="U25" i="40"/>
  <c r="W25" i="40"/>
  <c r="W23"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Z563" i="3"/>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4" i="3"/>
  <c r="AZ332" i="3"/>
  <c r="AZ423" i="3"/>
  <c r="AZ421" i="3"/>
  <c r="AZ474" i="3"/>
  <c r="AZ413" i="3"/>
  <c r="AZ416" i="3"/>
  <c r="AZ402" i="3"/>
  <c r="AZ438" i="3"/>
  <c r="BA459" i="3"/>
  <c r="BA472" i="3"/>
  <c r="BA350" i="3"/>
  <c r="BA370" i="3"/>
  <c r="AZ370" i="3" s="1"/>
  <c r="BA211" i="3"/>
  <c r="AZ211" i="3" s="1"/>
  <c r="G220" i="3"/>
  <c r="BL244" i="3"/>
  <c r="BL245" i="3"/>
  <c r="AZ245" i="3" s="1"/>
  <c r="BA249" i="3"/>
  <c r="AZ249" i="3" s="1"/>
  <c r="BA255" i="3"/>
  <c r="AZ255" i="3" s="1"/>
  <c r="BA117" i="3"/>
  <c r="AZ117" i="3" s="1"/>
  <c r="BA471" i="3"/>
  <c r="AZ471" i="3" s="1"/>
  <c r="BA484" i="3"/>
  <c r="AZ484" i="3" s="1"/>
  <c r="BA349" i="3"/>
  <c r="AZ349" i="3" s="1"/>
  <c r="BA354" i="3"/>
  <c r="AZ354" i="3" s="1"/>
  <c r="BA367" i="3"/>
  <c r="AZ367" i="3" s="1"/>
  <c r="BA395" i="3"/>
  <c r="AZ395" i="3" s="1"/>
  <c r="BA397" i="3"/>
  <c r="AZ397" i="3" s="1"/>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AZ468" i="3" s="1"/>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AZ285" i="3"/>
  <c r="AZ70" i="3"/>
  <c r="G444" i="3"/>
  <c r="BA467" i="3"/>
  <c r="AZ467" i="3" s="1"/>
  <c r="AZ219" i="3"/>
  <c r="BA225" i="3"/>
  <c r="AZ225" i="3" s="1"/>
  <c r="BL256" i="3"/>
  <c r="BL479" i="3"/>
  <c r="AZ479" i="3" s="1"/>
  <c r="BL480" i="3"/>
  <c r="G396" i="3"/>
  <c r="BL237" i="3"/>
  <c r="BA238" i="3"/>
  <c r="BL242" i="3"/>
  <c r="BA270" i="3"/>
  <c r="AZ270" i="3" s="1"/>
  <c r="BA463" i="3"/>
  <c r="AZ463" i="3" s="1"/>
  <c r="BL463" i="3"/>
  <c r="BA491" i="3"/>
  <c r="AZ491" i="3" s="1"/>
  <c r="BL332" i="3"/>
  <c r="BL212" i="3"/>
  <c r="AZ212" i="3" s="1"/>
  <c r="BL220" i="3"/>
  <c r="BA257" i="3"/>
  <c r="BL262" i="3"/>
  <c r="BL281" i="3"/>
  <c r="BL442" i="3"/>
  <c r="BL450" i="3"/>
  <c r="BL451" i="3"/>
  <c r="BA480" i="3"/>
  <c r="AZ480" i="3" s="1"/>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AZ134" i="3" s="1"/>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AZ150" i="3" s="1"/>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AZ125" i="3" s="1"/>
  <c r="BA141" i="3"/>
  <c r="AZ141" i="3" s="1"/>
  <c r="BA25" i="3"/>
  <c r="U21" i="21"/>
  <c r="AB21" i="21"/>
  <c r="BL279" i="3"/>
  <c r="AZ279" i="3" s="1"/>
  <c r="BL291" i="3"/>
  <c r="AZ291" i="3" s="1"/>
  <c r="BA118" i="3"/>
  <c r="AZ118" i="3" s="1"/>
  <c r="BA120" i="3"/>
  <c r="AZ120" i="3" s="1"/>
  <c r="BA122" i="3"/>
  <c r="AZ122" i="3" s="1"/>
  <c r="BA130" i="3"/>
  <c r="AZ130" i="3" s="1"/>
  <c r="BA133" i="3"/>
  <c r="BL178" i="3"/>
  <c r="BA181" i="3"/>
  <c r="AZ181" i="3" s="1"/>
  <c r="BA188" i="3"/>
  <c r="AZ188" i="3" s="1"/>
  <c r="BL207" i="3"/>
  <c r="BL18" i="3"/>
  <c r="BL21" i="3"/>
  <c r="BA56" i="3"/>
  <c r="BA80" i="3"/>
  <c r="AZ80" i="3" s="1"/>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AZ18" i="3"/>
  <c r="BA19" i="3"/>
  <c r="AZ19" i="3" s="1"/>
  <c r="BA21" i="3"/>
  <c r="BL45" i="3"/>
  <c r="BL46" i="3"/>
  <c r="AZ46" i="3" s="1"/>
  <c r="BL48" i="3"/>
  <c r="AZ48" i="3" s="1"/>
  <c r="BL50" i="3"/>
  <c r="AZ50" i="3" s="1"/>
  <c r="BL53" i="3"/>
  <c r="BA57" i="3"/>
  <c r="AZ57" i="3" s="1"/>
  <c r="BL70" i="3"/>
  <c r="BL71" i="3"/>
  <c r="BL95" i="3"/>
  <c r="AZ95" i="3" s="1"/>
  <c r="BA99" i="3"/>
  <c r="AZ99" i="3" s="1"/>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AZ281" i="3" s="1"/>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AZ39" i="3" s="1"/>
  <c r="BA43" i="3"/>
  <c r="BA44" i="3"/>
  <c r="AZ44" i="3" s="1"/>
  <c r="BL44" i="3"/>
  <c r="BA47" i="3"/>
  <c r="AZ47" i="3" s="1"/>
  <c r="BA71" i="3"/>
  <c r="AZ71" i="3" s="1"/>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Z112" i="3" s="1"/>
  <c r="AB23" i="71"/>
  <c r="G255" i="3"/>
  <c r="G290" i="3"/>
  <c r="G123" i="3"/>
  <c r="G131" i="3"/>
  <c r="BL158" i="3"/>
  <c r="AZ158" i="3" s="1"/>
  <c r="BA160" i="3"/>
  <c r="AZ160" i="3" s="1"/>
  <c r="BA162" i="3"/>
  <c r="AZ162" i="3" s="1"/>
  <c r="BA166" i="3"/>
  <c r="BL194" i="3"/>
  <c r="AZ194" i="3" s="1"/>
  <c r="BA201" i="3"/>
  <c r="AZ201" i="3" s="1"/>
  <c r="BL31" i="3"/>
  <c r="AZ31" i="3" s="1"/>
  <c r="BL36" i="3"/>
  <c r="AZ36" i="3" s="1"/>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C79" i="71"/>
  <c r="D79" i="71" s="1"/>
  <c r="D80" i="71"/>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4" i="67"/>
  <c r="M6" i="15"/>
  <c r="F36" i="15"/>
  <c r="C17" i="67"/>
  <c r="M23" i="15"/>
  <c r="L47" i="15"/>
  <c r="F38" i="15"/>
  <c r="F37" i="15"/>
  <c r="F40" i="15"/>
  <c r="D4" i="73"/>
  <c r="M9" i="15"/>
  <c r="C16" i="67"/>
  <c r="D6" i="73"/>
  <c r="F40" i="67"/>
  <c r="C14" i="67"/>
  <c r="M8" i="15"/>
  <c r="F26" i="15"/>
  <c r="G1" i="73"/>
  <c r="L48" i="15"/>
  <c r="M24" i="15"/>
  <c r="F8" i="15"/>
  <c r="F42" i="15"/>
  <c r="J15" i="15"/>
  <c r="C76" i="15"/>
  <c r="F6" i="15"/>
  <c r="F13" i="15"/>
  <c r="M27" i="15"/>
  <c r="M28" i="15"/>
  <c r="F65" i="15" l="1"/>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Z49" i="3"/>
  <c r="AZ146" i="3"/>
  <c r="AZ81" i="3"/>
  <c r="E19" i="6"/>
  <c r="K6" i="1" s="1"/>
  <c r="AH6" i="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AC7" i="36"/>
  <c r="V36" i="36" s="1"/>
  <c r="I36" i="36" s="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F7" i="15"/>
  <c r="M29" i="15"/>
  <c r="F43" i="15"/>
  <c r="F50" i="15" l="1"/>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 i="6"/>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F41" i="15"/>
  <c r="B6" i="76"/>
  <c r="C14"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C57"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Q49" i="15" l="1"/>
  <c r="C13" i="15"/>
  <c r="C56" i="15" s="1"/>
  <c r="C65" i="15" s="1"/>
  <c r="J19" i="15"/>
  <c r="J14" i="15"/>
  <c r="J22" i="15" s="1"/>
  <c r="C36" i="15"/>
  <c r="F11" i="40"/>
  <c r="H11" i="40"/>
  <c r="J11" i="40"/>
  <c r="C61" i="15"/>
  <c r="C64" i="15"/>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15" l="1"/>
  <c r="C37" i="15"/>
  <c r="C30" i="15" s="1"/>
  <c r="C39" i="15" s="1"/>
  <c r="C75" i="15"/>
  <c r="Q70" i="15"/>
  <c r="J13" i="15"/>
  <c r="J23" i="15" s="1"/>
  <c r="W11" i="40"/>
  <c r="AC11" i="40"/>
  <c r="AB11" i="40"/>
  <c r="U11" i="40"/>
  <c r="C59" i="15"/>
  <c r="C58" i="15" s="1"/>
  <c r="C67" i="15" s="1"/>
  <c r="C68" i="15" s="1"/>
  <c r="C71" i="15" s="1"/>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D19" i="9"/>
  <c r="AO6" i="1"/>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s="1"/>
  <c r="B2" i="40" s="1"/>
  <c r="B3" i="40" l="1"/>
  <c r="D5" i="71"/>
  <c r="M20" i="43"/>
  <c r="C7" i="68" l="1"/>
  <c r="C5" i="68" s="1"/>
  <c r="C23" i="68" l="1"/>
  <c r="C20" i="68"/>
  <c r="C25" i="68" s="1"/>
  <c r="C28" i="68" l="1"/>
  <c r="C27" i="68" s="1"/>
  <c r="C22" i="68"/>
  <c r="C31" i="68" l="1"/>
  <c r="C52" i="68" s="1"/>
  <c r="B2" i="68" s="1"/>
  <c r="C19" i="9"/>
  <c r="C57" i="68" l="1"/>
  <c r="C56" i="68" s="1"/>
  <c r="D22" i="9"/>
  <c r="G19" i="9"/>
  <c r="I19" i="9" s="1"/>
  <c r="C102" i="9"/>
  <c r="C21" i="9"/>
  <c r="B3" i="68"/>
  <c r="C20" i="9"/>
  <c r="G21" i="9" l="1"/>
  <c r="C103" i="9"/>
  <c r="G20" i="9"/>
  <c r="C32" i="9" s="1"/>
  <c r="C35" i="9" s="1"/>
  <c r="C34" i="9" s="1"/>
  <c r="M54" i="9" l="1"/>
  <c r="D56" i="9"/>
  <c r="D58" i="9"/>
  <c r="C97" i="9"/>
  <c r="M67" i="9"/>
  <c r="L67" i="9"/>
  <c r="M55" i="9"/>
  <c r="D59" i="9"/>
  <c r="B22" i="72"/>
  <c r="D6" i="53"/>
  <c r="F119" i="9"/>
  <c r="F5" i="52"/>
  <c r="B53" i="72"/>
  <c r="B47" i="72"/>
  <c r="D4" i="52"/>
  <c r="C6" i="74"/>
  <c r="G14" i="74"/>
  <c r="B6" i="74"/>
  <c r="D6" i="74"/>
  <c r="B31" i="72"/>
  <c r="D15" i="53"/>
  <c r="H108" i="9"/>
  <c r="C73" i="9"/>
  <c r="C78" i="9"/>
  <c r="G4" i="52"/>
  <c r="B52" i="72"/>
  <c r="P57" i="9"/>
  <c r="D55" i="9"/>
  <c r="M53" i="9"/>
  <c r="N57" i="9"/>
  <c r="N58" i="9"/>
  <c r="M65" i="9"/>
  <c r="L65" i="9"/>
  <c r="H102" i="9"/>
  <c r="D7" i="53"/>
  <c r="B21" i="72"/>
  <c r="C104" i="9"/>
  <c r="H4" i="52"/>
  <c r="M66" i="9"/>
  <c r="L66" i="9"/>
  <c r="E97" i="9"/>
  <c r="E96" i="9"/>
  <c r="C85" i="9"/>
  <c r="C95" i="9"/>
  <c r="C96" i="9"/>
  <c r="H119" i="9"/>
  <c r="H5" i="52"/>
  <c r="D5" i="74"/>
  <c r="B5" i="74"/>
  <c r="C5" i="74"/>
  <c r="E81" i="9"/>
  <c r="E80" i="9"/>
  <c r="C80" i="9"/>
  <c r="D5" i="53"/>
  <c r="B20" i="72"/>
  <c r="I4" i="52"/>
  <c r="C105" i="9"/>
  <c r="B30" i="72"/>
  <c r="N60" i="9"/>
  <c r="N59" i="9"/>
  <c r="N61" i="9"/>
  <c r="C86" i="9"/>
  <c r="C93" i="9"/>
  <c r="D118" i="9"/>
  <c r="D119" i="9"/>
  <c r="D5" i="52"/>
  <c r="B49" i="72"/>
  <c r="D13" i="53"/>
  <c r="D14" i="53"/>
  <c r="B32" i="72"/>
  <c r="M64" i="9"/>
  <c r="L64" i="9"/>
  <c r="C64" i="9"/>
  <c r="C63" i="9"/>
  <c r="C67" i="9"/>
  <c r="C68" i="9"/>
  <c r="D54" i="9"/>
  <c r="C72" i="9"/>
  <c r="C79" i="9"/>
  <c r="C81" i="9"/>
  <c r="D9" i="52"/>
  <c r="D123" i="9"/>
  <c r="D53" i="9"/>
  <c r="D45" i="9"/>
  <c r="D52" i="9"/>
  <c r="E14" i="74"/>
  <c r="D14" i="74"/>
  <c r="F14" i="74"/>
  <c r="L63" i="9"/>
  <c r="M63" i="9"/>
  <c r="M69" i="9"/>
  <c r="N69" i="9"/>
  <c r="M48" i="9"/>
  <c r="E118" i="9"/>
  <c r="E4" i="52"/>
  <c r="B48" i="72"/>
  <c r="D122" i="9"/>
  <c r="D8" i="52"/>
  <c r="G118" i="9"/>
  <c r="F118" i="9"/>
  <c r="F4" i="52"/>
  <c r="B51" i="72"/>
  <c r="I118" i="9"/>
  <c r="H118" i="9"/>
  <c r="H101" i="9"/>
  <c r="H107" i="9"/>
  <c r="M49" i="9"/>
  <c r="L68" i="9"/>
  <c r="M6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<sst xmlns="http://schemas.openxmlformats.org/spreadsheetml/2006/main" count="7596" uniqueCount="3285">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</sst>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5" borderId="0" xfId="17" applyNumberFormat="1" applyFill="1"/>
    <xf numFmtId="14" fontId="257" fillId="0" borderId="0" xfId="17" applyNumberFormat="1"/>
    <xf numFmtId="0" fontId="257" fillId="7" borderId="0" xfId="17" applyFill="1"/>
    <xf numFmtId="14" fontId="257" fillId="7" borderId="0" xfId="17" applyNumberFormat="1" applyFill="1"/>
    <xf numFmtId="0" fontId="258" fillId="12" borderId="0" xfId="0" applyFont="1" applyFill="1" applyAlignment="1" applyProtection="1">
      <alignment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0134;&#24196;&#20140;&#31934;&#21307;&#30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3302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23937.22</v>
      </c>
    </row>
    <row r="44" spans="1:2" s="1318" customFormat="1" ht="31.2">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80" t="str">
        <f>IF(B10="北京市","北京市",C10)&amp;F10&amp;IF(结果表!G1="在建","出让国有建设用地使用权及在建建筑物",IF(结果表!G1="土地","出让国有建设用地使用权",))&amp;B9&amp;"预评估"</f>
        <v>北京市房地产抵押价值预评估</v>
      </c>
      <c r="C1" s="3281"/>
      <c r="D1" s="3281"/>
      <c r="E1" s="3281"/>
      <c r="F1" s="3281"/>
      <c r="G1" s="3281"/>
      <c r="H1" s="3281"/>
      <c r="I1" s="328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83" t="s">
        <v>2677</v>
      </c>
      <c r="E8" s="2565" t="s">
        <v>3175</v>
      </c>
      <c r="F8" s="2566"/>
      <c r="G8" s="2840"/>
      <c r="H8" s="2840"/>
      <c r="I8" s="2840"/>
      <c r="J8" s="2615"/>
      <c r="K8" s="2790"/>
      <c r="L8" s="2789"/>
      <c r="M8" s="2789"/>
      <c r="N8" s="2615"/>
      <c r="O8" s="2626"/>
      <c r="P8" s="2615"/>
      <c r="Q8" s="2615"/>
      <c r="R8" s="2615"/>
    </row>
    <row r="9" spans="1:28" ht="13.8" thickBot="1">
      <c r="A9" s="2567" t="s">
        <v>2678</v>
      </c>
      <c r="B9" s="2568" t="s">
        <v>3175</v>
      </c>
      <c r="C9" s="2569"/>
      <c r="D9" s="3284"/>
      <c r="E9" s="2568"/>
      <c r="F9" s="2570"/>
      <c r="G9" s="2842"/>
      <c r="H9" s="2842"/>
      <c r="I9" s="2842"/>
      <c r="J9" s="2615"/>
      <c r="K9" s="2792"/>
      <c r="L9" s="2789"/>
      <c r="M9" s="2789"/>
      <c r="N9" s="2615"/>
      <c r="O9" s="2626"/>
      <c r="P9" s="2615"/>
      <c r="Q9" s="2615"/>
      <c r="R9" s="2615"/>
    </row>
    <row r="10" spans="1:28" ht="13.8"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290"/>
      <c r="C16" s="3291"/>
      <c r="D16" s="3292"/>
      <c r="E16" s="2589" t="s">
        <v>2694</v>
      </c>
      <c r="F16" s="3293"/>
      <c r="G16" s="3294"/>
      <c r="H16" s="3294"/>
      <c r="I16" s="3295"/>
      <c r="J16" s="2615"/>
      <c r="K16" s="2794"/>
      <c r="L16" s="2627"/>
      <c r="M16" s="2627"/>
      <c r="N16" s="2685"/>
      <c r="O16" s="2627"/>
      <c r="P16" s="2685"/>
      <c r="Q16" s="2615"/>
      <c r="R16" s="2615"/>
    </row>
    <row r="17" spans="1:28">
      <c r="A17" s="319" t="s">
        <v>2695</v>
      </c>
      <c r="B17" s="308" t="s">
        <v>2696</v>
      </c>
      <c r="C17" s="11">
        <f>'数据-汇总表'!E3</f>
        <v>23937.22</v>
      </c>
      <c r="D17" s="2496" t="s">
        <v>2697</v>
      </c>
      <c r="E17" s="3296" t="s">
        <v>2698</v>
      </c>
      <c r="F17" s="3297"/>
      <c r="G17" s="3297"/>
      <c r="H17" s="3297"/>
      <c r="I17" s="3298"/>
      <c r="J17" s="2615"/>
      <c r="K17" s="2795"/>
      <c r="L17" s="2627"/>
      <c r="M17" s="2627"/>
      <c r="N17" s="2685"/>
      <c r="O17" s="2627"/>
      <c r="P17" s="2685"/>
      <c r="Q17" s="2615"/>
      <c r="R17" s="2615"/>
      <c r="S17" s="2615"/>
      <c r="T17" s="2615"/>
      <c r="U17" s="2615"/>
      <c r="V17" s="2615"/>
    </row>
    <row r="18" spans="1:28" ht="24.6" thickBot="1">
      <c r="A18" s="2590" t="s">
        <v>2699</v>
      </c>
      <c r="B18" s="1203" t="s">
        <v>2700</v>
      </c>
      <c r="C18" s="2591">
        <f>'数据-汇总表'!D3</f>
        <v>9356.9</v>
      </c>
      <c r="D18" s="1205" t="s">
        <v>2701</v>
      </c>
      <c r="E18" s="3299" t="s">
        <v>2702</v>
      </c>
      <c r="F18" s="3300"/>
      <c r="G18" s="3300"/>
      <c r="H18" s="3300"/>
      <c r="I18" s="3301"/>
      <c r="J18" s="2615"/>
      <c r="K18" s="2795"/>
      <c r="L18" s="2627"/>
      <c r="M18" s="2627"/>
      <c r="N18" s="2685"/>
      <c r="O18" s="2627"/>
      <c r="P18" s="2685"/>
      <c r="Q18" s="2615"/>
      <c r="R18" s="2615"/>
      <c r="S18" s="2615"/>
      <c r="T18" s="2615"/>
      <c r="U18" s="2615"/>
      <c r="V18" s="2615"/>
    </row>
    <row r="19" spans="1:28" ht="37.200000000000003"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6" t="s">
        <v>2706</v>
      </c>
      <c r="C20" s="3287"/>
      <c r="D20" s="3288" t="s">
        <v>2707</v>
      </c>
      <c r="E20" s="3289"/>
      <c r="F20" s="2824" t="s">
        <v>1501</v>
      </c>
      <c r="G20" s="2841"/>
      <c r="H20" s="2841"/>
      <c r="I20" s="2841"/>
      <c r="J20" s="2615"/>
      <c r="K20" s="328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2709</v>
      </c>
      <c r="C21" s="2811" t="s">
        <v>1502</v>
      </c>
      <c r="D21" s="1704" t="s">
        <v>2710</v>
      </c>
      <c r="E21" s="2812" t="s">
        <v>1502</v>
      </c>
      <c r="F21" s="2825"/>
      <c r="G21" s="2841"/>
      <c r="H21" s="2841"/>
      <c r="I21" s="2841"/>
      <c r="J21" s="2615"/>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2711</v>
      </c>
      <c r="C22" s="2811" t="s">
        <v>1503</v>
      </c>
      <c r="D22" s="2840"/>
      <c r="E22" s="2840"/>
      <c r="F22" s="2840"/>
      <c r="G22" s="2841"/>
      <c r="H22" s="2841"/>
      <c r="I22" s="2841"/>
      <c r="J22" s="2615"/>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303"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3"/>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3"/>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4"/>
      <c r="B30" s="308" t="s">
        <v>2718</v>
      </c>
      <c r="C30" s="3305"/>
      <c r="D30" s="3306"/>
      <c r="E30" s="2841"/>
      <c r="F30" s="2841"/>
      <c r="G30" s="2841"/>
      <c r="H30" s="2841"/>
      <c r="I30" s="2841"/>
      <c r="J30" s="2615"/>
      <c r="K30" s="2792"/>
      <c r="L30" s="2789"/>
      <c r="M30" s="2789"/>
      <c r="N30" s="2615"/>
      <c r="O30" s="2626"/>
      <c r="P30" s="2615"/>
      <c r="Q30" s="2615"/>
      <c r="R30" s="2615"/>
      <c r="S30" s="2615"/>
      <c r="T30" s="2615"/>
      <c r="U30" s="2615"/>
      <c r="V30" s="2615"/>
    </row>
    <row r="31" spans="1:28">
      <c r="A31" s="3307"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302" t="s">
        <v>2728</v>
      </c>
      <c r="T34" s="2604" t="str">
        <f>NUMBERSTRING(7-K34,1)&amp;"通"</f>
        <v>七通</v>
      </c>
      <c r="U34" s="2615"/>
      <c r="V34" s="2615"/>
    </row>
    <row r="35" spans="1:30">
      <c r="A35" s="2605"/>
      <c r="B35" s="3309" t="s">
        <v>2729</v>
      </c>
      <c r="C35" s="3309"/>
      <c r="D35" s="3309"/>
      <c r="E35" s="3309"/>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02"/>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8"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9" sqref="K9"/>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23937.22</v>
      </c>
      <c r="H5" s="16">
        <f t="shared" ref="H5:AT5" si="0">SUM(H13:H656)</f>
        <v>23917.210000000003</v>
      </c>
      <c r="I5" s="16">
        <f t="shared" si="0"/>
        <v>20126.390000000003</v>
      </c>
      <c r="J5" s="16">
        <f t="shared" si="0"/>
        <v>0</v>
      </c>
      <c r="K5" s="16">
        <f t="shared" si="0"/>
        <v>3790.82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20.010000000000002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20.010000000000002</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23917.210000000003</v>
      </c>
      <c r="BB5" s="18">
        <f t="shared" si="1"/>
        <v>20126.390000000003</v>
      </c>
      <c r="BC5" s="18">
        <f t="shared" si="1"/>
        <v>3790.82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20.010000000000002</v>
      </c>
      <c r="BM5" s="18">
        <f t="shared" si="1"/>
        <v>0</v>
      </c>
      <c r="BN5" s="18">
        <f t="shared" si="1"/>
        <v>0</v>
      </c>
      <c r="BO5" s="18">
        <f t="shared" si="1"/>
        <v>0</v>
      </c>
      <c r="BP5" s="18">
        <f t="shared" si="1"/>
        <v>0</v>
      </c>
      <c r="BQ5" s="18">
        <f t="shared" si="1"/>
        <v>20.010000000000002</v>
      </c>
      <c r="BR5" s="18">
        <f t="shared" si="1"/>
        <v>0</v>
      </c>
      <c r="BS5" s="18">
        <f t="shared" si="1"/>
        <v>0</v>
      </c>
      <c r="BT5" s="19">
        <f t="shared" si="1"/>
        <v>0</v>
      </c>
    </row>
    <row r="6" spans="1:72" s="1725" customFormat="1" ht="13.2">
      <c r="A6" s="15" t="s">
        <v>1517</v>
      </c>
      <c r="B6" s="1722"/>
      <c r="C6" s="1722"/>
      <c r="D6" s="1723"/>
      <c r="E6" s="16">
        <f>H6+AC6+AT6</f>
        <v>9356.9</v>
      </c>
      <c r="F6" s="16" t="s">
        <v>1</v>
      </c>
      <c r="G6" s="16" t="s">
        <v>2</v>
      </c>
      <c r="H6" s="20">
        <f>SUMIF(I$12:AB$12,"总值",I6:AB6)</f>
        <v>9349.08</v>
      </c>
      <c r="I6" s="16">
        <f t="shared" ref="I6:AB6" si="2">ROUND($A$3*I5/$B$3,2)</f>
        <v>7867.27</v>
      </c>
      <c r="J6" s="16">
        <f t="shared" si="2"/>
        <v>0</v>
      </c>
      <c r="K6" s="16">
        <f t="shared" si="2"/>
        <v>1481.81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7.82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9349.08</v>
      </c>
      <c r="BB6" s="16">
        <f>ROUND($AY$6*BB5/$AZ$5,2)</f>
        <v>7867.27</v>
      </c>
      <c r="BC6" s="16">
        <f t="shared" ref="BC6:BH6" si="4">ROUND($AY$6*BC5/$AZ$5,2)</f>
        <v>1481.81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7.82</v>
      </c>
      <c r="BM6" s="16">
        <f t="shared" si="5"/>
        <v>0</v>
      </c>
      <c r="BN6" s="16">
        <f t="shared" si="5"/>
        <v>0</v>
      </c>
      <c r="BO6" s="16">
        <f t="shared" si="5"/>
        <v>0</v>
      </c>
      <c r="BP6" s="16">
        <f t="shared" si="5"/>
        <v>0</v>
      </c>
      <c r="BQ6" s="16">
        <f t="shared" si="5"/>
        <v>7.82</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v>3</v>
      </c>
      <c r="D15" s="1761" t="s">
        <v>3179</v>
      </c>
      <c r="E15" s="16">
        <f>IF($C$3="是",ROUND($A$3*G15/$B$3,2),ROUND($A$3*(G15-AT15)/$B$3,2))</f>
        <v>7.82</v>
      </c>
      <c r="F15" s="32"/>
      <c r="G15" s="33">
        <f>H15+AC15+AT15</f>
        <v>20.010000000000002</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20.010000000000002</v>
      </c>
      <c r="AD15" s="1763"/>
      <c r="AE15" s="1763"/>
      <c r="AF15" s="1763"/>
      <c r="AG15" s="1763"/>
      <c r="AH15" s="1763"/>
      <c r="AI15" s="1763"/>
      <c r="AJ15" s="1763"/>
      <c r="AK15" s="1763"/>
      <c r="AL15" s="1763">
        <v>20.010000000000002</v>
      </c>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20.010000000000002</v>
      </c>
      <c r="BM15" s="16">
        <f>IF($D15="是",AD15-AE15,0)</f>
        <v>0</v>
      </c>
      <c r="BN15" s="16">
        <f>IF($D15="是",AF15-AG15,0)</f>
        <v>0</v>
      </c>
      <c r="BO15" s="16">
        <f>IF($D15="是",AH15-AI15,0)</f>
        <v>0</v>
      </c>
      <c r="BP15" s="16">
        <f>IF($D15="是",AJ15-AK15,0)</f>
        <v>0</v>
      </c>
      <c r="BQ15" s="16">
        <f>IF($D15="是",AL15-AM15,0)</f>
        <v>20.010000000000002</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46.8">
      <c r="A3" s="3310"/>
      <c r="B3" s="3310"/>
      <c r="C3" s="3310"/>
      <c r="D3" s="3311"/>
      <c r="E3" s="331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37" sqref="R37"/>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1" t="s">
        <v>1576</v>
      </c>
      <c r="B2" s="3321"/>
      <c r="C2" s="3321"/>
      <c r="D2" s="885" t="s">
        <v>1552</v>
      </c>
      <c r="E2" s="1775" t="s">
        <v>1553</v>
      </c>
      <c r="F2" s="2836"/>
      <c r="G2" s="2827"/>
      <c r="H2" s="2828"/>
      <c r="I2" s="2499" t="s">
        <v>1577</v>
      </c>
      <c r="J2" s="2836"/>
      <c r="K2" s="2836"/>
      <c r="L2" s="2836"/>
      <c r="M2" s="2836"/>
      <c r="N2" s="2838"/>
      <c r="O2" s="2836"/>
      <c r="P2" s="2836"/>
    </row>
    <row r="3" spans="1:16" ht="15" thickBot="1">
      <c r="A3" s="3322" t="s">
        <v>1550</v>
      </c>
      <c r="B3" s="3322"/>
      <c r="C3" s="3322"/>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4.4">
      <c r="A4" s="3323"/>
      <c r="B4" s="3324"/>
      <c r="C4" s="3325"/>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ht="14.4">
      <c r="A5" s="47" t="s">
        <v>1554</v>
      </c>
      <c r="B5" s="3326" t="s">
        <v>1555</v>
      </c>
      <c r="C5" s="3326"/>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6" t="s">
        <v>1556</v>
      </c>
      <c r="C6" s="3326"/>
      <c r="D6" s="48">
        <f>ROUND($D$3*E6/$E$3,2)</f>
        <v>9356.9</v>
      </c>
      <c r="E6" s="49">
        <f>E3-E5</f>
        <v>23937.22</v>
      </c>
      <c r="F6" s="2836"/>
      <c r="G6" s="2830" t="s">
        <v>1557</v>
      </c>
      <c r="H6" s="1261" t="s">
        <v>1558</v>
      </c>
      <c r="I6" s="2831">
        <f>ROUND(F31/D31,2)</f>
        <v>2.15</v>
      </c>
      <c r="J6" s="2836"/>
      <c r="K6" s="2836"/>
      <c r="L6" s="2836"/>
      <c r="M6" s="2836"/>
      <c r="N6" s="2836"/>
      <c r="O6" s="2836"/>
      <c r="P6" s="2836"/>
    </row>
    <row r="7" spans="1:16" ht="15" thickBot="1">
      <c r="A7" s="3318"/>
      <c r="B7" s="3319"/>
      <c r="C7" s="3320"/>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7867.27</v>
      </c>
      <c r="E8" s="51">
        <f>SUMIF('数据-基础表'!BB10:BK10,"地上",'数据-基础表'!BB5:BK5)</f>
        <v>20126.390000000003</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7867.27</v>
      </c>
      <c r="E16" s="53">
        <f>SUM(E8:E15)</f>
        <v>20126.390000000003</v>
      </c>
      <c r="F16" s="2836"/>
      <c r="G16" s="2837"/>
      <c r="H16" s="1784" t="s">
        <v>1580</v>
      </c>
      <c r="I16" s="1785"/>
      <c r="J16" s="1254"/>
      <c r="K16" s="3315" t="s">
        <v>1580</v>
      </c>
      <c r="L16" s="3316"/>
      <c r="M16" s="3316"/>
      <c r="N16" s="3316"/>
      <c r="O16" s="3316"/>
      <c r="P16" s="3317"/>
    </row>
    <row r="17" spans="1:19" ht="14.4">
      <c r="A17" s="1786" t="s">
        <v>1581</v>
      </c>
      <c r="B17" s="1787" t="s">
        <v>1582</v>
      </c>
      <c r="C17" s="1788" t="s">
        <v>1583</v>
      </c>
      <c r="D17" s="1789" t="s">
        <v>1571</v>
      </c>
      <c r="E17" s="1790" t="s">
        <v>1572</v>
      </c>
      <c r="F17" s="1791"/>
      <c r="G17" s="1792"/>
      <c r="H17" s="1793" t="s">
        <v>1584</v>
      </c>
      <c r="I17" s="1794" t="s">
        <v>1569</v>
      </c>
      <c r="J17" s="1254"/>
      <c r="K17" s="3312" t="s">
        <v>1585</v>
      </c>
      <c r="L17" s="3313"/>
      <c r="M17" s="3314"/>
      <c r="N17" s="3312" t="s">
        <v>1586</v>
      </c>
      <c r="O17" s="3313"/>
      <c r="P17" s="3314"/>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3192</v>
      </c>
      <c r="D19" s="48">
        <f>ROUND($D$3*E19/$E$3,2)</f>
        <v>9349.08</v>
      </c>
      <c r="E19" s="56">
        <f t="shared" ref="E19:E26" si="1">SUM(F19:G19)</f>
        <v>23917.210000000003</v>
      </c>
      <c r="F19" s="2976">
        <f>'数据-基础表'!I5</f>
        <v>20126.390000000003</v>
      </c>
      <c r="G19" s="2977">
        <f>'数据-基础表'!K5</f>
        <v>3790.82</v>
      </c>
      <c r="H19" s="679">
        <f>ROUND($D$3*I19/$E$3,2)</f>
        <v>7.82</v>
      </c>
      <c r="I19" s="51">
        <f t="shared" ref="I19:I26" si="2">IF($I$17="自定义",P19,M19)</f>
        <v>20.010000000000002</v>
      </c>
      <c r="J19" s="1254"/>
      <c r="K19" s="1253">
        <f t="shared" ref="K19:K26" si="3">ROUND(E$28*E19/E$27,2)</f>
        <v>20.010000000000002</v>
      </c>
      <c r="L19" s="1138">
        <f t="shared" ref="L19:L26" si="4">ROUND(IF(COUNTIF(C19,"*住宅*")&gt;0,E$29*E19/E$32,0),2)</f>
        <v>0</v>
      </c>
      <c r="M19" s="1265">
        <f>K19+L19</f>
        <v>20.010000000000002</v>
      </c>
      <c r="N19" s="1805"/>
      <c r="O19" s="1806"/>
      <c r="P19" s="1265">
        <f>N19+O19</f>
        <v>0</v>
      </c>
      <c r="R19" s="1138">
        <f t="shared" ref="R19:S26" si="5">D19+H19</f>
        <v>9356.9</v>
      </c>
      <c r="S19" s="1139">
        <f t="shared" si="5"/>
        <v>23937.22</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9349.08</v>
      </c>
      <c r="E27" s="1256">
        <f>IF(SUM(E19:E26)='数据-基础表'!BA5,SUM(E19:E26),IF(F27="地上面积有误","面积有误","地下面积有误"))</f>
        <v>23917.210000000003</v>
      </c>
      <c r="F27" s="1255">
        <f>IF(SUM(F19:F26)=E8,SUM(F19:F26),"地上面积有误")</f>
        <v>20126.390000000003</v>
      </c>
      <c r="G27" s="1257">
        <f>SUM(G19:G26)</f>
        <v>3790.82</v>
      </c>
      <c r="H27" s="1258">
        <f>SUM(H19:H26)</f>
        <v>7.82</v>
      </c>
      <c r="I27" s="1259">
        <f>SUM(I19:I26)</f>
        <v>20.010000000000002</v>
      </c>
      <c r="J27" s="1254"/>
      <c r="K27" s="1262">
        <f>SUM(K19:K26)</f>
        <v>20.010000000000002</v>
      </c>
      <c r="L27" s="1263">
        <f>SUM(L19:L26)</f>
        <v>0</v>
      </c>
      <c r="M27" s="1266">
        <f>SUM(M19:M26)</f>
        <v>20.010000000000002</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ht="14.4">
      <c r="A28" s="1807"/>
      <c r="B28" s="50" t="s">
        <v>1600</v>
      </c>
      <c r="C28" s="1150" t="s">
        <v>1601</v>
      </c>
      <c r="D28" s="48">
        <f>ROUND($D$3*E28/$E$3,2)</f>
        <v>7.82</v>
      </c>
      <c r="E28" s="56">
        <f>SUM(F28:G28)</f>
        <v>20.010000000000002</v>
      </c>
      <c r="F28" s="60">
        <f>'数据-基础表'!BQ5+'数据-基础表'!BS5</f>
        <v>20.010000000000002</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7.82</v>
      </c>
      <c r="E30" s="1255">
        <f>SUM(E28:E29)</f>
        <v>20.010000000000002</v>
      </c>
      <c r="F30" s="1255">
        <f>SUM(F28:F29)</f>
        <v>20.010000000000002</v>
      </c>
      <c r="G30" s="1257">
        <f>SUM(G28:G29)</f>
        <v>0</v>
      </c>
      <c r="H30" s="2836"/>
      <c r="I30" s="2836"/>
      <c r="J30" s="2836"/>
      <c r="K30" s="2836"/>
      <c r="L30" s="2836"/>
      <c r="M30" s="2836"/>
      <c r="N30" s="2836"/>
      <c r="O30" s="2836"/>
      <c r="P30" s="2836"/>
    </row>
    <row r="31" spans="1:19" ht="1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8.5000000000000006E-2</v>
      </c>
      <c r="K6" s="1142">
        <f>SUMIF('数据-汇总表'!C$19:C$33,A6,'数据-汇总表'!E$19:E$33)</f>
        <v>23917.210000000003</v>
      </c>
      <c r="L6" s="742">
        <v>4800</v>
      </c>
      <c r="M6" s="71">
        <f t="shared" ref="M6:M14" si="0">ROUND(K6*L6/10000,0)</f>
        <v>11480</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20.010000000000002</v>
      </c>
      <c r="T6" s="1287">
        <f>ROUND($L$14*S6/10000,0)</f>
        <v>5</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'数据-汇总表'!F19</f>
        <v>20126.390000000003</v>
      </c>
      <c r="AI6" s="81">
        <v>365</v>
      </c>
      <c r="AJ6" s="82"/>
      <c r="AK6" s="83">
        <v>0.01</v>
      </c>
      <c r="AL6" s="84">
        <v>1.5E-3</v>
      </c>
      <c r="AM6" s="85">
        <v>0.01</v>
      </c>
      <c r="AN6" s="1852" t="s">
        <v>3194</v>
      </c>
      <c r="AO6" s="55">
        <f ca="1">SUMIF(INDIRECT("'"&amp;AN6&amp;"'"&amp;"!A:A"),"总价",INDIRECT("'"&amp;AN6&amp;"'"&amp;"!B:B"))</f>
        <v>21481</v>
      </c>
      <c r="AP6" s="1853">
        <f>IF(C6="住宅",K6*L6,0)</f>
        <v>0</v>
      </c>
      <c r="AQ6" s="55">
        <f>ROUND($L$14*$N$14*S6/10000,0)</f>
        <v>3</v>
      </c>
      <c r="AR6" s="55">
        <f>ROUND($L$14*(1-$N$14)*S6/10000,0)</f>
        <v>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20.010000000000002</v>
      </c>
      <c r="L14" s="87">
        <v>2300</v>
      </c>
      <c r="M14" s="71">
        <f t="shared" si="0"/>
        <v>5</v>
      </c>
      <c r="N14" s="88">
        <f>N6</f>
        <v>0.74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4798</v>
      </c>
      <c r="M16" s="98">
        <f>SUM(M6:M14)</f>
        <v>11485</v>
      </c>
      <c r="N16" s="99">
        <f>ROUND(SUMPRODUCT(M6:M14,N6:N14)/M16,3)</f>
        <v>0.74</v>
      </c>
      <c r="O16" s="98">
        <f>SUM(O6:O14)</f>
        <v>0</v>
      </c>
      <c r="P16" s="98">
        <f>SUM(P6:P14)</f>
        <v>0</v>
      </c>
      <c r="Q16" s="100">
        <f>ROUND(SUMPRODUCT(Q6:Q13,K6:K13)/SUMPRODUCT((Q6:Q13&gt;0)*(K6:K13)),2)</f>
        <v>0.1</v>
      </c>
      <c r="R16" s="1146">
        <f ca="1">SUM(R6:R13)</f>
        <v>9356.9</v>
      </c>
      <c r="S16" s="101">
        <f>SUM(S6:S13)</f>
        <v>20.010000000000002</v>
      </c>
      <c r="T16" s="102">
        <f>IF(SUMIF(T6:T13,"&lt;9E307")=M14,SUMIF(T6:T13,"&lt;9E307"),"有误，请检查")</f>
        <v>5</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c r="C19" s="2980" t="s">
        <v>2805</v>
      </c>
      <c r="D19" s="2855"/>
      <c r="E19" s="2852"/>
      <c r="F19" s="2852"/>
      <c r="G19" s="2852"/>
      <c r="H19" s="2852"/>
      <c r="I19" s="2852"/>
      <c r="J19" s="3590" t="s">
        <v>3284</v>
      </c>
      <c r="K19" s="2851">
        <v>141269209</v>
      </c>
      <c r="L19" s="2851">
        <f>K19/'数据-汇总表'!E3</f>
        <v>5901.6547869802753</v>
      </c>
      <c r="M19" s="2850"/>
      <c r="N19" s="2850">
        <f>ROUND(1-(1-0%)*(2022-2003)/50,2)</f>
        <v>0.62</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7" t="s">
        <v>2786</v>
      </c>
      <c r="B1" s="3328"/>
      <c r="C1" s="3328"/>
      <c r="D1" s="3328"/>
      <c r="E1" s="3328"/>
      <c r="F1" s="3328"/>
      <c r="G1" s="332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7.200000000000003">
      <c r="A4" s="2618"/>
      <c r="B4" s="329" t="s">
        <v>2754</v>
      </c>
      <c r="C4" s="2644" t="s">
        <v>2755</v>
      </c>
      <c r="D4" s="2641"/>
      <c r="E4" s="2645"/>
      <c r="F4" s="1508" t="s">
        <v>2756</v>
      </c>
      <c r="G4" s="2646" t="s">
        <v>2757</v>
      </c>
      <c r="H4" s="888"/>
      <c r="I4" s="888"/>
      <c r="J4" s="888"/>
      <c r="K4" s="888"/>
      <c r="L4" s="888"/>
      <c r="M4" s="888"/>
      <c r="N4" s="888"/>
      <c r="O4" s="888"/>
      <c r="P4" s="888"/>
      <c r="Q4" s="888"/>
      <c r="R4" s="888"/>
    </row>
    <row r="5" spans="1:29" ht="37.200000000000003">
      <c r="A5" s="2618"/>
      <c r="B5" s="329" t="s">
        <v>2758</v>
      </c>
      <c r="C5" s="2644" t="s">
        <v>2759</v>
      </c>
      <c r="D5" s="2641"/>
      <c r="E5" s="2645"/>
      <c r="F5" s="329" t="s">
        <v>2760</v>
      </c>
      <c r="G5" s="2646" t="s">
        <v>2761</v>
      </c>
      <c r="H5" s="888"/>
      <c r="I5" s="888"/>
      <c r="J5" s="888"/>
      <c r="K5" s="888"/>
      <c r="L5" s="888"/>
      <c r="M5" s="888"/>
      <c r="N5" s="888"/>
      <c r="O5" s="888"/>
      <c r="P5" s="888"/>
      <c r="Q5" s="888"/>
      <c r="R5" s="888"/>
    </row>
    <row r="6" spans="1:29" ht="48">
      <c r="A6" s="2618"/>
      <c r="B6" s="329" t="s">
        <v>2762</v>
      </c>
      <c r="C6" s="2646" t="s">
        <v>2757</v>
      </c>
      <c r="D6" s="2641"/>
      <c r="E6" s="2645"/>
      <c r="F6" s="329" t="s">
        <v>2763</v>
      </c>
      <c r="G6" s="2646" t="s">
        <v>2764</v>
      </c>
      <c r="H6" s="888"/>
      <c r="I6" s="888"/>
      <c r="J6" s="888"/>
      <c r="K6" s="888"/>
      <c r="L6" s="888"/>
      <c r="M6" s="888"/>
      <c r="N6" s="888"/>
      <c r="O6" s="888"/>
      <c r="P6" s="888"/>
      <c r="Q6" s="888"/>
      <c r="R6" s="888"/>
    </row>
    <row r="7" spans="1:29" ht="36.6"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ht="24">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4.4"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2787</v>
      </c>
      <c r="B13" s="2660"/>
      <c r="C13" s="2660"/>
      <c r="D13" s="2658"/>
      <c r="E13" s="2660"/>
      <c r="F13" s="2660"/>
      <c r="G13" s="2660"/>
    </row>
    <row r="14" spans="1:29" ht="14.4" thickBot="1">
      <c r="A14" s="2670"/>
      <c r="B14" s="2670"/>
      <c r="C14" s="2671" t="s">
        <v>2770</v>
      </c>
      <c r="D14" s="2641"/>
      <c r="E14" s="2672"/>
      <c r="F14" s="2672"/>
      <c r="G14" s="2636" t="s">
        <v>2771</v>
      </c>
    </row>
    <row r="15" spans="1:29" ht="52.8">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9.6">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9.6">
      <c r="A17" s="2622"/>
      <c r="B17" s="2676" t="s">
        <v>2758</v>
      </c>
      <c r="C17" s="2677" t="str">
        <f>C5</f>
        <v>估价对象位于XX商圈，周边办公楼项目较多，入驻率高，办公集聚程度较好</v>
      </c>
      <c r="D17" s="2647"/>
      <c r="E17" s="2623"/>
      <c r="F17" s="2678" t="s">
        <v>2775</v>
      </c>
      <c r="G17" s="2680"/>
    </row>
    <row r="18" spans="1:18" ht="52.8">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6.4">
      <c r="A19" s="2622"/>
      <c r="B19" s="2678" t="s">
        <v>2776</v>
      </c>
      <c r="C19" s="2680"/>
      <c r="D19" s="2641"/>
      <c r="E19" s="2623"/>
      <c r="F19" s="329" t="s">
        <v>2760</v>
      </c>
      <c r="G19" s="2679" t="str">
        <f>G5</f>
        <v>估价对象所在区域公共配套设施齐备情况</v>
      </c>
    </row>
    <row r="20" spans="1:18" ht="26.4">
      <c r="A20" s="2622"/>
      <c r="B20" s="2678" t="s">
        <v>2777</v>
      </c>
      <c r="C20" s="2677" t="str">
        <f>C9</f>
        <v>区域自然环境：；人文环境；综合评价环境状况一般</v>
      </c>
      <c r="D20" s="2647"/>
      <c r="E20" s="2623"/>
      <c r="F20" s="329" t="s">
        <v>2763</v>
      </c>
      <c r="G20" s="2679" t="str">
        <f>G6</f>
        <v>估价对象所在区域基础设施水平</v>
      </c>
    </row>
    <row r="21" spans="1:18" ht="26.4">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4.4"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4.4"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23937.22</v>
      </c>
      <c r="C1" s="2865"/>
      <c r="D1" s="2865"/>
      <c r="E1" s="2865"/>
      <c r="F1" s="2865"/>
      <c r="G1" s="2866"/>
      <c r="H1" s="2867"/>
      <c r="I1" s="2867"/>
      <c r="J1" s="2867"/>
      <c r="K1" s="2867"/>
    </row>
    <row r="2" spans="1:11" ht="16.2">
      <c r="A2" s="2688" t="s">
        <v>1078</v>
      </c>
      <c r="B2" s="2688">
        <f>SUM(C14:C23)</f>
        <v>9356.9</v>
      </c>
      <c r="C2" s="2865"/>
      <c r="D2" s="2865"/>
      <c r="E2" s="2865"/>
      <c r="F2" s="2865"/>
      <c r="G2" s="2866"/>
      <c r="H2" s="2867"/>
      <c r="I2" s="2867"/>
      <c r="J2" s="2867"/>
      <c r="K2" s="2867"/>
    </row>
    <row r="3" spans="1:11" ht="15.6">
      <c r="A3" s="2688" t="s">
        <v>1087</v>
      </c>
      <c r="B3" s="2690">
        <f>项目基本情况!D3</f>
        <v>44680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t="e">
        <f ca="1">SUM(D14:D23)</f>
        <v>#REF!</v>
      </c>
      <c r="C5" s="2688" t="e">
        <f ca="1">ROUND(B5*10000/$B$1,0)</f>
        <v>#REF!</v>
      </c>
      <c r="D5" s="2688" t="e">
        <f ca="1">ROUND(B5*10000/$B$2,0)</f>
        <v>#REF!</v>
      </c>
      <c r="E5" s="2865"/>
      <c r="F5" s="2866"/>
      <c r="G5" s="2866"/>
      <c r="H5" s="2867"/>
      <c r="I5" s="2867"/>
      <c r="J5" s="2867"/>
      <c r="K5" s="2867"/>
    </row>
    <row r="6" spans="1:11" ht="15.6">
      <c r="A6" s="2688" t="s">
        <v>1081</v>
      </c>
      <c r="B6" s="2688" t="e">
        <f ca="1">SUM(G14:G23)</f>
        <v>#REF!</v>
      </c>
      <c r="C6" s="2688" t="e">
        <f ca="1">ROUND(B6*10000/$B$1,0)</f>
        <v>#REF!</v>
      </c>
      <c r="D6" s="2688" t="e">
        <f ca="1">ROUND(B6*10000/$B$2,0)</f>
        <v>#REF!</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23937.22</v>
      </c>
      <c r="C14" s="2694">
        <f>结果表!C118</f>
        <v>9356.9</v>
      </c>
      <c r="D14" s="2694" t="e">
        <f ca="1">结果表!H118</f>
        <v>#REF!</v>
      </c>
      <c r="E14" s="2694" t="e">
        <f ca="1">ROUND(D14*10000/B14,0)</f>
        <v>#REF!</v>
      </c>
      <c r="F14" s="2694" t="e">
        <f ca="1">ROUND(D14*10000/C14,0)</f>
        <v>#REF!</v>
      </c>
      <c r="G14" s="2694" t="e">
        <f ca="1">结果表!D122</f>
        <v>#REF!</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9" t="str">
        <f>项目基本情况!S2</f>
        <v>北京市房地产</v>
      </c>
      <c r="B2" s="3400"/>
      <c r="C2" s="3400"/>
      <c r="D2" s="3400"/>
      <c r="E2" s="3400"/>
      <c r="F2" s="3400"/>
      <c r="G2" s="3400"/>
      <c r="H2" s="3400"/>
      <c r="I2" s="3401"/>
    </row>
    <row r="3" spans="1:12" ht="13.2">
      <c r="A3" s="3403" t="s">
        <v>1709</v>
      </c>
      <c r="B3" s="3404"/>
      <c r="C3" s="3404"/>
      <c r="D3" s="3404"/>
      <c r="E3" s="3404"/>
      <c r="F3" s="3404"/>
      <c r="G3" s="3404"/>
      <c r="H3" s="3404"/>
      <c r="I3" s="3404"/>
    </row>
    <row r="4" spans="1:12" ht="14.4">
      <c r="A4" s="1891" t="s">
        <v>1710</v>
      </c>
      <c r="B4" s="1892" t="s">
        <v>1711</v>
      </c>
      <c r="C4" s="1893" t="s">
        <v>3280</v>
      </c>
      <c r="D4" s="1893" t="s">
        <v>3194</v>
      </c>
      <c r="E4" s="3408" t="s">
        <v>1712</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4" t="s">
        <v>1713</v>
      </c>
      <c r="B5" s="3402">
        <v>25</v>
      </c>
      <c r="C5" s="3405"/>
      <c r="D5" s="3393"/>
      <c r="E5" s="136" t="s">
        <v>1714</v>
      </c>
      <c r="F5" s="1894"/>
      <c r="G5" s="1894"/>
      <c r="H5" s="1894"/>
      <c r="I5" s="1508"/>
    </row>
    <row r="6" spans="1:12" ht="13.2">
      <c r="A6" s="3344"/>
      <c r="B6" s="3402"/>
      <c r="C6" s="3407"/>
      <c r="D6" s="3393"/>
      <c r="E6" s="136" t="s">
        <v>1715</v>
      </c>
      <c r="F6" s="1894"/>
      <c r="G6" s="1894"/>
      <c r="H6" s="1894"/>
      <c r="I6" s="1508"/>
    </row>
    <row r="7" spans="1:12" ht="13.2">
      <c r="A7" s="3344"/>
      <c r="B7" s="3402"/>
      <c r="C7" s="3406"/>
      <c r="D7" s="3393"/>
      <c r="E7" s="136" t="s">
        <v>1716</v>
      </c>
      <c r="F7" s="1894"/>
      <c r="G7" s="1894"/>
      <c r="H7" s="1894"/>
      <c r="I7" s="1508"/>
    </row>
    <row r="8" spans="1:12" ht="13.2">
      <c r="A8" s="3344" t="s">
        <v>1717</v>
      </c>
      <c r="B8" s="3402">
        <v>15</v>
      </c>
      <c r="C8" s="3405"/>
      <c r="D8" s="3393"/>
      <c r="E8" s="136" t="s">
        <v>1718</v>
      </c>
      <c r="F8" s="1894"/>
      <c r="G8" s="1894"/>
      <c r="H8" s="1894"/>
      <c r="I8" s="1508"/>
    </row>
    <row r="9" spans="1:12" ht="13.2">
      <c r="A9" s="3344"/>
      <c r="B9" s="3402"/>
      <c r="C9" s="3406"/>
      <c r="D9" s="3393"/>
      <c r="E9" s="136" t="s">
        <v>1719</v>
      </c>
      <c r="F9" s="1894"/>
      <c r="G9" s="1894"/>
      <c r="H9" s="1894"/>
      <c r="I9" s="1508"/>
    </row>
    <row r="10" spans="1:12" ht="13.2">
      <c r="A10" s="3344" t="s">
        <v>1720</v>
      </c>
      <c r="B10" s="3402">
        <v>15</v>
      </c>
      <c r="C10" s="3405"/>
      <c r="D10" s="3393"/>
      <c r="E10" s="136" t="s">
        <v>1721</v>
      </c>
      <c r="F10" s="1894"/>
      <c r="G10" s="1894"/>
      <c r="H10" s="1894"/>
      <c r="I10" s="1508"/>
    </row>
    <row r="11" spans="1:12" ht="13.2">
      <c r="A11" s="3344"/>
      <c r="B11" s="3402"/>
      <c r="C11" s="3406"/>
      <c r="D11" s="3393"/>
      <c r="E11" s="136" t="s">
        <v>1722</v>
      </c>
      <c r="F11" s="1894"/>
      <c r="G11" s="1894"/>
      <c r="H11" s="1894"/>
      <c r="I11" s="1508"/>
    </row>
    <row r="12" spans="1:12" ht="13.2">
      <c r="A12" s="3344" t="s">
        <v>1723</v>
      </c>
      <c r="B12" s="3402">
        <v>15</v>
      </c>
      <c r="C12" s="3405"/>
      <c r="D12" s="3393"/>
      <c r="E12" s="136" t="s">
        <v>1724</v>
      </c>
      <c r="F12" s="1894"/>
      <c r="G12" s="1894"/>
      <c r="H12" s="1894"/>
      <c r="I12" s="1508"/>
    </row>
    <row r="13" spans="1:12" ht="13.2">
      <c r="A13" s="3344"/>
      <c r="B13" s="3402"/>
      <c r="C13" s="3406"/>
      <c r="D13" s="3393"/>
      <c r="E13" s="136" t="s">
        <v>1725</v>
      </c>
      <c r="F13" s="1894"/>
      <c r="G13" s="1894"/>
      <c r="H13" s="1894"/>
      <c r="I13" s="1508"/>
    </row>
    <row r="14" spans="1:12" ht="13.2">
      <c r="A14" s="3344" t="s">
        <v>1726</v>
      </c>
      <c r="B14" s="3402">
        <v>30</v>
      </c>
      <c r="C14" s="3405">
        <v>3</v>
      </c>
      <c r="D14" s="3393">
        <v>7</v>
      </c>
      <c r="E14" s="136" t="s">
        <v>1727</v>
      </c>
      <c r="F14" s="1894"/>
      <c r="G14" s="1894"/>
      <c r="H14" s="1894"/>
      <c r="I14" s="1508"/>
    </row>
    <row r="15" spans="1:12" ht="13.2">
      <c r="A15" s="3344"/>
      <c r="B15" s="3402"/>
      <c r="C15" s="3407"/>
      <c r="D15" s="3393"/>
      <c r="E15" s="136" t="s">
        <v>1728</v>
      </c>
      <c r="F15" s="1894"/>
      <c r="G15" s="1894"/>
      <c r="H15" s="1894"/>
      <c r="I15" s="1508"/>
    </row>
    <row r="16" spans="1:12" ht="13.2">
      <c r="A16" s="3344"/>
      <c r="B16" s="3402"/>
      <c r="C16" s="3406"/>
      <c r="D16" s="3393"/>
      <c r="E16" s="136" t="s">
        <v>1729</v>
      </c>
      <c r="F16" s="1894"/>
      <c r="G16" s="1894"/>
      <c r="H16" s="1894"/>
      <c r="I16" s="1508"/>
    </row>
    <row r="17" spans="1:36" ht="14.4">
      <c r="A17" s="1895" t="s">
        <v>1730</v>
      </c>
      <c r="B17" s="60"/>
      <c r="C17" s="137">
        <f>SUM(C5:C16)</f>
        <v>3</v>
      </c>
      <c r="D17" s="137">
        <f>SUM(D5:D16)</f>
        <v>7</v>
      </c>
      <c r="E17" s="134"/>
      <c r="F17" s="134"/>
      <c r="G17" s="134"/>
      <c r="H17" s="134"/>
      <c r="I17" s="134"/>
      <c r="K17" s="308"/>
      <c r="L17" s="308" t="s">
        <v>1731</v>
      </c>
      <c r="M17" s="308" t="s">
        <v>1732</v>
      </c>
    </row>
    <row r="18" spans="1:36" ht="31.95" customHeight="1" thickBot="1">
      <c r="A18" s="1896" t="s">
        <v>1733</v>
      </c>
      <c r="B18" s="1897"/>
      <c r="C18" s="138">
        <f>ROUND(C17/SUM(C17:D17),2)</f>
        <v>0.3</v>
      </c>
      <c r="D18" s="138">
        <f>1-C18</f>
        <v>0.7</v>
      </c>
      <c r="E18" s="3424" t="s">
        <v>2631</v>
      </c>
      <c r="F18" s="3425"/>
      <c r="G18" s="3425"/>
      <c r="H18" s="3425"/>
      <c r="I18" s="3425"/>
      <c r="K18" s="308" t="s">
        <v>1734</v>
      </c>
      <c r="L18" s="308">
        <f>IF(C1="",'数据-汇总表'!E3,SUMIF(项目类型,C1,'数据-汇总表'!E17:E26)+SUMIF(项目类型,C1,'数据-汇总表'!I17:I26))</f>
        <v>23937.22</v>
      </c>
      <c r="M18" s="308">
        <f>IF(C1="",'数据-汇总表'!E3,SUMIF(项目类型,C1,'数据-汇总表'!E17:E26))</f>
        <v>23937.22</v>
      </c>
    </row>
    <row r="19" spans="1:36" ht="14.4">
      <c r="A19" s="1898" t="s">
        <v>1735</v>
      </c>
      <c r="B19" s="1899" t="s">
        <v>1736</v>
      </c>
      <c r="C19" s="139">
        <f ca="1">SUMIF(INDIRECT("'"&amp;C4&amp;"'"&amp;"!A:A"),结果表!B19,INDIRECT("'"&amp;C4&amp;"'"&amp;"!B:B"))</f>
        <v>16708</v>
      </c>
      <c r="D19" s="140">
        <f ca="1">SUMIF(INDIRECT("'"&amp;D4&amp;"'"&amp;"!A:A"),结果表!B19,INDIRECT("'"&amp;D4&amp;"'"&amp;"!B:B"))</f>
        <v>21481</v>
      </c>
      <c r="E19" s="1898" t="s">
        <v>1737</v>
      </c>
      <c r="F19" s="1899" t="s">
        <v>1736</v>
      </c>
      <c r="G19" s="141">
        <f ca="1">ROUND(C19*$C$18+D19*$D$18,0)</f>
        <v>20049</v>
      </c>
      <c r="H19" s="1900" t="s">
        <v>1738</v>
      </c>
      <c r="I19" s="134">
        <f ca="1">G19/'数据-汇总表'!F31*10000</f>
        <v>9951.6538934995824</v>
      </c>
      <c r="K19" s="308" t="s">
        <v>1739</v>
      </c>
      <c r="L19" s="308">
        <f>IF(C1="",'数据-汇总表'!D3,SUMIF(项目类型,C1,'数据-汇总表'!D17:D26)+SUMIF(项目类型,C1,'数据-汇总表'!H17:H27))</f>
        <v>9356.9</v>
      </c>
      <c r="M19" s="308">
        <f>IF(C1="",'数据-汇总表'!D3,SUMIF(项目类型,C1,'数据-汇总表'!D17:D26))</f>
        <v>9356.9</v>
      </c>
    </row>
    <row r="20" spans="1:36" ht="14.4">
      <c r="A20" s="1901"/>
      <c r="B20" s="1138" t="s">
        <v>1740</v>
      </c>
      <c r="C20" s="142">
        <f ca="1">SUMIF(INDIRECT("'"&amp;C4&amp;"'"&amp;"!A:A"),结果表!B20,INDIRECT("'"&amp;C4&amp;"'"&amp;"!B:B"))</f>
        <v>6980</v>
      </c>
      <c r="D20" s="143">
        <f ca="1">SUMIF(INDIRECT("'"&amp;D4&amp;"'"&amp;"!A:A"),结果表!B20,INDIRECT("'"&amp;D4&amp;"'"&amp;"!B:B"))</f>
        <v>8981</v>
      </c>
      <c r="E20" s="1901"/>
      <c r="F20" s="1138" t="s">
        <v>1740</v>
      </c>
      <c r="G20" s="144">
        <f ca="1">ROUND(C20*$C$18+D20*$D$18,0)</f>
        <v>8381</v>
      </c>
      <c r="H20" s="898" t="s">
        <v>1741</v>
      </c>
      <c r="I20" s="134"/>
    </row>
    <row r="21" spans="1:36" ht="15" customHeight="1" thickBot="1">
      <c r="A21" s="918"/>
      <c r="B21" s="1902" t="s">
        <v>1742</v>
      </c>
      <c r="C21" s="728">
        <f ca="1">ROUND(C19*10000/L19,0)</f>
        <v>17856</v>
      </c>
      <c r="D21" s="729">
        <f ca="1">ROUND(D19*10000/L19,0)</f>
        <v>22957</v>
      </c>
      <c r="E21" s="918"/>
      <c r="F21" s="1902" t="s">
        <v>1742</v>
      </c>
      <c r="G21" s="145">
        <f ca="1">ROUND(G19*10000/L19,0)</f>
        <v>21427</v>
      </c>
      <c r="H21" s="1903" t="s">
        <v>1741</v>
      </c>
      <c r="I21" s="134"/>
    </row>
    <row r="22" spans="1:36" ht="15" thickBot="1">
      <c r="A22" s="1825" t="s">
        <v>1743</v>
      </c>
      <c r="B22" s="1904"/>
      <c r="C22" s="1905"/>
      <c r="D22" s="730">
        <f ca="1">IF(C19&lt;D19,D19/C19-1,C19/D19-1)</f>
        <v>0.28567153459420647</v>
      </c>
      <c r="E22" s="134"/>
      <c r="F22" s="134"/>
      <c r="G22" s="134"/>
      <c r="H22" s="134"/>
      <c r="I22" s="134"/>
    </row>
    <row r="23" spans="1:36" ht="13.8" thickBot="1">
      <c r="A23" s="1884"/>
      <c r="B23" s="1884"/>
      <c r="C23" s="1884"/>
      <c r="D23" s="1884"/>
      <c r="E23" s="134"/>
      <c r="F23" s="134"/>
      <c r="G23" s="134"/>
      <c r="H23" s="134"/>
      <c r="I23" s="134"/>
    </row>
    <row r="24" spans="1:36" ht="14.4">
      <c r="A24" s="3417" t="s">
        <v>1744</v>
      </c>
      <c r="B24" s="1899" t="s">
        <v>1736</v>
      </c>
      <c r="C24" s="141">
        <f>IF(B30=0,0,D30)</f>
        <v>0</v>
      </c>
      <c r="D24" s="1906"/>
      <c r="E24" s="134"/>
      <c r="F24" s="134"/>
      <c r="G24" s="134"/>
      <c r="H24" s="134"/>
      <c r="I24" s="134"/>
    </row>
    <row r="25" spans="1:36" ht="14.4">
      <c r="A25" s="341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8381</v>
      </c>
      <c r="D32" s="1912"/>
      <c r="E32" s="134"/>
      <c r="F32" s="134"/>
      <c r="G32" s="134"/>
      <c r="H32" s="134"/>
      <c r="I32" s="134"/>
    </row>
    <row r="33" spans="1:15" ht="14.4">
      <c r="A33" s="875" t="s">
        <v>1751</v>
      </c>
      <c r="B33" s="1913"/>
      <c r="C33" s="1914"/>
      <c r="D33" s="1915"/>
      <c r="E33" s="1916" t="s">
        <v>1752</v>
      </c>
      <c r="F33" s="1917" t="str">
        <f>IF(D32="楼面单价","取值（单价）","取值（总价）")</f>
        <v>取值（总价）</v>
      </c>
      <c r="G33" s="134"/>
      <c r="H33" s="134"/>
      <c r="I33" s="134"/>
    </row>
    <row r="34" spans="1:15" ht="14.4">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 thickBot="1">
      <c r="A36" s="3394" t="s">
        <v>1757</v>
      </c>
      <c r="B36" s="1924" t="s">
        <v>1758</v>
      </c>
      <c r="C36" s="150"/>
      <c r="D36" s="1925"/>
      <c r="E36" s="1926"/>
      <c r="F36" s="1927"/>
      <c r="G36" s="134"/>
      <c r="H36" s="134"/>
      <c r="I36" s="134"/>
    </row>
    <row r="37" spans="1:15" ht="15" thickBot="1">
      <c r="A37" s="3395"/>
      <c r="B37" s="1811" t="s">
        <v>1759</v>
      </c>
      <c r="C37" s="152"/>
      <c r="D37" s="1254"/>
      <c r="E37" s="1254"/>
      <c r="F37" s="1927"/>
      <c r="G37" s="134"/>
      <c r="H37" s="134"/>
      <c r="I37" s="134"/>
    </row>
    <row r="38" spans="1:15" ht="15" thickBot="1">
      <c r="A38" s="3396"/>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4" t="s">
        <v>1771</v>
      </c>
      <c r="B45" s="3415"/>
      <c r="C45" s="3416"/>
      <c r="D45" s="160" t="e">
        <f ca="1">ROUND(H101*F45,0)</f>
        <v>#REF!</v>
      </c>
      <c r="E45" s="161" t="s">
        <v>1772</v>
      </c>
      <c r="F45" s="162">
        <v>1</v>
      </c>
      <c r="G45" s="163" t="s">
        <v>1773</v>
      </c>
      <c r="H45" s="134"/>
      <c r="I45" s="134"/>
      <c r="J45" s="3331" t="s">
        <v>1774</v>
      </c>
      <c r="K45" s="3331"/>
      <c r="L45" s="3331"/>
      <c r="M45" s="3331"/>
      <c r="N45" s="3331"/>
      <c r="O45" s="3331"/>
    </row>
    <row r="46" spans="1:15" ht="14.25" customHeight="1">
      <c r="A46" s="3411" t="s">
        <v>1775</v>
      </c>
      <c r="B46" s="3412"/>
      <c r="C46" s="3412"/>
      <c r="D46" s="3412"/>
      <c r="E46" s="3412"/>
      <c r="F46" s="3412"/>
      <c r="G46" s="3413"/>
      <c r="H46" s="1943"/>
      <c r="I46" s="164"/>
      <c r="J46" s="2699">
        <v>1</v>
      </c>
      <c r="K46" s="3332" t="s">
        <v>1776</v>
      </c>
      <c r="L46" s="3332"/>
      <c r="M46" s="3333"/>
      <c r="N46" s="3333"/>
      <c r="O46" s="3333"/>
    </row>
    <row r="47" spans="1:15" ht="12" customHeight="1">
      <c r="A47" s="165" t="s">
        <v>1777</v>
      </c>
      <c r="B47" s="166"/>
      <c r="C47" s="167"/>
      <c r="D47" s="1200" t="s">
        <v>1778</v>
      </c>
      <c r="E47" s="308" t="s">
        <v>1779</v>
      </c>
      <c r="F47" s="168" t="s">
        <v>1780</v>
      </c>
      <c r="G47" s="2722" t="s">
        <v>1781</v>
      </c>
      <c r="H47" s="2723"/>
      <c r="I47" s="164"/>
      <c r="J47" s="2699">
        <v>2</v>
      </c>
      <c r="K47" s="3332" t="s">
        <v>1782</v>
      </c>
      <c r="L47" s="3332"/>
      <c r="M47" s="3334">
        <f>'数据-取费表'!B2</f>
        <v>44680</v>
      </c>
      <c r="N47" s="3334"/>
      <c r="O47" s="3334"/>
    </row>
    <row r="48" spans="1:15" ht="26.4">
      <c r="A48" s="3397" t="s">
        <v>1783</v>
      </c>
      <c r="B48" s="3398"/>
      <c r="C48" s="339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32" t="s">
        <v>1785</v>
      </c>
      <c r="L48" s="3332"/>
      <c r="M48" s="3335" t="e">
        <f ca="1">H101</f>
        <v>#REF!</v>
      </c>
      <c r="N48" s="3335"/>
      <c r="O48" s="3335"/>
    </row>
    <row r="49" spans="1:35" ht="25.5" customHeight="1">
      <c r="A49" s="2507" t="s">
        <v>1786</v>
      </c>
      <c r="B49" s="3380" t="s">
        <v>1787</v>
      </c>
      <c r="C49" s="3380"/>
      <c r="D49" s="1726">
        <v>0</v>
      </c>
      <c r="E49" s="330" t="s">
        <v>1788</v>
      </c>
      <c r="F49" s="2600" t="s">
        <v>34</v>
      </c>
      <c r="G49" s="3363"/>
      <c r="H49" s="2479" t="s">
        <v>2634</v>
      </c>
      <c r="I49" s="2480"/>
      <c r="J49" s="2699">
        <v>4</v>
      </c>
      <c r="K49" s="3332" t="str">
        <f>IF(项目基本情况!E8="房地产抵押价值","房地产抵押价值","抵押担保权已注销时的房地产抵押价值")</f>
        <v>房地产抵押价值</v>
      </c>
      <c r="L49" s="3332"/>
      <c r="M49" s="3335" t="str">
        <f ca="1">IF(项目基本情况!E8="房地产抵押价值",H107,H109)</f>
        <v>——</v>
      </c>
      <c r="N49" s="3335"/>
      <c r="O49" s="3335"/>
    </row>
    <row r="50" spans="1:35" ht="25.5" customHeight="1">
      <c r="A50" s="2727"/>
      <c r="B50" s="3380" t="s">
        <v>1789</v>
      </c>
      <c r="C50" s="3380"/>
      <c r="D50" s="2728"/>
      <c r="E50" s="338"/>
      <c r="F50" s="2600"/>
      <c r="G50" s="3364"/>
      <c r="H50" s="2481" t="s">
        <v>2635</v>
      </c>
      <c r="I50" s="2480"/>
      <c r="J50" s="3331" t="s">
        <v>1790</v>
      </c>
      <c r="K50" s="3331"/>
      <c r="L50" s="3331"/>
      <c r="M50" s="3331"/>
      <c r="N50" s="3331"/>
      <c r="O50" s="3331"/>
    </row>
    <row r="51" spans="1:35" ht="20.399999999999999" customHeight="1">
      <c r="A51" s="2729"/>
      <c r="B51" s="3380" t="s">
        <v>1791</v>
      </c>
      <c r="C51" s="3380"/>
      <c r="D51" s="1200"/>
      <c r="E51" s="333"/>
      <c r="F51" s="2600"/>
      <c r="G51" s="3365"/>
      <c r="H51" s="2481" t="s">
        <v>2636</v>
      </c>
      <c r="I51" s="2480"/>
      <c r="J51" s="2700" t="s">
        <v>1792</v>
      </c>
      <c r="K51" s="3332" t="s">
        <v>1793</v>
      </c>
      <c r="L51" s="3332"/>
      <c r="M51" s="2700" t="s">
        <v>1794</v>
      </c>
      <c r="N51" s="2700" t="s">
        <v>1795</v>
      </c>
      <c r="O51" s="2700" t="s">
        <v>1796</v>
      </c>
    </row>
    <row r="52" spans="1:35" ht="24" customHeight="1">
      <c r="A52" s="2509" t="s">
        <v>1797</v>
      </c>
      <c r="B52" s="3380" t="s">
        <v>1798</v>
      </c>
      <c r="C52" s="3380"/>
      <c r="D52" s="1200" t="e">
        <f ca="1">ROUND(D45*'数据-取费表'!B41/(1+'数据-取费表'!C42),0)</f>
        <v>#REF!</v>
      </c>
      <c r="E52" s="2508" t="s">
        <v>1799</v>
      </c>
      <c r="F52" s="2730">
        <f>'数据-取费表'!B41</f>
        <v>5.5000000000000007E-2</v>
      </c>
      <c r="G52" s="2731"/>
      <c r="H52" s="2720"/>
      <c r="I52" s="1944"/>
      <c r="J52" s="2699">
        <v>1</v>
      </c>
      <c r="K52" s="3357" t="s">
        <v>1800</v>
      </c>
      <c r="L52" s="3357"/>
      <c r="M52" s="2701" t="b">
        <f>D48</f>
        <v>0</v>
      </c>
      <c r="N52" s="2699" t="str">
        <f>E48</f>
        <v>销售额×税（费）率</v>
      </c>
      <c r="O52" s="2702">
        <f>F48</f>
        <v>5.5000000000000007E-2</v>
      </c>
    </row>
    <row r="53" spans="1:35" ht="12" customHeight="1">
      <c r="A53" s="2509" t="s">
        <v>1801</v>
      </c>
      <c r="B53" s="3381" t="s">
        <v>2791</v>
      </c>
      <c r="C53" s="3382"/>
      <c r="D53" s="1200" t="e">
        <f ca="1">ROUND(D45*'数据-取费表'!B41/(1+'数据-取费表'!C42),0)</f>
        <v>#REF!</v>
      </c>
      <c r="E53" s="2508" t="s">
        <v>1799</v>
      </c>
      <c r="F53" s="2730">
        <f>'数据-取费表'!B41</f>
        <v>5.5000000000000007E-2</v>
      </c>
      <c r="G53" s="2731"/>
      <c r="H53" s="2720"/>
      <c r="I53" s="1944"/>
      <c r="J53" s="2699">
        <v>2</v>
      </c>
      <c r="K53" s="3357" t="s">
        <v>1802</v>
      </c>
      <c r="L53" s="3357"/>
      <c r="M53" s="2701" t="e">
        <f t="shared" ref="M53:O54" ca="1" si="0">D55</f>
        <v>#REF!</v>
      </c>
      <c r="N53" s="2699" t="str">
        <f t="shared" si="0"/>
        <v>销售额×税（费）率</v>
      </c>
      <c r="O53" s="2702" t="str">
        <f t="shared" si="0"/>
        <v>免征</v>
      </c>
    </row>
    <row r="54" spans="1:35" ht="12" customHeight="1">
      <c r="A54" s="2509" t="s">
        <v>1803</v>
      </c>
      <c r="B54" s="3381" t="s">
        <v>2792</v>
      </c>
      <c r="C54" s="3382"/>
      <c r="D54" s="1200" t="e">
        <f ca="1">C68</f>
        <v>#REF!</v>
      </c>
      <c r="E54" s="333" t="s">
        <v>1804</v>
      </c>
      <c r="F54" s="2730">
        <f>'数据-取费表'!B41</f>
        <v>5.5000000000000007E-2</v>
      </c>
      <c r="G54" s="2731"/>
      <c r="H54" s="2732"/>
      <c r="I54" s="1944"/>
      <c r="J54" s="2699">
        <v>3</v>
      </c>
      <c r="K54" s="3357" t="s">
        <v>1805</v>
      </c>
      <c r="L54" s="3357"/>
      <c r="M54" s="2701" t="e">
        <f t="shared" ca="1" si="0"/>
        <v>#REF!</v>
      </c>
      <c r="N54" s="2699" t="str">
        <f t="shared" si="0"/>
        <v>增值额×税（费）率</v>
      </c>
      <c r="O54" s="2703" t="str">
        <f t="shared" si="0"/>
        <v>免征</v>
      </c>
    </row>
    <row r="55" spans="1:35" ht="24" customHeight="1">
      <c r="A55" s="3420" t="s">
        <v>1806</v>
      </c>
      <c r="B55" s="3398"/>
      <c r="C55" s="3398"/>
      <c r="D55" s="2498" t="e">
        <f ca="1">IF(H55="个人住宅",0,ROUND(D45*I55,0))</f>
        <v>#REF!</v>
      </c>
      <c r="E55" s="2508" t="s">
        <v>1807</v>
      </c>
      <c r="F55" s="2730" t="str">
        <f>IF(H55="正常",I55,"免征")</f>
        <v>免征</v>
      </c>
      <c r="G55" s="2731"/>
      <c r="H55" s="2726"/>
      <c r="I55" s="170">
        <f>'数据-取费表'!B49</f>
        <v>5.0000000000000001E-4</v>
      </c>
      <c r="J55" s="2699">
        <f>IF(H59="非个人房产","",4)</f>
        <v>4</v>
      </c>
      <c r="K55" s="3357" t="str">
        <f>IF(H59="非个人房产","——","个人所得税")</f>
        <v>个人所得税</v>
      </c>
      <c r="L55" s="3357"/>
      <c r="M55" s="2704" t="e">
        <f ca="1">D59</f>
        <v>#REF!</v>
      </c>
      <c r="N55" s="2179" t="str">
        <f>E59</f>
        <v>差额计税</v>
      </c>
      <c r="O55" s="2705">
        <f>F59</f>
        <v>0.01</v>
      </c>
    </row>
    <row r="56" spans="1:35" ht="25.2">
      <c r="A56" s="3420" t="s">
        <v>1808</v>
      </c>
      <c r="B56" s="3398"/>
      <c r="C56" s="3398"/>
      <c r="D56" s="2498" t="e">
        <f ca="1">IF(H56="个人住宅",D57,D58)</f>
        <v>#REF!</v>
      </c>
      <c r="E56" s="2508" t="s">
        <v>1809</v>
      </c>
      <c r="F56" s="2730" t="str">
        <f>IF(H56="正常",F58,"免征")</f>
        <v>免征</v>
      </c>
      <c r="G56" s="2733" t="s">
        <v>1810</v>
      </c>
      <c r="H56" s="2734"/>
      <c r="I56" s="1945"/>
      <c r="J56" s="2699" t="str">
        <f>IF(项目基本情况!K6="上海银行",IF(J55="",4,J55+1),"")</f>
        <v/>
      </c>
      <c r="K56" s="3338" t="str">
        <f>IF(项目基本情况!K6="上海银行","其他处置费用","")</f>
        <v/>
      </c>
      <c r="L56" s="3339"/>
      <c r="M56" s="2701" t="str">
        <f>IF(项目基本情况!K6="上海银行",M69,"")</f>
        <v/>
      </c>
      <c r="N56" s="3338" t="str">
        <f>IF(项目基本情况!K6="上海银行","包含处置中涉及的律师、诉讼、拍卖、评估等费用","")</f>
        <v/>
      </c>
      <c r="O56" s="3341"/>
    </row>
    <row r="57" spans="1:35" ht="13.2">
      <c r="A57" s="2509" t="s">
        <v>1786</v>
      </c>
      <c r="B57" s="3381" t="s">
        <v>1811</v>
      </c>
      <c r="C57" s="3382"/>
      <c r="D57" s="1726">
        <v>0</v>
      </c>
      <c r="E57" s="330" t="s">
        <v>1788</v>
      </c>
      <c r="F57" s="308"/>
      <c r="G57" s="2731"/>
      <c r="H57" s="2735"/>
      <c r="I57" s="1945"/>
      <c r="J57" s="3357">
        <f>IF(AND(J55="",J56=""),4,IF(项目基本情况!K6="上海银行",结果表!J56+1,结果表!J55+1))</f>
        <v>5</v>
      </c>
      <c r="K57" s="3357" t="s">
        <v>1812</v>
      </c>
      <c r="L57" s="2706" t="s">
        <v>1813</v>
      </c>
      <c r="M57" s="2707"/>
      <c r="N57" s="2708">
        <f ca="1">SUMIF(M52:M56,"&lt;9e307")</f>
        <v>0</v>
      </c>
      <c r="O57" s="2709"/>
      <c r="P57" s="2869" t="e">
        <f ca="1">N57/M49</f>
        <v>#VALUE!</v>
      </c>
    </row>
    <row r="58" spans="1:35" ht="25.2">
      <c r="A58" s="2509" t="s">
        <v>1797</v>
      </c>
      <c r="B58" s="3381" t="s">
        <v>1814</v>
      </c>
      <c r="C58" s="3380"/>
      <c r="D58" s="2498" t="e">
        <f ca="1">IF(H58="转让取得",C81,C97)</f>
        <v>#REF!</v>
      </c>
      <c r="E58" s="2508" t="s">
        <v>1809</v>
      </c>
      <c r="F58" s="308" t="s">
        <v>34</v>
      </c>
      <c r="G58" s="2731"/>
      <c r="H58" s="2734"/>
      <c r="I58" s="1945"/>
      <c r="J58" s="3357"/>
      <c r="K58" s="3357"/>
      <c r="L58" s="2706" t="s">
        <v>1815</v>
      </c>
      <c r="M58" s="2710"/>
      <c r="N58" s="2711" t="str">
        <f ca="1">NUMBERSTRING(INT(N57*10000),2)&amp;"元整"</f>
        <v>零元整</v>
      </c>
      <c r="O58" s="2712"/>
    </row>
    <row r="59" spans="1:35" ht="24.6" thickBot="1">
      <c r="A59" s="3361" t="s">
        <v>1816</v>
      </c>
      <c r="B59" s="3362"/>
      <c r="C59" s="3362"/>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359">
        <f>J57+1</f>
        <v>6</v>
      </c>
      <c r="K59" s="3357" t="s">
        <v>1817</v>
      </c>
      <c r="L59" s="2699" t="s">
        <v>1813</v>
      </c>
      <c r="M59" s="2713"/>
      <c r="N59" s="2714" t="e">
        <f ca="1">M49-N57</f>
        <v>#VALUE!</v>
      </c>
      <c r="O59" s="2715"/>
    </row>
    <row r="60" spans="1:35" ht="12" customHeight="1">
      <c r="A60" s="1946"/>
      <c r="B60" s="1884"/>
      <c r="C60" s="1884"/>
      <c r="D60" s="1884"/>
      <c r="E60" s="1714"/>
      <c r="F60" s="1945"/>
      <c r="G60" s="1945"/>
      <c r="H60" s="1947"/>
      <c r="I60" s="134"/>
      <c r="J60" s="3360"/>
      <c r="K60" s="3357"/>
      <c r="L60" s="2706" t="s">
        <v>1815</v>
      </c>
      <c r="M60" s="2710"/>
      <c r="N60" s="2711" t="e">
        <f ca="1">NUMBERSTRING(INT(N59*10000),2)&amp;"元整"</f>
        <v>#VALUE!</v>
      </c>
      <c r="O60" s="2712"/>
    </row>
    <row r="61" spans="1:35" ht="13.8" thickBot="1">
      <c r="A61" s="3419" t="s">
        <v>1818</v>
      </c>
      <c r="B61" s="3419"/>
      <c r="C61" s="3419"/>
      <c r="D61" s="3419"/>
      <c r="E61" s="3419"/>
      <c r="F61" s="1945"/>
      <c r="G61" s="1945"/>
      <c r="H61" s="1947"/>
      <c r="I61" s="134"/>
      <c r="J61" s="2699">
        <f>J59+1</f>
        <v>7</v>
      </c>
      <c r="K61" s="3357" t="s">
        <v>1819</v>
      </c>
      <c r="L61" s="3357"/>
      <c r="M61" s="2716"/>
      <c r="N61" s="2717" t="e">
        <f ca="1">ROUND(N59*10000/'数据-汇总表'!E3,0)</f>
        <v>#VALUE!</v>
      </c>
      <c r="O61" s="2718"/>
    </row>
    <row r="62" spans="1:35" ht="13.2">
      <c r="A62" s="3376" t="s">
        <v>1820</v>
      </c>
      <c r="B62" s="3377"/>
      <c r="C62" s="2160"/>
      <c r="D62" s="2160" t="s">
        <v>1821</v>
      </c>
      <c r="E62" s="171" t="s">
        <v>1822</v>
      </c>
      <c r="F62" s="1945"/>
      <c r="G62" s="1945"/>
      <c r="H62" s="1947"/>
      <c r="I62" s="134"/>
    </row>
    <row r="63" spans="1:35" ht="13.2">
      <c r="A63" s="178" t="s">
        <v>594</v>
      </c>
      <c r="B63" s="172" t="s">
        <v>1823</v>
      </c>
      <c r="C63" s="2740" t="e">
        <f ca="1">ROUND((C64+C65)/(1+'数据-取费表'!C42),0)</f>
        <v>#REF!</v>
      </c>
      <c r="D63" s="172"/>
      <c r="E63" s="173"/>
      <c r="F63" s="1945"/>
      <c r="G63" s="1945"/>
      <c r="H63" s="1947"/>
      <c r="I63" s="134"/>
      <c r="J63" s="3340" t="s">
        <v>1824</v>
      </c>
      <c r="K63" s="1453" t="s">
        <v>1825</v>
      </c>
      <c r="L63" s="1453" t="e">
        <f ca="1">IF(M49&gt;10000,M49*0.5%,IF(AND(M49&gt;1000,M49&lt;=10000),M49*1%,IF(AND(M49&gt;100,M49&lt;=1000),M49*3%,IF(AND(M49&gt;10,M49&lt;=100),M49*5%,M49*8%))))</f>
        <v>#VALUE!</v>
      </c>
      <c r="M63" s="308" t="e">
        <f ca="1">ROUND(L63,1)</f>
        <v>#VALUE!</v>
      </c>
      <c r="N63" s="2719"/>
      <c r="Z63" s="1889"/>
      <c r="AI63" s="1890"/>
    </row>
    <row r="64" spans="1:35" ht="14.25" customHeight="1">
      <c r="A64" s="174" t="s">
        <v>589</v>
      </c>
      <c r="B64" s="175" t="s">
        <v>1826</v>
      </c>
      <c r="C64" s="2741" t="e">
        <f ca="1">D45</f>
        <v>#REF!</v>
      </c>
      <c r="D64" s="175" t="s">
        <v>32</v>
      </c>
      <c r="E64" s="177"/>
      <c r="F64" s="1945"/>
      <c r="G64" s="1945"/>
      <c r="H64" s="1947"/>
      <c r="I64" s="134"/>
      <c r="J64" s="3340"/>
      <c r="K64" s="1453" t="s">
        <v>1827</v>
      </c>
      <c r="L64" s="145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20" t="s">
        <v>1828</v>
      </c>
      <c r="Z64" s="1889"/>
      <c r="AI64" s="1890"/>
    </row>
    <row r="65" spans="1:35" ht="14.25" customHeight="1">
      <c r="A65" s="174" t="s">
        <v>590</v>
      </c>
      <c r="B65" s="175" t="s">
        <v>1829</v>
      </c>
      <c r="C65" s="2742"/>
      <c r="D65" s="175"/>
      <c r="E65" s="177"/>
      <c r="F65" s="1945"/>
      <c r="G65" s="1945"/>
      <c r="H65" s="1947"/>
      <c r="I65" s="134"/>
      <c r="J65" s="3340"/>
      <c r="K65" s="1453" t="s">
        <v>1830</v>
      </c>
      <c r="L65" s="1453" t="e">
        <f ca="1">IF(M49&gt;1000,M49*0.1%,IF(AND(M49&gt;500,M49&lt;=1000),M49*0.5%,IF(AND(M49&gt;50,M49&lt;=500),M49*1%,IF(AND(M49&gt;1,M49&lt;=50),M49*1.5%))))</f>
        <v>#VALUE!</v>
      </c>
      <c r="M65" s="308" t="e">
        <f t="shared" ca="1" si="1"/>
        <v>#VALUE!</v>
      </c>
      <c r="N65" s="2720" t="s">
        <v>1828</v>
      </c>
      <c r="Z65" s="1889"/>
      <c r="AI65" s="1890"/>
    </row>
    <row r="66" spans="1:35" ht="14.25" customHeight="1">
      <c r="A66" s="178" t="s">
        <v>591</v>
      </c>
      <c r="B66" s="179" t="s">
        <v>1831</v>
      </c>
      <c r="C66" s="2743"/>
      <c r="D66" s="179" t="s">
        <v>32</v>
      </c>
      <c r="E66" s="1460" t="s">
        <v>1096</v>
      </c>
      <c r="F66" s="1945"/>
      <c r="G66" s="1945"/>
      <c r="H66" s="1947"/>
      <c r="I66" s="134"/>
      <c r="J66" s="3340"/>
      <c r="K66" s="1453" t="s">
        <v>1832</v>
      </c>
      <c r="L66" s="1453" t="e">
        <f ca="1">M49*0.5%</f>
        <v>#VALUE!</v>
      </c>
      <c r="M66" s="308" t="e">
        <f ca="1">IF(L66&gt;0.5,0.5,ROUND(L66,0))</f>
        <v>#VALUE!</v>
      </c>
      <c r="N66" s="2720" t="s">
        <v>1833</v>
      </c>
      <c r="Z66" s="1889"/>
      <c r="AI66" s="1890"/>
    </row>
    <row r="67" spans="1:35" ht="14.25" customHeight="1">
      <c r="A67" s="178" t="s">
        <v>592</v>
      </c>
      <c r="B67" s="179" t="s">
        <v>1834</v>
      </c>
      <c r="C67" s="2744" t="e">
        <f ca="1">C63-C66</f>
        <v>#REF!</v>
      </c>
      <c r="D67" s="175" t="s">
        <v>32</v>
      </c>
      <c r="E67" s="177"/>
      <c r="F67" s="1945"/>
      <c r="G67" s="1945"/>
      <c r="H67" s="1947"/>
      <c r="I67" s="134"/>
      <c r="J67" s="3340"/>
      <c r="K67" s="1453" t="s">
        <v>1835</v>
      </c>
      <c r="L67" s="145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9"/>
      <c r="Z67" s="1889"/>
      <c r="AI67" s="1890"/>
    </row>
    <row r="68" spans="1:35" ht="14.25" customHeight="1" thickBot="1">
      <c r="A68" s="181" t="s">
        <v>593</v>
      </c>
      <c r="B68" s="182" t="s">
        <v>1836</v>
      </c>
      <c r="C68" s="2745" t="e">
        <f ca="1">IF(C67&lt;=0,0,ROUND(C67*D68,0))</f>
        <v>#REF!</v>
      </c>
      <c r="D68" s="2746">
        <f>'数据-取费表'!B41</f>
        <v>5.5000000000000007E-2</v>
      </c>
      <c r="E68" s="184"/>
      <c r="F68" s="1945"/>
      <c r="G68" s="1945"/>
      <c r="H68" s="1947"/>
      <c r="I68" s="134"/>
      <c r="J68" s="3340"/>
      <c r="K68" s="1453" t="s">
        <v>1837</v>
      </c>
      <c r="L68" s="1453" t="e">
        <f ca="1">IF(M49&gt;10000,M49*0.5%,IF(AND(M49&gt;5000,M49&lt;=10000),M49*1%,IF(AND(M49&gt;1000,M49&lt;=5000),M49*2%,IF(AND(M49&gt;200,M49&lt;=1000),M49*3%,M49*5%))))</f>
        <v>#VALUE!</v>
      </c>
      <c r="M68" s="308" t="e">
        <f ca="1">ROUND(L68,1)</f>
        <v>#VALUE!</v>
      </c>
      <c r="N68" s="2719"/>
      <c r="Z68" s="1889"/>
      <c r="AI68" s="1890"/>
    </row>
    <row r="69" spans="1:35" s="1909" customFormat="1" ht="16.5" customHeight="1">
      <c r="A69" s="1948"/>
      <c r="B69" s="1949"/>
      <c r="C69" s="1950"/>
      <c r="D69" s="1951"/>
      <c r="E69" s="1952"/>
      <c r="F69" s="1714"/>
      <c r="G69" s="1714"/>
      <c r="H69" s="1713"/>
      <c r="I69" s="1884"/>
      <c r="J69" s="3340"/>
      <c r="K69" s="1453" t="s">
        <v>1838</v>
      </c>
      <c r="L69" s="1453"/>
      <c r="M69" s="308" t="e">
        <f ca="1">ROUND(SUM(M63:M68),0)</f>
        <v>#VALUE!</v>
      </c>
      <c r="N69" s="2721" t="e">
        <f ca="1">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4" t="s">
        <v>1839</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76" t="s">
        <v>1820</v>
      </c>
      <c r="B71" s="3377"/>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t="e">
        <f ca="1">ROUND(D45/(1+'数据-取费表'!C42),0)</f>
        <v>#REF!</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1" t="s">
        <v>1847</v>
      </c>
      <c r="F76" s="3380"/>
      <c r="G76" s="3380"/>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t="e">
        <f ca="1">ROUND(D45*D78/(1+'数据-取费表'!C42),0)</f>
        <v>#REF!</v>
      </c>
      <c r="D78" s="2753">
        <f>'数据-取费表'!B43</f>
        <v>5.000000000000001E-3</v>
      </c>
      <c r="E78" s="3373" t="s">
        <v>1851</v>
      </c>
      <c r="F78" s="3374"/>
      <c r="G78" s="3374"/>
      <c r="H78" s="337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76" t="s">
        <v>1820</v>
      </c>
      <c r="B84" s="337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342" t="s">
        <v>2629</v>
      </c>
      <c r="H90" s="3343"/>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3" t="s">
        <v>1864</v>
      </c>
      <c r="F91" s="3374"/>
      <c r="G91" s="337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3" t="s">
        <v>1867</v>
      </c>
      <c r="F92" s="3374"/>
      <c r="G92" s="3374"/>
      <c r="H92" s="3375"/>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t="e">
        <f ca="1">ROUND(D45*D93/(1+'数据-取费表'!C42),0)</f>
        <v>#REF!</v>
      </c>
      <c r="D93" s="2753">
        <f>'数据-取费表'!B43</f>
        <v>5.000000000000001E-3</v>
      </c>
      <c r="E93" s="3373" t="s">
        <v>1851</v>
      </c>
      <c r="F93" s="3374"/>
      <c r="G93" s="3374"/>
      <c r="H93" s="337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1" t="s">
        <v>1871</v>
      </c>
      <c r="F94" s="3422"/>
      <c r="G94" s="3422"/>
      <c r="H94" s="342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3" t="s">
        <v>1873</v>
      </c>
      <c r="B100" s="3324"/>
      <c r="C100" s="3324"/>
      <c r="D100" s="3358"/>
      <c r="E100" s="3324" t="s">
        <v>1874</v>
      </c>
      <c r="F100" s="3324"/>
      <c r="G100" s="3324"/>
      <c r="H100" s="3358"/>
      <c r="I100" s="134"/>
    </row>
    <row r="101" spans="1:35" ht="18.75" customHeight="1">
      <c r="A101" s="3366" t="s">
        <v>1875</v>
      </c>
      <c r="B101" s="3367"/>
      <c r="C101" s="2761" t="str">
        <f>C4</f>
        <v>成本法</v>
      </c>
      <c r="D101" s="2762" t="str">
        <f>D4</f>
        <v>收益法</v>
      </c>
      <c r="E101" s="3336" t="s">
        <v>1876</v>
      </c>
      <c r="F101" s="3337"/>
      <c r="G101" s="1964" t="s">
        <v>1877</v>
      </c>
      <c r="H101" s="2771" t="e">
        <f ca="1">H118</f>
        <v>#REF!</v>
      </c>
      <c r="I101" s="134"/>
    </row>
    <row r="102" spans="1:35" ht="18.75" customHeight="1">
      <c r="A102" s="3368" t="s">
        <v>1878</v>
      </c>
      <c r="B102" s="2760" t="s">
        <v>1877</v>
      </c>
      <c r="C102" s="2761">
        <f ca="1">C19</f>
        <v>16708</v>
      </c>
      <c r="D102" s="2762">
        <f ca="1">D19</f>
        <v>21481</v>
      </c>
      <c r="E102" s="3336"/>
      <c r="F102" s="3337"/>
      <c r="G102" s="1964" t="s">
        <v>1879</v>
      </c>
      <c r="H102" s="2731" t="e">
        <f ca="1">I118</f>
        <v>#REF!</v>
      </c>
      <c r="I102" s="134"/>
    </row>
    <row r="103" spans="1:35" ht="42.75" customHeight="1">
      <c r="A103" s="3368"/>
      <c r="B103" s="2760" t="s">
        <v>1879</v>
      </c>
      <c r="C103" s="2763">
        <f ca="1">C20</f>
        <v>6980</v>
      </c>
      <c r="D103" s="2764">
        <f ca="1">D20</f>
        <v>8981</v>
      </c>
      <c r="E103" s="3329" t="s">
        <v>1880</v>
      </c>
      <c r="F103" s="3330"/>
      <c r="G103" s="1965" t="s">
        <v>1881</v>
      </c>
      <c r="H103" s="2771">
        <f>IF(D36="正常操作",H104+H105+H106,H105+H106)</f>
        <v>0</v>
      </c>
      <c r="I103" s="134"/>
    </row>
    <row r="104" spans="1:35" ht="18.75" customHeight="1">
      <c r="A104" s="3368" t="s">
        <v>1882</v>
      </c>
      <c r="B104" s="2765" t="s">
        <v>1877</v>
      </c>
      <c r="C104" s="2766" t="e">
        <f ca="1">H118</f>
        <v>#REF!</v>
      </c>
      <c r="D104" s="2767"/>
      <c r="E104" s="1811" t="s">
        <v>1883</v>
      </c>
      <c r="F104" s="1802"/>
      <c r="G104" s="1965" t="s">
        <v>1881</v>
      </c>
      <c r="H104" s="2772">
        <f>IF(D36="同一抵押权人同一抵押物续贷",C36&amp;"（续贷，未扣减，详见特别提示）",C36)</f>
        <v>0</v>
      </c>
      <c r="I104" s="134"/>
    </row>
    <row r="105" spans="1:35" ht="18.75" customHeight="1" thickBot="1">
      <c r="A105" s="3378"/>
      <c r="B105" s="2768" t="s">
        <v>1879</v>
      </c>
      <c r="C105" s="2769" t="e">
        <f ca="1">I118</f>
        <v>#REF!</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9" t="str">
        <f>IF(项目基本情况!E8="已注销","——","3.房地产抵押价值")</f>
        <v>3.房地产抵押价值</v>
      </c>
      <c r="F107" s="3337"/>
      <c r="G107" s="1964" t="s">
        <v>1877</v>
      </c>
      <c r="H107" s="2771" t="e">
        <f ca="1">IF(E107="——","——",H101-H103)</f>
        <v>#REF!</v>
      </c>
      <c r="I107" s="134"/>
    </row>
    <row r="108" spans="1:35" ht="18.75" customHeight="1">
      <c r="A108" s="134"/>
      <c r="B108" s="134"/>
      <c r="C108" s="134"/>
      <c r="D108" s="134"/>
      <c r="E108" s="3369"/>
      <c r="F108" s="3337"/>
      <c r="G108" s="1964" t="s">
        <v>1879</v>
      </c>
      <c r="H108" s="2731" t="e">
        <f ca="1">ROUND(H107*10000/'数据-汇总表'!E3,0)</f>
        <v>#REF!</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37"/>
      <c r="G109" s="1964" t="s">
        <v>1877</v>
      </c>
      <c r="H109" s="2774" t="str">
        <f>IF(E109="——","——",H101-H105-H106)</f>
        <v>——</v>
      </c>
      <c r="I109" s="134"/>
    </row>
    <row r="110" spans="1:35" ht="18.75" customHeight="1">
      <c r="A110" s="134"/>
      <c r="B110" s="134"/>
      <c r="C110" s="134"/>
      <c r="D110" s="134"/>
      <c r="E110" s="3369"/>
      <c r="F110" s="3337"/>
      <c r="G110" s="1964" t="s">
        <v>1879</v>
      </c>
      <c r="H110" s="2731" t="str">
        <f>IF(H109="——","——",ROUND(H109*10000/'数据-汇总表'!E3,0))</f>
        <v>——</v>
      </c>
      <c r="I110" s="134"/>
    </row>
    <row r="111" spans="1:35" ht="18.75" customHeight="1">
      <c r="A111" s="134"/>
      <c r="B111" s="134"/>
      <c r="C111" s="134"/>
      <c r="D111" s="134"/>
      <c r="E111" s="3370" t="str">
        <f>IF(项目基本情况!E9="抵押净值",IF(OR(项目基本情况!E8="已注销",项目基本情况!E8="房地产抵押价值"),"4.抵押净值","5.抵押净值"),"——")</f>
        <v>——</v>
      </c>
      <c r="F111" s="3356"/>
      <c r="G111" s="1964" t="s">
        <v>1877</v>
      </c>
      <c r="H111" s="2771" t="str">
        <f>IF(E111="——","——",N59)</f>
        <v>——</v>
      </c>
      <c r="I111" s="134"/>
    </row>
    <row r="112" spans="1:35" ht="18.75" customHeight="1" thickBot="1">
      <c r="A112" s="134"/>
      <c r="B112" s="134"/>
      <c r="C112" s="134"/>
      <c r="D112" s="134"/>
      <c r="E112" s="3371"/>
      <c r="F112" s="3372"/>
      <c r="G112" s="1967" t="s">
        <v>1879</v>
      </c>
      <c r="H112" s="2775"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0" t="s">
        <v>1887</v>
      </c>
      <c r="B115" s="3391"/>
      <c r="C115" s="3391"/>
      <c r="D115" s="3391"/>
      <c r="E115" s="3391"/>
      <c r="F115" s="3391"/>
      <c r="G115" s="3391"/>
      <c r="H115" s="3391"/>
      <c r="I115" s="3392"/>
    </row>
    <row r="116" spans="1:27" ht="27" customHeight="1">
      <c r="A116" s="3344" t="s">
        <v>1888</v>
      </c>
      <c r="B116" s="3348" t="s">
        <v>1889</v>
      </c>
      <c r="C116" s="3348" t="s">
        <v>1890</v>
      </c>
      <c r="D116" s="3354" t="s">
        <v>1891</v>
      </c>
      <c r="E116" s="3355"/>
      <c r="F116" s="3386" t="s">
        <v>1892</v>
      </c>
      <c r="G116" s="3386"/>
      <c r="H116" s="3344" t="s">
        <v>1893</v>
      </c>
      <c r="I116" s="3344"/>
    </row>
    <row r="117" spans="1:27" ht="18.75" customHeight="1">
      <c r="A117" s="3344"/>
      <c r="B117" s="3349"/>
      <c r="C117" s="3349"/>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44" t="s">
        <v>1897</v>
      </c>
      <c r="B119" s="3344"/>
      <c r="C119" s="3344"/>
      <c r="D119" s="3350" t="e">
        <f ca="1">NUMBERSTRING(INT(D118*10000),2)&amp;"元整"</f>
        <v>#REF!</v>
      </c>
      <c r="E119" s="3351"/>
      <c r="F119" s="3350" t="e">
        <f ca="1">NUMBERSTRING(INT(F118*10000),2)&amp;"元整"</f>
        <v>#REF!</v>
      </c>
      <c r="G119" s="3351"/>
      <c r="H119" s="3350" t="e">
        <f ca="1">NUMBERSTRING(INT(H118*10000),2)&amp;"元整"</f>
        <v>#REF!</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7" t="s">
        <v>1897</v>
      </c>
      <c r="B121" s="3388"/>
      <c r="C121" s="3389"/>
      <c r="D121" s="3350" t="str">
        <f>IF(D120=0,"零元整",NUMBERSTRING(INT(D120*10000),2)&amp;"元整")</f>
        <v>零元整</v>
      </c>
      <c r="E121" s="3352"/>
      <c r="F121" s="3352"/>
      <c r="G121" s="3352"/>
      <c r="H121" s="3352"/>
      <c r="I121" s="3351"/>
      <c r="AA121" s="734"/>
    </row>
    <row r="122" spans="1:27" ht="18.75" customHeight="1">
      <c r="A122" s="3356" t="str">
        <f>IF(项目基本情况!B9="房地产市场价值","",MID(E107,3,LEN(E107)-2))</f>
        <v>房地产抵押价值</v>
      </c>
      <c r="B122" s="3356"/>
      <c r="C122" s="3356"/>
      <c r="D122" s="3345" t="e">
        <f ca="1">H107</f>
        <v>#REF!</v>
      </c>
      <c r="E122" s="3346"/>
      <c r="F122" s="3346"/>
      <c r="G122" s="3346"/>
      <c r="H122" s="3346"/>
      <c r="I122" s="3347"/>
      <c r="AA122" s="734"/>
    </row>
    <row r="123" spans="1:27" ht="18.75" customHeight="1">
      <c r="A123" s="3344" t="s">
        <v>1897</v>
      </c>
      <c r="B123" s="3344"/>
      <c r="C123" s="3344"/>
      <c r="D123" s="3350" t="e">
        <f ca="1">NUMBERSTRING(INT(D122*10000),2)&amp;"元整"</f>
        <v>#REF!</v>
      </c>
      <c r="E123" s="3352"/>
      <c r="F123" s="3352"/>
      <c r="G123" s="3352"/>
      <c r="H123" s="3352"/>
      <c r="I123" s="3351"/>
      <c r="AA123" s="734"/>
    </row>
    <row r="124" spans="1:27" ht="18.75" customHeight="1">
      <c r="A124" s="3356" t="str">
        <f>IF(项目基本情况!B9="房地产市场价值","",MID(E109,3,LEN(E109)-2))</f>
        <v/>
      </c>
      <c r="B124" s="3356"/>
      <c r="C124" s="3356"/>
      <c r="D124" s="3345" t="str">
        <f>H109</f>
        <v>——</v>
      </c>
      <c r="E124" s="3346"/>
      <c r="F124" s="3346"/>
      <c r="G124" s="3346"/>
      <c r="H124" s="3346"/>
      <c r="I124" s="3347"/>
      <c r="AA124" s="734"/>
    </row>
    <row r="125" spans="1:27" ht="18.75" customHeight="1">
      <c r="A125" s="3344" t="s">
        <v>1897</v>
      </c>
      <c r="B125" s="3344"/>
      <c r="C125" s="3344"/>
      <c r="D125" s="3350" t="e">
        <f>NUMBERSTRING(INT(D124*10000),2)&amp;"元整"</f>
        <v>#VALUE!</v>
      </c>
      <c r="E125" s="3352"/>
      <c r="F125" s="3352"/>
      <c r="G125" s="3352"/>
      <c r="H125" s="3352"/>
      <c r="I125" s="3351"/>
      <c r="AA125" s="734"/>
    </row>
    <row r="126" spans="1:27" ht="18.75" customHeight="1">
      <c r="A126" s="3356" t="str">
        <f>IF(项目基本情况!B9="房地产市场价值","",MID(E111,3,LEN(E111)-2))</f>
        <v/>
      </c>
      <c r="B126" s="3356"/>
      <c r="C126" s="3356"/>
      <c r="D126" s="3345" t="str">
        <f>H111</f>
        <v>——</v>
      </c>
      <c r="E126" s="3346"/>
      <c r="F126" s="3346"/>
      <c r="G126" s="3346"/>
      <c r="H126" s="3346"/>
      <c r="I126" s="3347"/>
      <c r="AA126" s="734"/>
    </row>
    <row r="127" spans="1:27" ht="18.75" customHeight="1">
      <c r="A127" s="3344" t="s">
        <v>1897</v>
      </c>
      <c r="B127" s="3344"/>
      <c r="C127" s="3344"/>
      <c r="D127" s="3350" t="e">
        <f>NUMBERSTRING(INT(D126*10000),2)&amp;"元整"</f>
        <v>#VALUE!</v>
      </c>
      <c r="E127" s="3352"/>
      <c r="F127" s="3352"/>
      <c r="G127" s="3352"/>
      <c r="H127" s="3352"/>
      <c r="I127" s="3351"/>
      <c r="AA127" s="734"/>
    </row>
    <row r="128" spans="1:27" ht="21.75" customHeight="1">
      <c r="A128" s="3353" t="s">
        <v>1898</v>
      </c>
      <c r="B128" s="3353"/>
      <c r="C128" s="3353"/>
      <c r="D128" s="3353"/>
      <c r="E128" s="3353"/>
      <c r="F128" s="3353"/>
      <c r="G128" s="3353"/>
      <c r="H128" s="3353"/>
      <c r="I128" s="335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16708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6980</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3882</v>
      </c>
      <c r="D5" s="217" t="s">
        <v>1914</v>
      </c>
      <c r="E5" s="218" t="s">
        <v>1915</v>
      </c>
      <c r="F5" s="218" t="s">
        <v>1916</v>
      </c>
      <c r="G5" s="219"/>
    </row>
    <row r="6" spans="1:9" s="220" customFormat="1" ht="13.5" customHeight="1">
      <c r="A6" s="867" t="s">
        <v>1917</v>
      </c>
      <c r="B6" s="221" t="s">
        <v>1918</v>
      </c>
      <c r="C6" s="222">
        <f>[2]基准地价修正!$B$2</f>
        <v>3302</v>
      </c>
      <c r="D6" s="223"/>
      <c r="E6" s="224"/>
      <c r="F6" s="224"/>
      <c r="G6" s="225"/>
    </row>
    <row r="7" spans="1:9" s="220" customFormat="1" ht="13.5" customHeight="1">
      <c r="A7" s="867" t="s">
        <v>1919</v>
      </c>
      <c r="B7" s="221" t="s">
        <v>1920</v>
      </c>
      <c r="C7" s="226">
        <f>ROUND(C6*F7,0)</f>
        <v>101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336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333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396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396</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5074</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12481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11485</v>
      </c>
      <c r="D34" s="223"/>
      <c r="E34" s="226"/>
      <c r="F34" s="263">
        <f ca="1">IF('数据-取费表'!B24=0,1,IF(B1="",'数据-取费表'!N16,INDIRECT("'数据-取费表'!n"&amp;$G$1)))</f>
        <v>1</v>
      </c>
      <c r="G34" s="225" t="s">
        <v>1971</v>
      </c>
    </row>
    <row r="35" spans="1:7" ht="13.5" customHeight="1">
      <c r="A35" s="869" t="s">
        <v>615</v>
      </c>
      <c r="B35" s="221" t="s">
        <v>1972</v>
      </c>
      <c r="C35" s="226">
        <f ca="1">ROUND(C34*F35,0)</f>
        <v>345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172</v>
      </c>
      <c r="D38" s="226"/>
      <c r="E38" s="226"/>
      <c r="F38" s="265">
        <f>'数据-取费表'!B36</f>
        <v>1.4999999999999999E-2</v>
      </c>
      <c r="G38" s="225" t="s">
        <v>1973</v>
      </c>
    </row>
    <row r="39" spans="1:7" s="220" customFormat="1" ht="13.5" customHeight="1">
      <c r="A39" s="261" t="s">
        <v>1979</v>
      </c>
      <c r="B39" s="216" t="s">
        <v>1980</v>
      </c>
      <c r="C39" s="238">
        <f ca="1">ROUND(C33*F20,0)</f>
        <v>250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535</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524</v>
      </c>
      <c r="D42" s="244"/>
      <c r="E42" s="244"/>
      <c r="F42" s="245"/>
      <c r="G42" s="3426" t="s">
        <v>1989</v>
      </c>
    </row>
    <row r="43" spans="1:7" ht="13.5" customHeight="1">
      <c r="A43" s="869" t="s">
        <v>611</v>
      </c>
      <c r="B43" s="221" t="s">
        <v>1990</v>
      </c>
      <c r="C43" s="244">
        <f ca="1">ROUND(IF('数据-取费表'!B22&lt;=1,C39*F22*'数据-取费表'!B21/2,C39*(POWER((1+F22),'数据-取费表'!B21/2)-1)),0)</f>
        <v>11</v>
      </c>
      <c r="D43" s="244"/>
      <c r="E43" s="244"/>
      <c r="F43" s="245"/>
      <c r="G43" s="3427"/>
    </row>
    <row r="44" spans="1:7" ht="13.5" customHeight="1">
      <c r="A44" s="869" t="s">
        <v>612</v>
      </c>
      <c r="B44" s="221" t="s">
        <v>1991</v>
      </c>
      <c r="C44" s="244">
        <f ca="1">ROUND(IF('数据-取费表'!B22&lt;=1,C40*F22*'数据-取费表'!B21/2,C40*(POWER((1+F22),'数据-取费表'!B21/2)-1)),4)</f>
        <v>8.0000000000000004E-4</v>
      </c>
      <c r="D44" s="244"/>
      <c r="E44" s="244"/>
      <c r="F44" s="245"/>
      <c r="G44" s="3428"/>
    </row>
    <row r="45" spans="1:7" s="220" customFormat="1" ht="13.5" customHeight="1">
      <c r="A45" s="261" t="s">
        <v>1992</v>
      </c>
      <c r="B45" s="250" t="s">
        <v>1958</v>
      </c>
      <c r="C45" s="251">
        <f ca="1">C46</f>
        <v>1273</v>
      </c>
      <c r="D45" s="241">
        <f ca="1">C47</f>
        <v>2E-3</v>
      </c>
      <c r="E45" s="242" t="s">
        <v>1984</v>
      </c>
      <c r="F45" s="2488">
        <f ca="1">F27</f>
        <v>0.1</v>
      </c>
      <c r="G45" s="253" t="s">
        <v>1993</v>
      </c>
    </row>
    <row r="46" spans="1:7" s="220" customFormat="1" ht="13.5" customHeight="1">
      <c r="A46" s="869" t="s">
        <v>610</v>
      </c>
      <c r="B46" s="254" t="s">
        <v>1994</v>
      </c>
      <c r="C46" s="255">
        <f ca="1">ROUND((C33+C39)*F27,0)</f>
        <v>1273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15721</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11634</v>
      </c>
      <c r="D51" s="238"/>
      <c r="E51" s="238"/>
      <c r="F51" s="270"/>
      <c r="G51" s="240" t="s">
        <v>2005</v>
      </c>
    </row>
    <row r="52" spans="1:7" s="214" customFormat="1" ht="16.8" thickBot="1">
      <c r="A52" s="271" t="s">
        <v>2006</v>
      </c>
      <c r="B52" s="272"/>
      <c r="C52" s="273">
        <f ca="1">C31+C51</f>
        <v>16708</v>
      </c>
      <c r="D52" s="272"/>
      <c r="E52" s="272"/>
      <c r="F52" s="272"/>
      <c r="G52" s="274"/>
    </row>
    <row r="55" spans="1:7" ht="15">
      <c r="B55" s="276" t="s">
        <v>2007</v>
      </c>
      <c r="C55" s="277"/>
    </row>
    <row r="56" spans="1:7">
      <c r="B56" s="279" t="s">
        <v>1237</v>
      </c>
      <c r="C56" s="281">
        <f ca="1">1-C57</f>
        <v>0.30400000000000005</v>
      </c>
    </row>
    <row r="57" spans="1:7">
      <c r="B57" s="279" t="s">
        <v>1238</v>
      </c>
      <c r="C57" s="280">
        <f ca="1">ROUND(C51/C52,3)</f>
        <v>0.69599999999999995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12884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5382</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124804263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114848631</v>
      </c>
      <c r="D34" s="223"/>
      <c r="E34" s="226"/>
      <c r="F34" s="263"/>
      <c r="G34" s="225"/>
    </row>
    <row r="35" spans="1:7" ht="13.5" customHeight="1">
      <c r="A35" s="869" t="s">
        <v>615</v>
      </c>
      <c r="B35" s="221" t="s">
        <v>1972</v>
      </c>
      <c r="C35" s="226">
        <f ca="1">ROUND(C34*F35,0)</f>
        <v>3445459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1722729</v>
      </c>
      <c r="D38" s="226"/>
      <c r="E38" s="226"/>
      <c r="F38" s="265">
        <f>'数据-取费表'!B36</f>
        <v>1.4999999999999999E-2</v>
      </c>
      <c r="G38" s="225" t="s">
        <v>1973</v>
      </c>
    </row>
    <row r="39" spans="1:7" s="220" customFormat="1" ht="13.5" customHeight="1">
      <c r="A39" s="261" t="s">
        <v>1979</v>
      </c>
      <c r="B39" s="216" t="s">
        <v>1980</v>
      </c>
      <c r="C39" s="238">
        <f ca="1">ROUND(C33*F20,0)</f>
        <v>2496085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5346615</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5241779</v>
      </c>
      <c r="D42" s="244"/>
      <c r="E42" s="244"/>
      <c r="F42" s="245"/>
      <c r="G42" s="3426" t="s">
        <v>2036</v>
      </c>
    </row>
    <row r="43" spans="1:7" ht="13.5" customHeight="1">
      <c r="A43" s="869" t="s">
        <v>611</v>
      </c>
      <c r="B43" s="221" t="s">
        <v>1990</v>
      </c>
      <c r="C43" s="244">
        <f ca="1">ROUND(IF('数据-取费表'!B22&lt;=1,C39*F22*'数据-取费表'!B20/2,C39*(POWER((1+F22),'数据-取费表'!B20/2)-1)),0)</f>
        <v>104836</v>
      </c>
      <c r="D43" s="244"/>
      <c r="E43" s="244"/>
      <c r="F43" s="245"/>
      <c r="G43" s="3427"/>
    </row>
    <row r="44" spans="1:7" ht="13.5" customHeight="1">
      <c r="A44" s="869" t="s">
        <v>612</v>
      </c>
      <c r="B44" s="221" t="s">
        <v>1991</v>
      </c>
      <c r="C44" s="244">
        <f ca="1">ROUND(IF('数据-取费表'!B22&lt;=1,C40*F22*'数据-取费表'!B20/2,C40*(POWER((1+F22),'数据-取费表'!B20/2)-1)),4)</f>
        <v>8.0000000000000004E-4</v>
      </c>
      <c r="D44" s="244"/>
      <c r="E44" s="244"/>
      <c r="F44" s="245"/>
      <c r="G44" s="3428"/>
    </row>
    <row r="45" spans="1:7" s="220" customFormat="1" ht="13.5" customHeight="1">
      <c r="A45" s="261" t="s">
        <v>1992</v>
      </c>
      <c r="B45" s="250" t="s">
        <v>1958</v>
      </c>
      <c r="C45" s="251">
        <f ca="1">C46</f>
        <v>12730035</v>
      </c>
      <c r="D45" s="241">
        <f ca="1">C47</f>
        <v>2E-3</v>
      </c>
      <c r="E45" s="242" t="s">
        <v>1984</v>
      </c>
      <c r="F45" s="2488">
        <f ca="1">F27</f>
        <v>0.1</v>
      </c>
      <c r="G45" s="253" t="s">
        <v>1993</v>
      </c>
    </row>
    <row r="46" spans="1:7" s="220" customFormat="1" ht="13.5" customHeight="1">
      <c r="A46" s="869" t="s">
        <v>610</v>
      </c>
      <c r="B46" s="254" t="s">
        <v>1994</v>
      </c>
      <c r="C46" s="255">
        <f ca="1">ROUND((C33+C39)*F27,0)</f>
        <v>12730035</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157198311</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116326750</v>
      </c>
      <c r="D51" s="238"/>
      <c r="E51" s="238"/>
      <c r="F51" s="270"/>
      <c r="G51" s="240" t="s">
        <v>2005</v>
      </c>
    </row>
    <row r="52" spans="1:7" s="214" customFormat="1" ht="16.8" thickBot="1">
      <c r="A52" s="271" t="s">
        <v>2006</v>
      </c>
      <c r="B52" s="272"/>
      <c r="C52" s="273">
        <f ca="1">C31+C51</f>
        <v>128839994</v>
      </c>
      <c r="D52" s="272"/>
      <c r="E52" s="272"/>
      <c r="F52" s="272"/>
      <c r="G52" s="274"/>
    </row>
    <row r="55" spans="1:7" ht="15">
      <c r="B55" s="276" t="s">
        <v>2007</v>
      </c>
      <c r="C55" s="277"/>
    </row>
    <row r="56" spans="1:7">
      <c r="B56" s="279" t="s">
        <v>1237</v>
      </c>
      <c r="C56" s="281">
        <f ca="1">1-C57</f>
        <v>9.6999999999999975E-2</v>
      </c>
    </row>
    <row r="57" spans="1:7">
      <c r="B57" s="279" t="s">
        <v>1238</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9" zoomScale="70" zoomScaleNormal="70" zoomScaleSheetLayoutView="70" workbookViewId="0">
      <selection activeCell="J47" sqref="J4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21481</v>
      </c>
      <c r="C2" s="1522" t="s">
        <v>1240</v>
      </c>
      <c r="D2" s="1522"/>
      <c r="E2" s="1523"/>
      <c r="F2" s="1524"/>
      <c r="G2" s="2885"/>
      <c r="H2" s="2874"/>
      <c r="I2" s="2874"/>
      <c r="J2" s="2874"/>
      <c r="K2" s="2875"/>
      <c r="L2" s="2874"/>
      <c r="M2" s="2874"/>
    </row>
    <row r="3" spans="1:37" ht="18" customHeight="1" thickBot="1">
      <c r="A3" s="1525" t="s">
        <v>1241</v>
      </c>
      <c r="B3" s="1526">
        <f ca="1">IF(ISERROR(B2*10000/F43),0,ROUND(B2*10000/F43,0))</f>
        <v>8981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1521</v>
      </c>
      <c r="D6" s="160" t="s">
        <v>2608</v>
      </c>
      <c r="E6" s="308" t="s">
        <v>1129</v>
      </c>
      <c r="F6" s="309">
        <f ca="1">INDIRECT("'数据-取费表'!u"&amp;$G$1)</f>
        <v>2.2999999999999998</v>
      </c>
      <c r="G6" s="1519"/>
      <c r="H6" s="1182" t="s">
        <v>822</v>
      </c>
      <c r="I6" s="3431" t="s">
        <v>1127</v>
      </c>
      <c r="J6" s="307">
        <f ca="1">ROUND(M6*M8*M7*(1-M9)/10000,0)</f>
        <v>0</v>
      </c>
      <c r="K6" s="160"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20126.390000000003</v>
      </c>
      <c r="G7" s="1519"/>
      <c r="H7" s="310"/>
      <c r="I7" s="3432"/>
      <c r="J7" s="312"/>
      <c r="K7" s="313"/>
      <c r="L7" s="308" t="s">
        <v>1130</v>
      </c>
      <c r="M7" s="309">
        <f ca="1">F7</f>
        <v>20126.390000000003</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11634</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11485</v>
      </c>
      <c r="D14" s="1480" t="s">
        <v>1142</v>
      </c>
      <c r="E14" s="1477"/>
      <c r="F14" s="325"/>
      <c r="G14" s="1519"/>
      <c r="H14" s="1094" t="s">
        <v>822</v>
      </c>
      <c r="I14" s="308" t="s">
        <v>1143</v>
      </c>
      <c r="J14" s="24">
        <f ca="1">C29</f>
        <v>15721</v>
      </c>
      <c r="K14" s="15"/>
      <c r="L14" s="897"/>
      <c r="M14" s="898"/>
    </row>
    <row r="15" spans="1:37" s="1532" customFormat="1" ht="18" customHeight="1" thickBot="1">
      <c r="A15" s="1094" t="s">
        <v>823</v>
      </c>
      <c r="B15" s="308" t="s">
        <v>1144</v>
      </c>
      <c r="C15" s="24">
        <f ca="1">ROUND(C14*F15,0)</f>
        <v>345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292</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12481</v>
      </c>
      <c r="D19" s="136" t="s">
        <v>1160</v>
      </c>
      <c r="E19" s="1495"/>
      <c r="F19" s="26"/>
      <c r="G19" s="1519"/>
      <c r="H19" s="1094" t="s">
        <v>823</v>
      </c>
      <c r="I19" s="308" t="s">
        <v>1161</v>
      </c>
      <c r="J19" s="24">
        <f ca="1">IF(K19="按租金收入计税",ROUND(J6*M19/(1+'数据-取费表'!C42),2),ROUND(C29*M19*0.7,2))</f>
        <v>132.06</v>
      </c>
      <c r="K19" s="1505" t="s">
        <v>1162</v>
      </c>
      <c r="L19" s="308" t="s">
        <v>1146</v>
      </c>
      <c r="M19" s="328">
        <f>IF(K19="按租金收入计税",'数据-取费表'!B51,'数据-取费表'!B50)</f>
        <v>1.2E-2</v>
      </c>
    </row>
    <row r="20" spans="1:37" s="1532" customFormat="1" ht="18" customHeight="1">
      <c r="A20" s="1094" t="s">
        <v>826</v>
      </c>
      <c r="B20" s="308" t="s">
        <v>1163</v>
      </c>
      <c r="C20" s="24">
        <f ca="1">ROUND(C19*F20,0)</f>
        <v>250</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157.19999999999999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535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-292</v>
      </c>
      <c r="K25" s="1208" t="s">
        <v>1188</v>
      </c>
      <c r="L25" s="1209"/>
      <c r="M25" s="1210"/>
    </row>
    <row r="26" spans="1:37">
      <c r="A26" s="1094" t="s">
        <v>821</v>
      </c>
      <c r="B26" s="308" t="s">
        <v>1189</v>
      </c>
      <c r="C26" s="24">
        <f ca="1">ROUND((C19+C20)*F26,0)</f>
        <v>1273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15721</v>
      </c>
      <c r="D29" s="1205"/>
      <c r="E29" s="1203"/>
      <c r="F29" s="1206"/>
      <c r="G29" s="1531"/>
      <c r="H29" s="340" t="s">
        <v>820</v>
      </c>
      <c r="I29" s="341" t="s">
        <v>1203</v>
      </c>
      <c r="J29" s="342">
        <f ca="1">ROUND(J26/(1+F40)^F41,0)</f>
        <v>0</v>
      </c>
      <c r="K29" s="343" t="s">
        <v>1204</v>
      </c>
      <c r="L29" s="344"/>
      <c r="M29" s="345">
        <f ca="1">INDIRECT("'数据-取费表'!k"&amp;$G$1)</f>
        <v>23917.210000000003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446</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157.19999999999999</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1077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21481</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8981</v>
      </c>
      <c r="D43" s="343" t="s">
        <v>1212</v>
      </c>
      <c r="E43" s="344" t="s">
        <v>1213</v>
      </c>
      <c r="F43" s="345">
        <f ca="1">INDIRECT("'数据-取费表'!k"&amp;$G$1)</f>
        <v>23917.210000000003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-44037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21481</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15721</v>
      </c>
      <c r="R49" s="1555" t="s">
        <v>1253</v>
      </c>
    </row>
    <row r="50" spans="1:18" s="1519" customFormat="1" ht="13.8"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1458</v>
      </c>
      <c r="M51" s="1571"/>
      <c r="O51" s="1563" t="s">
        <v>831</v>
      </c>
      <c r="P51" s="1554" t="s">
        <v>1266</v>
      </c>
      <c r="Q51" s="1566">
        <f>J52</f>
        <v>0.09</v>
      </c>
      <c r="R51" s="1555"/>
    </row>
    <row r="52" spans="1:18" s="1519" customFormat="1" ht="13.8" thickBot="1">
      <c r="A52" s="1089"/>
      <c r="B52" s="1091"/>
      <c r="C52" s="1092"/>
      <c r="D52" s="1065"/>
      <c r="E52" s="1093" t="s">
        <v>1132</v>
      </c>
      <c r="F52" s="1166"/>
      <c r="I52" s="1572" t="s">
        <v>1267</v>
      </c>
      <c r="J52" s="1573">
        <v>0.09</v>
      </c>
      <c r="K52" s="1572" t="s">
        <v>1268</v>
      </c>
      <c r="L52" s="1573"/>
      <c r="O52" s="1563" t="s">
        <v>832</v>
      </c>
      <c r="P52" s="1554" t="s">
        <v>1269</v>
      </c>
      <c r="Q52" s="1555">
        <f ca="1">J53</f>
        <v>28.65</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29" t="s">
        <v>1272</v>
      </c>
      <c r="L53" s="3430"/>
      <c r="O53" s="1553" t="s">
        <v>833</v>
      </c>
      <c r="P53" s="1554" t="s">
        <v>1273</v>
      </c>
      <c r="Q53" s="1555">
        <f ca="1">Q47+Q48</f>
        <v>21481</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11634</v>
      </c>
      <c r="D56" s="1582"/>
      <c r="E56" s="1583"/>
      <c r="F56" s="1575"/>
      <c r="I56" s="1584" t="s">
        <v>1278</v>
      </c>
      <c r="J56" s="1585" t="s">
        <v>3179</v>
      </c>
      <c r="K56" s="1556" t="s">
        <v>1279</v>
      </c>
      <c r="L56" s="1559" t="str">
        <f ca="1">IF(L48&lt;J51,"——",L48-J53)</f>
        <v>——</v>
      </c>
      <c r="O56" s="1553" t="s">
        <v>827</v>
      </c>
      <c r="P56" s="1554" t="s">
        <v>1252</v>
      </c>
      <c r="Q56" s="1555">
        <f ca="1">C40+J29</f>
        <v>21481</v>
      </c>
      <c r="R56" s="1555" t="s">
        <v>1253</v>
      </c>
    </row>
    <row r="57" spans="1:18" s="1519" customFormat="1" ht="24.6" thickBot="1">
      <c r="A57" s="1586"/>
      <c r="B57" s="1062" t="s">
        <v>1202</v>
      </c>
      <c r="C57" s="244">
        <f ca="1">C29</f>
        <v>15721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1498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1323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1320.56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21481</v>
      </c>
      <c r="R62" s="1555" t="s">
        <v>834</v>
      </c>
    </row>
    <row r="63" spans="1:18" s="1519" customFormat="1" ht="13.8"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157.19999999999999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17.5</v>
      </c>
      <c r="D65" s="1076" t="s">
        <v>1178</v>
      </c>
      <c r="E65" s="1062" t="s">
        <v>1179</v>
      </c>
      <c r="F65" s="336">
        <f t="shared" ca="1" si="0"/>
        <v>1.5E-3</v>
      </c>
      <c r="I65" s="1597" t="s">
        <v>1303</v>
      </c>
      <c r="J65" s="1598">
        <v>40</v>
      </c>
      <c r="K65" s="1598">
        <v>30</v>
      </c>
      <c r="L65" s="1598">
        <v>50</v>
      </c>
      <c r="M65" s="1600">
        <v>0.02</v>
      </c>
      <c r="O65" s="1553" t="s">
        <v>827</v>
      </c>
      <c r="P65" s="1554" t="s">
        <v>1304</v>
      </c>
      <c r="Q65" s="1555">
        <f ca="1">C40+J29</f>
        <v>21481</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-1498</v>
      </c>
      <c r="D67" s="1075" t="s">
        <v>1188</v>
      </c>
      <c r="E67" s="1080"/>
      <c r="F67" s="1081"/>
      <c r="O67" s="1563" t="s">
        <v>829</v>
      </c>
      <c r="P67" s="1554" t="s">
        <v>1286</v>
      </c>
      <c r="Q67" s="1601">
        <f ca="1">L51</f>
        <v>1458</v>
      </c>
      <c r="R67" s="1555" t="s">
        <v>1306</v>
      </c>
    </row>
    <row r="68" spans="1:18" s="1519" customFormat="1" ht="16.2" thickBot="1">
      <c r="A68" s="1059" t="s">
        <v>819</v>
      </c>
      <c r="B68" s="1060" t="s">
        <v>1209</v>
      </c>
      <c r="C68" s="307">
        <f ca="1">ROUND(C67*(1-((1+F70)/(1+F68))^F69)/(F68-F70),0)</f>
        <v>-22556</v>
      </c>
      <c r="D68" s="1077" t="s">
        <v>1193</v>
      </c>
      <c r="E68" s="1062" t="s">
        <v>1194</v>
      </c>
      <c r="F68" s="318">
        <f ca="1">F40</f>
        <v>0.05</v>
      </c>
      <c r="O68" s="1563" t="s">
        <v>830</v>
      </c>
      <c r="P68" s="1602" t="s">
        <v>1307</v>
      </c>
      <c r="Q68" s="1555">
        <f ca="1">ROUND(Q69-Q70*Q71,0)</f>
        <v>88</v>
      </c>
      <c r="R68" s="1555" t="s">
        <v>838</v>
      </c>
    </row>
    <row r="69" spans="1:18" s="1519" customFormat="1" ht="13.8" thickBot="1">
      <c r="A69" s="1063"/>
      <c r="B69" s="1064"/>
      <c r="C69" s="312"/>
      <c r="D69" s="1082" t="s">
        <v>1197</v>
      </c>
      <c r="E69" s="1062" t="s">
        <v>1198</v>
      </c>
      <c r="F69" s="339">
        <f ca="1">F41</f>
        <v>28.65</v>
      </c>
      <c r="O69" s="1563" t="s">
        <v>835</v>
      </c>
      <c r="P69" s="1602" t="s">
        <v>1308</v>
      </c>
      <c r="Q69" s="1555">
        <f ca="1">C39</f>
        <v>1077</v>
      </c>
      <c r="R69" s="1555" t="s">
        <v>1253</v>
      </c>
    </row>
    <row r="70" spans="1:18" s="1519" customFormat="1" ht="13.8" thickBot="1">
      <c r="A70" s="1066"/>
      <c r="B70" s="1067"/>
      <c r="C70" s="316"/>
      <c r="D70" s="1078"/>
      <c r="E70" s="1062" t="s">
        <v>1201</v>
      </c>
      <c r="F70" s="1166"/>
      <c r="O70" s="1563" t="s">
        <v>836</v>
      </c>
      <c r="P70" s="1602" t="s">
        <v>1309</v>
      </c>
      <c r="Q70" s="1555">
        <f ca="1">C13</f>
        <v>11634</v>
      </c>
      <c r="R70" s="1555" t="s">
        <v>1253</v>
      </c>
    </row>
    <row r="71" spans="1:18" s="1519" customFormat="1" ht="13.8" thickBot="1">
      <c r="A71" s="1083" t="s">
        <v>820</v>
      </c>
      <c r="B71" s="1084" t="s">
        <v>1211</v>
      </c>
      <c r="C71" s="342">
        <f ca="1">ROUND(C68*10000/F71,0)</f>
        <v>-9431</v>
      </c>
      <c r="D71" s="1085" t="s">
        <v>1212</v>
      </c>
      <c r="E71" s="1086" t="s">
        <v>1213</v>
      </c>
      <c r="F71" s="345">
        <f ca="1">F43</f>
        <v>23917.210000000003</v>
      </c>
      <c r="O71" s="1563" t="s">
        <v>837</v>
      </c>
      <c r="P71" s="1602" t="s">
        <v>1310</v>
      </c>
      <c r="Q71" s="1566">
        <f ca="1">C76</f>
        <v>8.5000000000000006E-2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989</v>
      </c>
      <c r="D75" s="1519"/>
      <c r="E75" s="1519"/>
      <c r="F75" s="1519"/>
      <c r="K75" s="1537"/>
      <c r="L75" s="1519"/>
      <c r="O75" s="1553" t="s">
        <v>833</v>
      </c>
      <c r="P75" s="1554" t="s">
        <v>1273</v>
      </c>
      <c r="Q75" s="1555">
        <f ca="1">Q65+Q66</f>
        <v>21481</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8.1999999999999962E-2</v>
      </c>
    </row>
    <row r="80" spans="1:18">
      <c r="B80" s="346" t="s">
        <v>1235</v>
      </c>
      <c r="C80" s="280">
        <f ca="1">ROUND(C75/C39,3)</f>
        <v>0.91800000000000004</v>
      </c>
    </row>
    <row r="81" spans="2:3">
      <c r="B81" s="276" t="s">
        <v>1236</v>
      </c>
      <c r="C81" s="244"/>
    </row>
    <row r="82" spans="2:3">
      <c r="B82" s="279" t="s">
        <v>1237</v>
      </c>
      <c r="C82" s="281">
        <f ca="1">1-C83</f>
        <v>0.45799999999999996</v>
      </c>
    </row>
    <row r="83" spans="2:3">
      <c r="B83" s="279" t="s">
        <v>1238</v>
      </c>
      <c r="C83" s="280">
        <f ca="1">ROUND(C13/C40,3)</f>
        <v>0.54200000000000004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1" t="s">
        <v>1127</v>
      </c>
      <c r="C6" s="1187">
        <f ca="1">ROUND(F6*F8*F7*(1-F9),0)</f>
        <v>0</v>
      </c>
      <c r="D6" s="160" t="s">
        <v>2605</v>
      </c>
      <c r="E6" s="308" t="s">
        <v>1129</v>
      </c>
      <c r="F6" s="309">
        <f ca="1">INDIRECT("'数据-取费表'!u"&amp;$G$1)</f>
        <v>0</v>
      </c>
      <c r="G6" s="1519"/>
      <c r="H6" s="1182" t="s">
        <v>822</v>
      </c>
      <c r="I6" s="3431" t="s">
        <v>1127</v>
      </c>
      <c r="J6" s="307">
        <f ca="1">ROUND(M6*M8*M7*(1-M9),0)</f>
        <v>0</v>
      </c>
      <c r="K6" s="1511" t="s">
        <v>2606</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2" customHeight="1">
      <c r="A2" s="1520" t="s">
        <v>2819</v>
      </c>
      <c r="B2" s="3024" t="e">
        <f>C40</f>
        <v>#DIV/0!</v>
      </c>
      <c r="C2" s="3025" t="s">
        <v>2820</v>
      </c>
      <c r="D2" s="3025"/>
      <c r="E2" s="3026"/>
      <c r="F2" s="3027"/>
      <c r="G2" s="3028"/>
      <c r="H2" s="3029"/>
      <c r="I2" s="3030"/>
      <c r="J2" s="3434" t="s">
        <v>2821</v>
      </c>
      <c r="K2" s="3435"/>
      <c r="L2" s="3031" t="s">
        <v>2822</v>
      </c>
      <c r="M2" s="3031" t="s">
        <v>2823</v>
      </c>
      <c r="N2" s="3031" t="s">
        <v>2824</v>
      </c>
      <c r="O2" s="3031" t="s">
        <v>2825</v>
      </c>
      <c r="P2" s="3031" t="s">
        <v>2826</v>
      </c>
      <c r="Q2" s="3032" t="s">
        <v>2827</v>
      </c>
      <c r="R2" s="3033" t="s">
        <v>2828</v>
      </c>
      <c r="S2" s="3022"/>
      <c r="T2" s="3022"/>
      <c r="U2" s="3022"/>
      <c r="V2" s="3030"/>
    </row>
    <row r="3" spans="1:22" s="3034" customFormat="1" ht="13.2" customHeight="1">
      <c r="A3" s="3035" t="s">
        <v>2829</v>
      </c>
      <c r="B3" s="3036" t="e">
        <f>ROUND(B2*10000/B4,0)</f>
        <v>#DIV/0!</v>
      </c>
      <c r="C3" s="3025" t="s">
        <v>2830</v>
      </c>
      <c r="D3" s="3025"/>
      <c r="E3" s="3026"/>
      <c r="F3" s="3027"/>
      <c r="G3" s="3028"/>
      <c r="H3" s="3029"/>
      <c r="I3" s="3030"/>
      <c r="J3" s="3436" t="s">
        <v>2831</v>
      </c>
      <c r="K3" s="3437"/>
      <c r="L3" s="3037"/>
      <c r="M3" s="3037"/>
      <c r="N3" s="3037"/>
      <c r="O3" s="3037"/>
      <c r="P3" s="3037"/>
      <c r="Q3" s="3038"/>
      <c r="R3" s="3039">
        <f>SUM(L3:Q3)</f>
        <v>0</v>
      </c>
      <c r="S3" s="3022"/>
      <c r="T3" s="3022"/>
      <c r="U3" s="3022"/>
      <c r="V3" s="3030"/>
    </row>
    <row r="4" spans="1:22" s="3034" customFormat="1" ht="13.2" customHeight="1">
      <c r="A4" s="3040" t="s">
        <v>2832</v>
      </c>
      <c r="B4" s="3041"/>
      <c r="C4" s="3025"/>
      <c r="D4" s="3025"/>
      <c r="E4" s="3026"/>
      <c r="F4" s="3027"/>
      <c r="G4" s="3028"/>
      <c r="H4" s="3029"/>
      <c r="I4" s="3030"/>
      <c r="J4" s="3436" t="s">
        <v>2833</v>
      </c>
      <c r="K4" s="3437"/>
      <c r="L4" s="3042"/>
      <c r="M4" s="3042"/>
      <c r="N4" s="3042"/>
      <c r="O4" s="3042"/>
      <c r="P4" s="3042"/>
      <c r="Q4" s="3043"/>
      <c r="R4" s="3044">
        <f>SUM(L4:Q4)</f>
        <v>0</v>
      </c>
      <c r="S4" s="3022"/>
      <c r="T4" s="3022"/>
      <c r="U4" s="3022"/>
      <c r="V4" s="3030"/>
    </row>
    <row r="5" spans="1:22" s="3034" customFormat="1" ht="13.2"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2" customHeight="1" thickBot="1">
      <c r="A6" s="3438" t="s">
        <v>2837</v>
      </c>
      <c r="B6" s="3439"/>
      <c r="C6" s="3440"/>
      <c r="D6" s="3051"/>
      <c r="E6" s="3052"/>
      <c r="F6" s="3053"/>
      <c r="G6" s="3054"/>
      <c r="H6" s="3029"/>
      <c r="I6" s="3030"/>
      <c r="J6" s="3441">
        <v>1</v>
      </c>
      <c r="K6" s="3442"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2" customHeight="1">
      <c r="A7" s="3057" t="s">
        <v>2847</v>
      </c>
      <c r="B7" s="3058"/>
      <c r="C7" s="3059"/>
      <c r="D7" s="3060">
        <f>SUM(D9,D10,D11,D17,0)</f>
        <v>0</v>
      </c>
      <c r="E7" s="3061" t="e">
        <f>E9+E10+E11+E17</f>
        <v>#DIV/0!</v>
      </c>
      <c r="F7" s="3062"/>
      <c r="G7" s="3063"/>
      <c r="H7" s="3029"/>
      <c r="I7" s="3030"/>
      <c r="J7" s="3441"/>
      <c r="K7" s="3443"/>
      <c r="L7" s="3064" t="s">
        <v>2848</v>
      </c>
      <c r="M7" s="3065"/>
      <c r="N7" s="3041"/>
      <c r="O7" s="3066"/>
      <c r="P7" s="3066"/>
      <c r="Q7" s="3067">
        <v>365</v>
      </c>
      <c r="R7" s="3068">
        <f>ROUND(M7*N7*O7*P7*Q7/10000,0)</f>
        <v>0</v>
      </c>
      <c r="S7" s="3022"/>
      <c r="T7" s="3022" t="s">
        <v>2849</v>
      </c>
      <c r="U7" s="3022"/>
      <c r="V7" s="3030"/>
    </row>
    <row r="8" spans="1:22" s="3034" customFormat="1" ht="13.2" customHeight="1">
      <c r="A8" s="3069" t="s">
        <v>2850</v>
      </c>
      <c r="B8" s="3445" t="s">
        <v>2851</v>
      </c>
      <c r="C8" s="3446"/>
      <c r="D8" s="3070" t="s">
        <v>2852</v>
      </c>
      <c r="E8" s="3071" t="s">
        <v>2853</v>
      </c>
      <c r="F8" s="3072" t="s">
        <v>2854</v>
      </c>
      <c r="G8" s="3073"/>
      <c r="H8" s="3029"/>
      <c r="I8" s="3030"/>
      <c r="J8" s="3441"/>
      <c r="K8" s="3443"/>
      <c r="L8" s="3064" t="s">
        <v>2855</v>
      </c>
      <c r="M8" s="3065"/>
      <c r="N8" s="3041"/>
      <c r="O8" s="3066"/>
      <c r="P8" s="3066"/>
      <c r="Q8" s="3067">
        <v>365</v>
      </c>
      <c r="R8" s="3068">
        <f t="shared" ref="R8:R13" si="0">ROUND(M8*N8*O8*P8*Q8/10000,0)</f>
        <v>0</v>
      </c>
      <c r="S8" s="3022"/>
      <c r="T8" s="3022" t="s">
        <v>2856</v>
      </c>
      <c r="U8" s="3022"/>
      <c r="V8" s="3030"/>
    </row>
    <row r="9" spans="1:22" s="3034" customFormat="1" ht="13.2" customHeight="1">
      <c r="A9" s="3069">
        <v>1</v>
      </c>
      <c r="B9" s="3445" t="s">
        <v>2857</v>
      </c>
      <c r="C9" s="3446"/>
      <c r="D9" s="3070">
        <f>ROUND(D6*E9,0)</f>
        <v>0</v>
      </c>
      <c r="E9" s="3074"/>
      <c r="F9" s="3075" t="s">
        <v>2858</v>
      </c>
      <c r="G9" s="3054"/>
      <c r="H9" s="3029"/>
      <c r="I9" s="3030"/>
      <c r="J9" s="3441"/>
      <c r="K9" s="3443"/>
      <c r="L9" s="3064" t="s">
        <v>2859</v>
      </c>
      <c r="M9" s="3065"/>
      <c r="N9" s="3041"/>
      <c r="O9" s="3066"/>
      <c r="P9" s="3066"/>
      <c r="Q9" s="3067">
        <v>365</v>
      </c>
      <c r="R9" s="3068">
        <f t="shared" si="0"/>
        <v>0</v>
      </c>
      <c r="S9" s="3022"/>
      <c r="T9" s="3022"/>
      <c r="U9" s="3022"/>
      <c r="V9" s="3030"/>
    </row>
    <row r="10" spans="1:22" s="3034" customFormat="1" ht="13.2" customHeight="1">
      <c r="A10" s="3069">
        <v>2</v>
      </c>
      <c r="B10" s="3445" t="s">
        <v>2860</v>
      </c>
      <c r="C10" s="3446"/>
      <c r="D10" s="3070">
        <f>ROUND(D6*E10,0)</f>
        <v>0</v>
      </c>
      <c r="E10" s="3074"/>
      <c r="F10" s="3075" t="s">
        <v>2861</v>
      </c>
      <c r="G10" s="3054"/>
      <c r="H10" s="3029"/>
      <c r="I10" s="3030"/>
      <c r="J10" s="3441"/>
      <c r="K10" s="3443"/>
      <c r="L10" s="3064" t="s">
        <v>2862</v>
      </c>
      <c r="M10" s="3065"/>
      <c r="N10" s="3041"/>
      <c r="O10" s="3066"/>
      <c r="P10" s="3066"/>
      <c r="Q10" s="3067">
        <v>365</v>
      </c>
      <c r="R10" s="3068">
        <f t="shared" si="0"/>
        <v>0</v>
      </c>
      <c r="S10" s="3022"/>
      <c r="T10" s="3022"/>
      <c r="U10" s="3022"/>
      <c r="V10" s="3030"/>
    </row>
    <row r="11" spans="1:22" s="3034" customFormat="1" ht="13.2" customHeight="1">
      <c r="A11" s="3069">
        <v>3</v>
      </c>
      <c r="B11" s="3445" t="s">
        <v>2863</v>
      </c>
      <c r="C11" s="3446"/>
      <c r="D11" s="3070">
        <f>D12+D14+D15+D16</f>
        <v>0</v>
      </c>
      <c r="E11" s="3076" t="e">
        <f>D11/D6</f>
        <v>#DIV/0!</v>
      </c>
      <c r="F11" s="3072"/>
      <c r="G11" s="3073"/>
      <c r="H11" s="3029"/>
      <c r="I11" s="3030"/>
      <c r="J11" s="3441"/>
      <c r="K11" s="3443"/>
      <c r="L11" s="3064" t="s">
        <v>2864</v>
      </c>
      <c r="M11" s="3065"/>
      <c r="N11" s="3041"/>
      <c r="O11" s="3066"/>
      <c r="P11" s="3066"/>
      <c r="Q11" s="3067">
        <v>365</v>
      </c>
      <c r="R11" s="3068">
        <f t="shared" si="0"/>
        <v>0</v>
      </c>
      <c r="S11" s="3022"/>
      <c r="T11" s="3022"/>
      <c r="U11" s="3022"/>
      <c r="V11" s="3030"/>
    </row>
    <row r="12" spans="1:22" s="3034" customFormat="1" ht="13.2" customHeight="1">
      <c r="A12" s="3077" t="s">
        <v>2865</v>
      </c>
      <c r="B12" s="3447" t="s">
        <v>2866</v>
      </c>
      <c r="C12" s="3448"/>
      <c r="D12" s="3078">
        <f>ROUND(D13*1.2%*(1-30%),0)</f>
        <v>0</v>
      </c>
      <c r="E12" s="3079">
        <v>1.2E-2</v>
      </c>
      <c r="F12" s="3072" t="s">
        <v>2867</v>
      </c>
      <c r="G12" s="3073"/>
      <c r="H12" s="3029"/>
      <c r="I12" s="3030"/>
      <c r="J12" s="3441"/>
      <c r="K12" s="3443"/>
      <c r="L12" s="3064" t="s">
        <v>2868</v>
      </c>
      <c r="M12" s="3065"/>
      <c r="N12" s="3041"/>
      <c r="O12" s="3066"/>
      <c r="P12" s="3066"/>
      <c r="Q12" s="3067">
        <v>365</v>
      </c>
      <c r="R12" s="3068">
        <f t="shared" si="0"/>
        <v>0</v>
      </c>
      <c r="S12" s="3022"/>
      <c r="T12" s="3022"/>
      <c r="U12" s="3022"/>
      <c r="V12" s="3030"/>
    </row>
    <row r="13" spans="1:22" s="3034" customFormat="1" ht="13.2" customHeight="1">
      <c r="A13" s="3077"/>
      <c r="B13" s="3080"/>
      <c r="C13" s="3081" t="s">
        <v>2869</v>
      </c>
      <c r="D13" s="3082"/>
      <c r="E13" s="3083"/>
      <c r="F13" s="3072"/>
      <c r="G13" s="3073"/>
      <c r="H13" s="3029"/>
      <c r="I13" s="3030"/>
      <c r="J13" s="3441"/>
      <c r="K13" s="3443"/>
      <c r="L13" s="3064" t="s">
        <v>2870</v>
      </c>
      <c r="M13" s="3065"/>
      <c r="N13" s="3041"/>
      <c r="O13" s="3066"/>
      <c r="P13" s="3066"/>
      <c r="Q13" s="3067">
        <v>365</v>
      </c>
      <c r="R13" s="3068">
        <f t="shared" si="0"/>
        <v>0</v>
      </c>
      <c r="S13" s="3022"/>
      <c r="T13" s="3022"/>
      <c r="U13" s="3022"/>
      <c r="V13" s="3030"/>
    </row>
    <row r="14" spans="1:22" s="3034" customFormat="1" ht="13.2" customHeight="1">
      <c r="A14" s="3077" t="s">
        <v>2871</v>
      </c>
      <c r="B14" s="3447" t="s">
        <v>2872</v>
      </c>
      <c r="C14" s="3448"/>
      <c r="D14" s="3078">
        <f>ROUND(E14*B5/10000,0)</f>
        <v>0</v>
      </c>
      <c r="E14" s="3067"/>
      <c r="F14" s="3072" t="s">
        <v>2873</v>
      </c>
      <c r="G14" s="3073"/>
      <c r="H14" s="3029"/>
      <c r="I14" s="3030"/>
      <c r="J14" s="3441"/>
      <c r="K14" s="3444"/>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2875</v>
      </c>
      <c r="B15" s="3447" t="s">
        <v>2876</v>
      </c>
      <c r="C15" s="3448"/>
      <c r="D15" s="3078">
        <f>ROUND(D6*E15,0)</f>
        <v>0</v>
      </c>
      <c r="E15" s="3079">
        <v>5.5E-2</v>
      </c>
      <c r="F15" s="3072" t="s">
        <v>2877</v>
      </c>
      <c r="G15" s="3054"/>
      <c r="H15" s="3029"/>
      <c r="I15" s="3030"/>
      <c r="J15" s="3441">
        <v>2</v>
      </c>
      <c r="K15" s="3442"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2" customHeight="1">
      <c r="A16" s="3077" t="s">
        <v>2884</v>
      </c>
      <c r="B16" s="3447" t="s">
        <v>2885</v>
      </c>
      <c r="C16" s="3448"/>
      <c r="D16" s="3089">
        <f>D6*E16</f>
        <v>0</v>
      </c>
      <c r="E16" s="3090"/>
      <c r="F16" s="3075" t="s">
        <v>2886</v>
      </c>
      <c r="G16" s="3054"/>
      <c r="H16" s="3029"/>
      <c r="I16" s="3030"/>
      <c r="J16" s="3441"/>
      <c r="K16" s="3443"/>
      <c r="L16" s="3064" t="s">
        <v>2887</v>
      </c>
      <c r="M16" s="3065"/>
      <c r="N16" s="3065"/>
      <c r="O16" s="3066"/>
      <c r="P16" s="3067">
        <v>365</v>
      </c>
      <c r="Q16" s="3041"/>
      <c r="R16" s="3088">
        <f>ROUND(M16*N16*O16*P16/10000,0)</f>
        <v>0</v>
      </c>
      <c r="S16" s="3022"/>
      <c r="T16" s="3022"/>
      <c r="U16" s="3022"/>
      <c r="V16" s="3030"/>
    </row>
    <row r="17" spans="1:22" s="3034" customFormat="1" ht="13.2" customHeight="1" thickBot="1">
      <c r="A17" s="3091">
        <v>4</v>
      </c>
      <c r="B17" s="3449" t="s">
        <v>2888</v>
      </c>
      <c r="C17" s="3450"/>
      <c r="D17" s="3092">
        <f>ROUND(D6*E17,0)</f>
        <v>0</v>
      </c>
      <c r="E17" s="3093"/>
      <c r="F17" s="3094" t="s">
        <v>2889</v>
      </c>
      <c r="G17" s="3054"/>
      <c r="H17" s="3029"/>
      <c r="I17" s="3030"/>
      <c r="J17" s="3441"/>
      <c r="K17" s="3443"/>
      <c r="L17" s="3064" t="s">
        <v>2890</v>
      </c>
      <c r="M17" s="3065"/>
      <c r="N17" s="3065"/>
      <c r="O17" s="3066"/>
      <c r="P17" s="3067">
        <v>365</v>
      </c>
      <c r="Q17" s="3041"/>
      <c r="R17" s="3088">
        <f>ROUND(M17*N17*O17*P17/10000,0)</f>
        <v>0</v>
      </c>
      <c r="S17" s="3022"/>
      <c r="T17" s="3022"/>
      <c r="U17" s="3022"/>
      <c r="V17" s="3030"/>
    </row>
    <row r="18" spans="1:22" s="3034" customFormat="1" ht="13.2" customHeight="1" thickBot="1">
      <c r="A18" s="3057" t="s">
        <v>2891</v>
      </c>
      <c r="B18" s="3058"/>
      <c r="C18" s="3058"/>
      <c r="D18" s="3095">
        <f>ROUND(D6*E18,0)</f>
        <v>0</v>
      </c>
      <c r="E18" s="3096"/>
      <c r="F18" s="3097" t="s">
        <v>2892</v>
      </c>
      <c r="G18" s="3054"/>
      <c r="H18" s="3029"/>
      <c r="I18" s="3030"/>
      <c r="J18" s="3441"/>
      <c r="K18" s="3443"/>
      <c r="L18" s="3064" t="s">
        <v>2893</v>
      </c>
      <c r="M18" s="3065"/>
      <c r="N18" s="3065"/>
      <c r="O18" s="3066"/>
      <c r="P18" s="3067">
        <v>365</v>
      </c>
      <c r="Q18" s="3041"/>
      <c r="R18" s="3088">
        <f>ROUND(M18*N18*O18*P18/10000,0)</f>
        <v>0</v>
      </c>
      <c r="S18" s="3022"/>
      <c r="T18" s="3022"/>
      <c r="U18" s="3022"/>
      <c r="V18" s="3030"/>
    </row>
    <row r="19" spans="1:22" s="3034" customFormat="1" ht="13.2" customHeight="1" thickBot="1">
      <c r="A19" s="3098" t="s">
        <v>2894</v>
      </c>
      <c r="B19" s="3052"/>
      <c r="C19" s="3052"/>
      <c r="D19" s="3052"/>
      <c r="E19" s="3052"/>
      <c r="F19" s="3053"/>
      <c r="G19" s="3073"/>
      <c r="H19" s="3029"/>
      <c r="I19" s="3030"/>
      <c r="J19" s="3441"/>
      <c r="K19" s="3444"/>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41">
        <v>3</v>
      </c>
      <c r="K20" s="3442"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2" customHeight="1">
      <c r="A21" s="3057"/>
      <c r="B21" s="3058"/>
      <c r="C21" s="3104" t="s">
        <v>2903</v>
      </c>
      <c r="D21" s="3105" t="s">
        <v>2904</v>
      </c>
      <c r="E21" s="3106" t="s">
        <v>2905</v>
      </c>
      <c r="F21" s="3101"/>
      <c r="G21" s="3073"/>
      <c r="H21" s="3029"/>
      <c r="I21" s="3030"/>
      <c r="J21" s="3441"/>
      <c r="K21" s="3443"/>
      <c r="L21" s="3064" t="s">
        <v>2906</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2907</v>
      </c>
      <c r="D22" s="3109" t="s">
        <v>2908</v>
      </c>
      <c r="E22" s="3110" t="s">
        <v>2909</v>
      </c>
      <c r="F22" s="3101"/>
      <c r="G22" s="3111"/>
      <c r="H22" s="3029"/>
      <c r="I22" s="3030"/>
      <c r="J22" s="3441"/>
      <c r="K22" s="3443"/>
      <c r="L22" s="3064" t="s">
        <v>2910</v>
      </c>
      <c r="M22" s="3065"/>
      <c r="N22" s="3065"/>
      <c r="O22" s="3066"/>
      <c r="P22" s="3067">
        <v>365</v>
      </c>
      <c r="Q22" s="3041"/>
      <c r="R22" s="3107">
        <f>ROUND(M22*N22*O22*P22/10000,0)</f>
        <v>0</v>
      </c>
      <c r="S22" s="3103"/>
      <c r="T22" s="3103"/>
      <c r="U22" s="3103"/>
      <c r="V22" s="3030"/>
    </row>
    <row r="23" spans="1:22" s="3034" customFormat="1" ht="13.2" customHeight="1">
      <c r="A23" s="3112">
        <v>1</v>
      </c>
      <c r="B23" s="3113" t="s">
        <v>2911</v>
      </c>
      <c r="C23" s="3114">
        <f>D6</f>
        <v>0</v>
      </c>
      <c r="D23" s="3115">
        <f>C23*(1+D24)</f>
        <v>0</v>
      </c>
      <c r="E23" s="3116">
        <f>D23*(1+E24)</f>
        <v>0</v>
      </c>
      <c r="F23" s="3117"/>
      <c r="G23" s="3118"/>
      <c r="H23" s="3029"/>
      <c r="I23" s="3030"/>
      <c r="J23" s="3441"/>
      <c r="K23" s="3443"/>
      <c r="L23" s="3064" t="s">
        <v>2912</v>
      </c>
      <c r="M23" s="3065"/>
      <c r="N23" s="3065"/>
      <c r="O23" s="3066"/>
      <c r="P23" s="3067">
        <v>365</v>
      </c>
      <c r="Q23" s="3041"/>
      <c r="R23" s="3107">
        <f>ROUND(M23*N23*O23*P23/10000,0)</f>
        <v>0</v>
      </c>
      <c r="S23" s="3022"/>
      <c r="T23" s="3022"/>
      <c r="U23" s="3022"/>
      <c r="V23" s="3030"/>
    </row>
    <row r="24" spans="1:22" s="3034" customFormat="1" ht="13.2" customHeight="1">
      <c r="A24" s="3119"/>
      <c r="B24" s="3120" t="s">
        <v>2913</v>
      </c>
      <c r="C24" s="3121"/>
      <c r="D24" s="3122"/>
      <c r="E24" s="3123"/>
      <c r="F24" s="3124"/>
      <c r="G24" s="3118"/>
      <c r="H24" s="3029"/>
      <c r="I24" s="3030"/>
      <c r="J24" s="3441"/>
      <c r="K24" s="3444"/>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2" customHeight="1">
      <c r="A26" s="3112">
        <v>2</v>
      </c>
      <c r="B26" s="3113" t="s">
        <v>2915</v>
      </c>
      <c r="C26" s="3114">
        <f>D7</f>
        <v>0</v>
      </c>
      <c r="D26" s="3115">
        <f>D23*D27</f>
        <v>0</v>
      </c>
      <c r="E26" s="3116">
        <f>E23*E27</f>
        <v>0</v>
      </c>
      <c r="F26" s="3117"/>
      <c r="G26" s="3118"/>
      <c r="H26" s="3029"/>
      <c r="I26" s="3030"/>
      <c r="J26" s="3451">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2" customHeight="1">
      <c r="A27" s="3119"/>
      <c r="B27" s="3120" t="s">
        <v>2921</v>
      </c>
      <c r="C27" s="3138" t="e">
        <f>E7</f>
        <v>#DIV/0!</v>
      </c>
      <c r="D27" s="3122"/>
      <c r="E27" s="3123"/>
      <c r="F27" s="3124"/>
      <c r="G27" s="3118"/>
      <c r="H27" s="3139"/>
      <c r="I27" s="3130"/>
      <c r="J27" s="3452"/>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2"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2" customHeight="1">
      <c r="A32" s="3112">
        <v>4</v>
      </c>
      <c r="B32" s="3113" t="s">
        <v>2929</v>
      </c>
      <c r="C32" s="3114">
        <f>C23-C26-C29</f>
        <v>0</v>
      </c>
      <c r="D32" s="3115">
        <f>D23-D26-D29</f>
        <v>0</v>
      </c>
      <c r="E32" s="3116">
        <f>E23-E26-E29</f>
        <v>0</v>
      </c>
      <c r="F32" s="3117"/>
      <c r="G32" s="3111"/>
      <c r="H32" s="3029"/>
      <c r="I32" s="3030"/>
      <c r="J32" s="3434" t="s">
        <v>2821</v>
      </c>
      <c r="K32" s="3435"/>
      <c r="L32" s="3031" t="s">
        <v>2822</v>
      </c>
      <c r="M32" s="3031" t="s">
        <v>2823</v>
      </c>
      <c r="N32" s="3031" t="s">
        <v>2824</v>
      </c>
      <c r="O32" s="3031" t="s">
        <v>2825</v>
      </c>
      <c r="P32" s="3031" t="s">
        <v>2826</v>
      </c>
      <c r="Q32" s="3032" t="s">
        <v>2827</v>
      </c>
      <c r="R32" s="3154" t="s">
        <v>2828</v>
      </c>
      <c r="S32" s="3103"/>
      <c r="T32" s="3022"/>
      <c r="U32" s="3022"/>
      <c r="V32" s="3130"/>
    </row>
    <row r="33" spans="1:23" s="3034" customFormat="1" ht="13.2" customHeight="1">
      <c r="A33" s="3112"/>
      <c r="B33" s="3113"/>
      <c r="C33" s="3114"/>
      <c r="D33" s="3155"/>
      <c r="E33" s="3156"/>
      <c r="F33" s="3117"/>
      <c r="G33" s="3111"/>
      <c r="H33" s="3139"/>
      <c r="I33" s="3130"/>
      <c r="J33" s="3436" t="s">
        <v>2831</v>
      </c>
      <c r="K33" s="3437"/>
      <c r="L33" s="3037"/>
      <c r="M33" s="3037"/>
      <c r="N33" s="3037"/>
      <c r="O33" s="3037"/>
      <c r="P33" s="3037"/>
      <c r="Q33" s="3038"/>
      <c r="R33" s="3157">
        <f>SUM(L33:Q33)</f>
        <v>0</v>
      </c>
      <c r="S33" s="3103"/>
      <c r="T33" s="3022"/>
      <c r="U33" s="3022"/>
      <c r="V33" s="3030"/>
    </row>
    <row r="34" spans="1:23" s="3034" customFormat="1" ht="13.2" customHeight="1">
      <c r="A34" s="3112">
        <v>5</v>
      </c>
      <c r="B34" s="3113" t="s">
        <v>2930</v>
      </c>
      <c r="C34" s="3158"/>
      <c r="D34" s="3159"/>
      <c r="E34" s="3160"/>
      <c r="F34" s="3117"/>
      <c r="G34" s="3111"/>
      <c r="H34" s="3139"/>
      <c r="I34" s="3130"/>
      <c r="J34" s="3436" t="s">
        <v>2833</v>
      </c>
      <c r="K34" s="3437"/>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2" customHeight="1" thickBot="1">
      <c r="A36" s="3112">
        <v>7</v>
      </c>
      <c r="B36" s="3167" t="s">
        <v>2932</v>
      </c>
      <c r="C36" s="3168"/>
      <c r="D36" s="3169"/>
      <c r="E36" s="3170"/>
      <c r="F36" s="3171">
        <f>C36+D36+E36</f>
        <v>0</v>
      </c>
      <c r="G36" s="3111"/>
      <c r="H36" s="3029"/>
      <c r="I36" s="3030"/>
      <c r="J36" s="3441">
        <v>1</v>
      </c>
      <c r="K36" s="3442" t="s">
        <v>2933</v>
      </c>
      <c r="L36" s="3055"/>
      <c r="M36" s="3056"/>
      <c r="N36" s="3056"/>
      <c r="O36" s="3056"/>
      <c r="P36" s="3056"/>
      <c r="Q36" s="3056"/>
      <c r="R36" s="3039" t="s">
        <v>2845</v>
      </c>
      <c r="S36" s="3103"/>
      <c r="T36" s="3022" t="s">
        <v>2846</v>
      </c>
      <c r="U36" s="3022"/>
      <c r="V36" s="3030"/>
    </row>
    <row r="37" spans="1:23" s="3034" customFormat="1" ht="13.2"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2849</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41"/>
      <c r="K38" s="3443"/>
      <c r="L38" s="3064"/>
      <c r="M38" s="3065"/>
      <c r="N38" s="3041"/>
      <c r="O38" s="3066"/>
      <c r="P38" s="3066"/>
      <c r="Q38" s="3067"/>
      <c r="R38" s="3068"/>
      <c r="S38" s="3103"/>
      <c r="T38" s="3022" t="s">
        <v>2856</v>
      </c>
      <c r="U38" s="3022"/>
      <c r="V38" s="3030"/>
    </row>
    <row r="39" spans="1:23" s="3034" customFormat="1" ht="13.2" customHeight="1">
      <c r="A39" s="3112">
        <v>9</v>
      </c>
      <c r="B39" s="3113" t="s">
        <v>2934</v>
      </c>
      <c r="C39" s="3078" t="e">
        <f>C38</f>
        <v>#DIV/0!</v>
      </c>
      <c r="D39" s="3113">
        <f>D38/(1+D34)^C36</f>
        <v>0</v>
      </c>
      <c r="E39" s="3113">
        <f>E38/(1+E34)^(C36+D36)</f>
        <v>0</v>
      </c>
      <c r="F39" s="3117"/>
      <c r="G39" s="3172"/>
      <c r="H39" s="3029"/>
      <c r="I39" s="3030"/>
      <c r="J39" s="3441"/>
      <c r="K39" s="3443"/>
      <c r="L39" s="3064"/>
      <c r="M39" s="3065"/>
      <c r="N39" s="3041"/>
      <c r="O39" s="3066"/>
      <c r="P39" s="3066"/>
      <c r="Q39" s="3067"/>
      <c r="R39" s="3068"/>
      <c r="S39" s="3103"/>
      <c r="T39" s="3022"/>
      <c r="U39" s="3022"/>
      <c r="V39" s="3030"/>
    </row>
    <row r="40" spans="1:23" s="3034" customFormat="1" ht="13.2" customHeight="1">
      <c r="A40" s="3173">
        <v>10</v>
      </c>
      <c r="B40" s="3113" t="s">
        <v>2935</v>
      </c>
      <c r="C40" s="3174" t="e">
        <f>C39+D39+E39</f>
        <v>#DIV/0!</v>
      </c>
      <c r="D40" s="3175"/>
      <c r="E40" s="3175"/>
      <c r="F40" s="3176"/>
      <c r="G40" s="3111"/>
      <c r="H40" s="3029"/>
      <c r="I40" s="3030"/>
      <c r="J40" s="3441"/>
      <c r="K40" s="3444"/>
      <c r="L40" s="3084" t="s">
        <v>2874</v>
      </c>
      <c r="M40" s="3085"/>
      <c r="N40" s="3085"/>
      <c r="O40" s="3086"/>
      <c r="P40" s="3086"/>
      <c r="Q40" s="3087"/>
      <c r="R40" s="3033">
        <f>SUM(R37:R39)</f>
        <v>0</v>
      </c>
      <c r="S40" s="3103"/>
      <c r="T40" s="3022"/>
      <c r="U40" s="3022"/>
      <c r="V40" s="3030"/>
    </row>
    <row r="41" spans="1:23" s="3034" customFormat="1" ht="13.2"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2" customHeight="1">
      <c r="G42" s="3181"/>
      <c r="H42" s="3029"/>
      <c r="I42" s="3030"/>
      <c r="J42" s="3451">
        <v>3</v>
      </c>
      <c r="K42" s="3132" t="s">
        <v>2916</v>
      </c>
      <c r="L42" s="3133"/>
      <c r="M42" s="3134"/>
      <c r="N42" s="3135" t="s">
        <v>2917</v>
      </c>
      <c r="O42" s="3135" t="s">
        <v>2918</v>
      </c>
      <c r="P42" s="3136" t="s">
        <v>2919</v>
      </c>
      <c r="Q42" s="3136" t="s">
        <v>2920</v>
      </c>
      <c r="R42" s="3039" t="s">
        <v>2845</v>
      </c>
      <c r="S42" s="3137"/>
      <c r="T42" s="3137"/>
      <c r="U42" s="3022"/>
      <c r="V42" s="3030"/>
    </row>
    <row r="43" spans="1:23" ht="13.2" customHeight="1">
      <c r="A43" s="3034"/>
      <c r="B43" s="3034"/>
      <c r="C43" s="3034"/>
      <c r="D43" s="3034"/>
      <c r="E43" s="3034"/>
      <c r="F43" s="3034"/>
      <c r="I43" s="3017"/>
      <c r="J43" s="3452"/>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21481</v>
      </c>
      <c r="C2" s="2009" t="s">
        <v>2099</v>
      </c>
      <c r="D2" s="2010" t="s">
        <v>2100</v>
      </c>
      <c r="E2" s="2783">
        <f>SUM(E6:E13)</f>
        <v>23937.22</v>
      </c>
      <c r="F2" s="2886"/>
      <c r="G2" s="1625"/>
      <c r="H2" s="1625"/>
      <c r="I2" s="1625"/>
      <c r="J2" s="1625"/>
      <c r="K2" s="1625"/>
      <c r="L2" s="1625"/>
      <c r="M2" s="1625"/>
      <c r="N2" s="1625"/>
      <c r="O2" s="1625"/>
      <c r="P2" s="1625"/>
      <c r="Q2" s="1625"/>
      <c r="R2" s="1625"/>
      <c r="S2" s="1625"/>
    </row>
    <row r="3" spans="1:22" ht="15.6">
      <c r="A3" s="2007" t="s">
        <v>1119</v>
      </c>
      <c r="B3" s="2777">
        <f ca="1">ROUND(B2*10000/E2,0)</f>
        <v>8974</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3" t="s">
        <v>2102</v>
      </c>
      <c r="C5" s="3454"/>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21481</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3" t="s">
        <v>2116</v>
      </c>
      <c r="D4" s="3474"/>
      <c r="E4" s="3475" t="s">
        <v>2117</v>
      </c>
      <c r="F4" s="3476"/>
      <c r="G4" s="3473" t="s">
        <v>2118</v>
      </c>
      <c r="H4" s="3474"/>
      <c r="I4" s="3473" t="s">
        <v>2119</v>
      </c>
      <c r="J4" s="3474"/>
      <c r="K4" s="2026" t="s">
        <v>2120</v>
      </c>
      <c r="L4" s="2894"/>
      <c r="M4" s="2895"/>
      <c r="N4" s="2895"/>
      <c r="O4" s="2895"/>
      <c r="P4" s="3477" t="s">
        <v>2121</v>
      </c>
      <c r="Q4" s="3478"/>
      <c r="R4" s="3460" t="s">
        <v>2117</v>
      </c>
      <c r="S4" s="3461"/>
      <c r="T4" s="3460" t="s">
        <v>2118</v>
      </c>
      <c r="U4" s="3461"/>
      <c r="V4" s="3485" t="s">
        <v>2119</v>
      </c>
      <c r="W4" s="3485"/>
      <c r="X4" s="1490"/>
      <c r="Y4" s="3460" t="s">
        <v>2121</v>
      </c>
      <c r="Z4" s="3461"/>
      <c r="AA4" s="3455" t="s">
        <v>2117</v>
      </c>
      <c r="AB4" s="3455" t="s">
        <v>2118</v>
      </c>
      <c r="AC4" s="3455" t="s">
        <v>2119</v>
      </c>
    </row>
    <row r="5" spans="1:29">
      <c r="A5" s="364"/>
      <c r="B5" s="365"/>
      <c r="C5" s="3466" t="s">
        <v>2122</v>
      </c>
      <c r="D5" s="3467"/>
      <c r="E5" s="3464" t="s">
        <v>2123</v>
      </c>
      <c r="F5" s="3465"/>
      <c r="G5" s="3466" t="s">
        <v>2124</v>
      </c>
      <c r="H5" s="3467"/>
      <c r="I5" s="3466" t="s">
        <v>2125</v>
      </c>
      <c r="J5" s="3467"/>
      <c r="K5" s="2027"/>
      <c r="L5" s="2894"/>
      <c r="M5" s="2895"/>
      <c r="N5" s="2895"/>
      <c r="O5" s="2895"/>
      <c r="P5" s="3479"/>
      <c r="Q5" s="3480"/>
      <c r="R5" s="3462"/>
      <c r="S5" s="3463"/>
      <c r="T5" s="3462"/>
      <c r="U5" s="3463"/>
      <c r="V5" s="3485"/>
      <c r="W5" s="3485"/>
      <c r="X5" s="1490"/>
      <c r="Y5" s="3462"/>
      <c r="Z5" s="3463"/>
      <c r="AA5" s="3456"/>
      <c r="AB5" s="3456"/>
      <c r="AC5" s="3456"/>
    </row>
    <row r="6" spans="1:29" ht="15" thickBot="1">
      <c r="A6" s="366"/>
      <c r="B6" s="367"/>
      <c r="C6" s="3468" t="s">
        <v>2126</v>
      </c>
      <c r="D6" s="3469"/>
      <c r="E6" s="3470" t="s">
        <v>2126</v>
      </c>
      <c r="F6" s="3471"/>
      <c r="G6" s="3468" t="s">
        <v>2126</v>
      </c>
      <c r="H6" s="3469"/>
      <c r="I6" s="3468" t="s">
        <v>2126</v>
      </c>
      <c r="J6" s="3469"/>
      <c r="K6" s="2027" t="s">
        <v>2127</v>
      </c>
      <c r="L6" s="2894"/>
      <c r="M6" s="2895"/>
      <c r="N6" s="2895"/>
      <c r="O6" s="2895"/>
      <c r="P6" s="3481"/>
      <c r="Q6" s="3482"/>
      <c r="R6" s="3462"/>
      <c r="S6" s="3463"/>
      <c r="T6" s="3483"/>
      <c r="U6" s="3484"/>
      <c r="V6" s="3485"/>
      <c r="W6" s="3485"/>
      <c r="X6" s="1490"/>
      <c r="Y6" s="3483"/>
      <c r="Z6" s="3484"/>
      <c r="AA6" s="3457"/>
      <c r="AB6" s="3457"/>
      <c r="AC6" s="3457"/>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8" t="s">
        <v>2129</v>
      </c>
      <c r="Q7" s="3486"/>
      <c r="R7" s="710" t="s">
        <v>23</v>
      </c>
      <c r="S7" s="711">
        <f t="shared" ref="S7:S15" si="0">F7</f>
        <v>0</v>
      </c>
      <c r="T7" s="710" t="s">
        <v>23</v>
      </c>
      <c r="U7" s="711">
        <f t="shared" ref="U7:U15" si="1">H7</f>
        <v>0</v>
      </c>
      <c r="V7" s="710" t="s">
        <v>23</v>
      </c>
      <c r="W7" s="711">
        <f t="shared" ref="W7:W15" si="2">J7</f>
        <v>0</v>
      </c>
      <c r="X7" s="712"/>
      <c r="Y7" s="3458" t="s">
        <v>2129</v>
      </c>
      <c r="Z7" s="3459"/>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8" t="s">
        <v>2132</v>
      </c>
      <c r="Q8" s="3459"/>
      <c r="R8" s="710" t="s">
        <v>23</v>
      </c>
      <c r="S8" s="711">
        <f t="shared" si="0"/>
        <v>0</v>
      </c>
      <c r="T8" s="710" t="s">
        <v>23</v>
      </c>
      <c r="U8" s="711">
        <f t="shared" si="1"/>
        <v>0</v>
      </c>
      <c r="V8" s="710" t="s">
        <v>23</v>
      </c>
      <c r="W8" s="711">
        <f t="shared" si="2"/>
        <v>0</v>
      </c>
      <c r="X8" s="712"/>
      <c r="Y8" s="3458" t="s">
        <v>2132</v>
      </c>
      <c r="Z8" s="3459"/>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9" t="s">
        <v>2140</v>
      </c>
      <c r="Q15" s="1487" t="str">
        <f t="shared" si="6"/>
        <v>居住社区成熟度</v>
      </c>
      <c r="R15" s="714" t="s">
        <v>21</v>
      </c>
      <c r="S15" s="715">
        <f t="shared" si="0"/>
        <v>100</v>
      </c>
      <c r="T15" s="714" t="s">
        <v>21</v>
      </c>
      <c r="U15" s="715">
        <f t="shared" si="1"/>
        <v>100</v>
      </c>
      <c r="V15" s="714" t="s">
        <v>21</v>
      </c>
      <c r="W15" s="715">
        <f t="shared" si="2"/>
        <v>100</v>
      </c>
      <c r="X15" s="1490"/>
      <c r="Y15" s="349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0"/>
      <c r="Q16" s="1487"/>
      <c r="R16" s="714"/>
      <c r="S16" s="715"/>
      <c r="T16" s="714"/>
      <c r="U16" s="715"/>
      <c r="V16" s="714"/>
      <c r="W16" s="715"/>
      <c r="X16" s="1490"/>
      <c r="Y16" s="349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0"/>
      <c r="Q18" s="1487"/>
      <c r="R18" s="714"/>
      <c r="S18" s="715"/>
      <c r="T18" s="714"/>
      <c r="U18" s="715"/>
      <c r="V18" s="714"/>
      <c r="W18" s="715"/>
      <c r="X18" s="1490"/>
      <c r="Y18" s="3493"/>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0"/>
      <c r="Q20" s="1487"/>
      <c r="R20" s="714"/>
      <c r="S20" s="715"/>
      <c r="T20" s="714"/>
      <c r="U20" s="715"/>
      <c r="V20" s="714"/>
      <c r="W20" s="715"/>
      <c r="X20" s="1490"/>
      <c r="Y20" s="3493"/>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0"/>
      <c r="Q22" s="1487"/>
      <c r="R22" s="714"/>
      <c r="S22" s="715"/>
      <c r="T22" s="714"/>
      <c r="U22" s="715"/>
      <c r="V22" s="714"/>
      <c r="W22" s="715"/>
      <c r="X22" s="1490"/>
      <c r="Y22" s="3493"/>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4" t="s">
        <v>2145</v>
      </c>
      <c r="Q32" s="1487" t="str">
        <f t="shared" si="11"/>
        <v>建筑类型</v>
      </c>
      <c r="R32" s="714" t="s">
        <v>21</v>
      </c>
      <c r="S32" s="715">
        <f t="shared" si="12"/>
        <v>100</v>
      </c>
      <c r="T32" s="714" t="s">
        <v>21</v>
      </c>
      <c r="U32" s="715">
        <f t="shared" si="13"/>
        <v>100</v>
      </c>
      <c r="V32" s="714" t="s">
        <v>21</v>
      </c>
      <c r="W32" s="715">
        <f t="shared" si="14"/>
        <v>100</v>
      </c>
      <c r="X32" s="1490"/>
      <c r="Y32" s="349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5" t="s">
        <v>2145</v>
      </c>
      <c r="Q38" s="1487" t="str">
        <f t="shared" si="11"/>
        <v>物业管理</v>
      </c>
      <c r="R38" s="714" t="s">
        <v>21</v>
      </c>
      <c r="S38" s="715">
        <f t="shared" si="12"/>
        <v>100</v>
      </c>
      <c r="T38" s="714" t="s">
        <v>21</v>
      </c>
      <c r="U38" s="715">
        <f t="shared" si="13"/>
        <v>100</v>
      </c>
      <c r="V38" s="714" t="s">
        <v>21</v>
      </c>
      <c r="W38" s="715">
        <f t="shared" si="14"/>
        <v>100</v>
      </c>
      <c r="X38" s="1490"/>
      <c r="Y38" s="349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85" t="s">
        <v>2228</v>
      </c>
      <c r="AC4" s="3455" t="s">
        <v>2229</v>
      </c>
    </row>
    <row r="5" spans="1:29">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85"/>
      <c r="AC5" s="3456"/>
    </row>
    <row r="6" spans="1:29" ht="1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85"/>
      <c r="AC6" s="3457"/>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9" t="s">
        <v>2140</v>
      </c>
      <c r="Q15" s="1487" t="str">
        <f t="shared" si="6"/>
        <v>商业繁华度</v>
      </c>
      <c r="R15" s="714" t="s">
        <v>17</v>
      </c>
      <c r="S15" s="715">
        <f t="shared" si="0"/>
        <v>100</v>
      </c>
      <c r="T15" s="714" t="s">
        <v>17</v>
      </c>
      <c r="U15" s="715">
        <f t="shared" si="1"/>
        <v>100</v>
      </c>
      <c r="V15" s="714" t="s">
        <v>17</v>
      </c>
      <c r="W15" s="715">
        <f t="shared" si="2"/>
        <v>100</v>
      </c>
      <c r="X15" s="1490"/>
      <c r="Y15" s="349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0"/>
      <c r="Q22" s="1487"/>
      <c r="R22" s="714"/>
      <c r="S22" s="715"/>
      <c r="T22" s="714"/>
      <c r="U22" s="715"/>
      <c r="V22" s="714"/>
      <c r="W22" s="715"/>
      <c r="X22" s="1490"/>
      <c r="Y22" s="3493"/>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4" t="s">
        <v>2145</v>
      </c>
      <c r="Q32" s="1487" t="str">
        <f t="shared" si="11"/>
        <v>商业类型</v>
      </c>
      <c r="R32" s="714" t="s">
        <v>17</v>
      </c>
      <c r="S32" s="715">
        <f t="shared" si="12"/>
        <v>100</v>
      </c>
      <c r="T32" s="714" t="s">
        <v>17</v>
      </c>
      <c r="U32" s="715">
        <f t="shared" si="13"/>
        <v>100</v>
      </c>
      <c r="V32" s="714" t="s">
        <v>17</v>
      </c>
      <c r="W32" s="715">
        <f t="shared" si="14"/>
        <v>100</v>
      </c>
      <c r="X32" s="1490"/>
      <c r="Y32" s="349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5" t="s">
        <v>2145</v>
      </c>
      <c r="Q38" s="1487" t="str">
        <f t="shared" si="11"/>
        <v>业态</v>
      </c>
      <c r="R38" s="714" t="s">
        <v>17</v>
      </c>
      <c r="S38" s="715">
        <f t="shared" si="12"/>
        <v>100</v>
      </c>
      <c r="T38" s="714" t="s">
        <v>17</v>
      </c>
      <c r="U38" s="715">
        <f t="shared" si="13"/>
        <v>100</v>
      </c>
      <c r="V38" s="714" t="s">
        <v>17</v>
      </c>
      <c r="W38" s="715">
        <f t="shared" si="14"/>
        <v>100</v>
      </c>
      <c r="X38" s="1490"/>
      <c r="Y38" s="349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3" t="s">
        <v>2226</v>
      </c>
      <c r="D4" s="3474"/>
      <c r="E4" s="3475" t="s">
        <v>2227</v>
      </c>
      <c r="F4" s="3476"/>
      <c r="G4" s="3473" t="s">
        <v>2228</v>
      </c>
      <c r="H4" s="3474"/>
      <c r="I4" s="3473" t="s">
        <v>2229</v>
      </c>
      <c r="J4" s="3474"/>
      <c r="K4" s="567" t="s">
        <v>2230</v>
      </c>
      <c r="L4" s="2894"/>
      <c r="M4" s="2895"/>
      <c r="N4" s="2895"/>
      <c r="O4" s="2895"/>
      <c r="P4" s="3507" t="s">
        <v>2231</v>
      </c>
      <c r="Q4" s="3508"/>
      <c r="R4" s="3502" t="s">
        <v>2227</v>
      </c>
      <c r="S4" s="3503"/>
      <c r="T4" s="3502" t="s">
        <v>2228</v>
      </c>
      <c r="U4" s="3503"/>
      <c r="V4" s="3511" t="s">
        <v>2229</v>
      </c>
      <c r="W4" s="3511"/>
      <c r="X4" s="2095"/>
      <c r="Y4" s="3502" t="s">
        <v>2231</v>
      </c>
      <c r="Z4" s="3503"/>
      <c r="AA4" s="3501" t="s">
        <v>2227</v>
      </c>
      <c r="AB4" s="3501" t="s">
        <v>2228</v>
      </c>
      <c r="AC4" s="3504" t="s">
        <v>2229</v>
      </c>
    </row>
    <row r="5" spans="1:29">
      <c r="A5" s="364"/>
      <c r="B5" s="365"/>
      <c r="C5" s="3466" t="s">
        <v>2122</v>
      </c>
      <c r="D5" s="3467"/>
      <c r="E5" s="3464" t="s">
        <v>2123</v>
      </c>
      <c r="F5" s="3465"/>
      <c r="G5" s="3466" t="s">
        <v>2124</v>
      </c>
      <c r="H5" s="3467"/>
      <c r="I5" s="3466" t="s">
        <v>2125</v>
      </c>
      <c r="J5" s="3467"/>
      <c r="K5" s="567"/>
      <c r="L5" s="2894"/>
      <c r="M5" s="2895"/>
      <c r="N5" s="2895"/>
      <c r="O5" s="2895"/>
      <c r="P5" s="3509"/>
      <c r="Q5" s="3480"/>
      <c r="R5" s="3462"/>
      <c r="S5" s="3463"/>
      <c r="T5" s="3462"/>
      <c r="U5" s="3463"/>
      <c r="V5" s="3485"/>
      <c r="W5" s="3485"/>
      <c r="X5" s="1490"/>
      <c r="Y5" s="3462"/>
      <c r="Z5" s="3463"/>
      <c r="AA5" s="3456"/>
      <c r="AB5" s="3456"/>
      <c r="AC5" s="3505"/>
    </row>
    <row r="6" spans="1:29" ht="15" thickBot="1">
      <c r="A6" s="366"/>
      <c r="B6" s="367"/>
      <c r="C6" s="3468" t="s">
        <v>2126</v>
      </c>
      <c r="D6" s="3469"/>
      <c r="E6" s="3470" t="s">
        <v>2126</v>
      </c>
      <c r="F6" s="3471"/>
      <c r="G6" s="3468" t="s">
        <v>2126</v>
      </c>
      <c r="H6" s="3469"/>
      <c r="I6" s="3468" t="s">
        <v>2126</v>
      </c>
      <c r="J6" s="3469"/>
      <c r="K6" s="567" t="s">
        <v>2127</v>
      </c>
      <c r="L6" s="2894"/>
      <c r="M6" s="2895"/>
      <c r="N6" s="2895"/>
      <c r="O6" s="2895"/>
      <c r="P6" s="3510"/>
      <c r="Q6" s="3482"/>
      <c r="R6" s="3462"/>
      <c r="S6" s="3463"/>
      <c r="T6" s="3483"/>
      <c r="U6" s="3484"/>
      <c r="V6" s="3485"/>
      <c r="W6" s="3485"/>
      <c r="X6" s="1490"/>
      <c r="Y6" s="3483"/>
      <c r="Z6" s="3484"/>
      <c r="AA6" s="3457"/>
      <c r="AB6" s="3457"/>
      <c r="AC6" s="3506"/>
    </row>
    <row r="7" spans="1:29" s="113" customFormat="1" ht="1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2132</v>
      </c>
      <c r="Q8" s="3459"/>
      <c r="R8" s="710" t="s">
        <v>17</v>
      </c>
      <c r="S8" s="711">
        <f t="shared" si="0"/>
        <v>0</v>
      </c>
      <c r="T8" s="710" t="s">
        <v>17</v>
      </c>
      <c r="U8" s="711">
        <f t="shared" si="1"/>
        <v>0</v>
      </c>
      <c r="V8" s="710" t="s">
        <v>17</v>
      </c>
      <c r="W8" s="711">
        <f t="shared" si="2"/>
        <v>0</v>
      </c>
      <c r="X8" s="712"/>
      <c r="Y8" s="3458" t="s">
        <v>2132</v>
      </c>
      <c r="Z8" s="3459"/>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9" t="s">
        <v>2140</v>
      </c>
      <c r="Q15" s="1487" t="str">
        <f t="shared" si="6"/>
        <v>办公集聚程度</v>
      </c>
      <c r="R15" s="714" t="s">
        <v>17</v>
      </c>
      <c r="S15" s="715">
        <f t="shared" si="0"/>
        <v>100</v>
      </c>
      <c r="T15" s="714" t="s">
        <v>17</v>
      </c>
      <c r="U15" s="715">
        <f t="shared" si="1"/>
        <v>100</v>
      </c>
      <c r="V15" s="714" t="s">
        <v>17</v>
      </c>
      <c r="W15" s="715">
        <f t="shared" si="2"/>
        <v>100</v>
      </c>
      <c r="X15" s="1490"/>
      <c r="Y15" s="349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0"/>
      <c r="Q22" s="1487"/>
      <c r="R22" s="714"/>
      <c r="S22" s="715"/>
      <c r="T22" s="714"/>
      <c r="U22" s="715"/>
      <c r="V22" s="714"/>
      <c r="W22" s="715"/>
      <c r="X22" s="1490"/>
      <c r="Y22" s="3493"/>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0"/>
      <c r="Q26" s="1487"/>
      <c r="R26" s="714"/>
      <c r="S26" s="715"/>
      <c r="T26" s="714"/>
      <c r="U26" s="715"/>
      <c r="V26" s="714"/>
      <c r="W26" s="715"/>
      <c r="X26" s="1490"/>
      <c r="Y26" s="349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4" t="s">
        <v>2145</v>
      </c>
      <c r="Q33" s="1487" t="str">
        <f t="shared" si="11"/>
        <v>建筑类型</v>
      </c>
      <c r="R33" s="714" t="s">
        <v>17</v>
      </c>
      <c r="S33" s="715">
        <f t="shared" si="12"/>
        <v>100</v>
      </c>
      <c r="T33" s="714" t="s">
        <v>17</v>
      </c>
      <c r="U33" s="715">
        <f t="shared" si="13"/>
        <v>100</v>
      </c>
      <c r="V33" s="714" t="s">
        <v>17</v>
      </c>
      <c r="W33" s="715">
        <f t="shared" si="14"/>
        <v>100</v>
      </c>
      <c r="X33" s="1490"/>
      <c r="Y33" s="349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5" t="s">
        <v>2145</v>
      </c>
      <c r="Q39" s="1487" t="str">
        <f t="shared" si="11"/>
        <v>物业管理</v>
      </c>
      <c r="R39" s="714" t="s">
        <v>17</v>
      </c>
      <c r="S39" s="715">
        <f t="shared" si="12"/>
        <v>100</v>
      </c>
      <c r="T39" s="714" t="s">
        <v>17</v>
      </c>
      <c r="U39" s="715">
        <f t="shared" si="13"/>
        <v>100</v>
      </c>
      <c r="V39" s="714" t="s">
        <v>17</v>
      </c>
      <c r="W39" s="715">
        <f t="shared" si="14"/>
        <v>100</v>
      </c>
      <c r="X39" s="1490"/>
      <c r="Y39" s="349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3" t="s">
        <v>2226</v>
      </c>
      <c r="D4" s="3474"/>
      <c r="E4" s="3475" t="s">
        <v>2227</v>
      </c>
      <c r="F4" s="3476"/>
      <c r="G4" s="3473" t="s">
        <v>2228</v>
      </c>
      <c r="H4" s="3474"/>
      <c r="I4" s="3473" t="s">
        <v>2229</v>
      </c>
      <c r="J4" s="3474"/>
      <c r="K4" s="567" t="s">
        <v>2230</v>
      </c>
      <c r="L4" s="1025"/>
      <c r="M4" s="1026"/>
      <c r="N4" s="1026"/>
      <c r="O4" s="1026"/>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c r="A5" s="364"/>
      <c r="B5" s="365"/>
      <c r="C5" s="3466" t="s">
        <v>2122</v>
      </c>
      <c r="D5" s="3467"/>
      <c r="E5" s="3464" t="s">
        <v>2123</v>
      </c>
      <c r="F5" s="3465"/>
      <c r="G5" s="3466" t="s">
        <v>2124</v>
      </c>
      <c r="H5" s="3467"/>
      <c r="I5" s="3466" t="s">
        <v>2125</v>
      </c>
      <c r="J5" s="3467"/>
      <c r="K5" s="567"/>
      <c r="L5" s="1025"/>
      <c r="M5" s="1026"/>
      <c r="N5" s="1026"/>
      <c r="O5" s="1026"/>
      <c r="P5" s="3479"/>
      <c r="Q5" s="3480"/>
      <c r="R5" s="3462"/>
      <c r="S5" s="3463"/>
      <c r="T5" s="3462"/>
      <c r="U5" s="3463"/>
      <c r="V5" s="3485"/>
      <c r="W5" s="3485"/>
      <c r="X5" s="1490"/>
      <c r="Y5" s="3462"/>
      <c r="Z5" s="3463"/>
      <c r="AA5" s="3456"/>
      <c r="AB5" s="3456"/>
      <c r="AC5" s="3456"/>
    </row>
    <row r="6" spans="1:29" ht="15" thickBot="1">
      <c r="A6" s="366"/>
      <c r="B6" s="367"/>
      <c r="C6" s="3468" t="s">
        <v>2126</v>
      </c>
      <c r="D6" s="3469"/>
      <c r="E6" s="3470" t="s">
        <v>2126</v>
      </c>
      <c r="F6" s="3471"/>
      <c r="G6" s="3468" t="s">
        <v>2126</v>
      </c>
      <c r="H6" s="3469"/>
      <c r="I6" s="3468" t="s">
        <v>2126</v>
      </c>
      <c r="J6" s="3469"/>
      <c r="K6" s="567" t="s">
        <v>2127</v>
      </c>
      <c r="L6" s="1025"/>
      <c r="M6" s="1026"/>
      <c r="N6" s="1026"/>
      <c r="O6" s="1026"/>
      <c r="P6" s="3481"/>
      <c r="Q6" s="3482"/>
      <c r="R6" s="3462"/>
      <c r="S6" s="3463"/>
      <c r="T6" s="3483"/>
      <c r="U6" s="3484"/>
      <c r="V6" s="3485"/>
      <c r="W6" s="3485"/>
      <c r="X6" s="1490"/>
      <c r="Y6" s="3483"/>
      <c r="Z6" s="3484"/>
      <c r="AA6" s="3457"/>
      <c r="AB6" s="3457"/>
      <c r="AC6" s="3457"/>
    </row>
    <row r="7" spans="1:29" s="113" customFormat="1" ht="1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2132</v>
      </c>
      <c r="Q8" s="3459"/>
      <c r="R8" s="710" t="s">
        <v>17</v>
      </c>
      <c r="S8" s="711">
        <f t="shared" si="0"/>
        <v>0</v>
      </c>
      <c r="T8" s="710" t="s">
        <v>17</v>
      </c>
      <c r="U8" s="711">
        <f t="shared" si="1"/>
        <v>0</v>
      </c>
      <c r="V8" s="710" t="s">
        <v>17</v>
      </c>
      <c r="W8" s="711">
        <f t="shared" si="2"/>
        <v>0</v>
      </c>
      <c r="X8" s="712"/>
      <c r="Y8" s="3458" t="s">
        <v>2132</v>
      </c>
      <c r="Z8" s="3459"/>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2145</v>
      </c>
      <c r="Q29" s="1487" t="str">
        <f t="shared" si="11"/>
        <v>建筑类型</v>
      </c>
      <c r="R29" s="714" t="s">
        <v>17</v>
      </c>
      <c r="S29" s="715">
        <f t="shared" si="12"/>
        <v>100</v>
      </c>
      <c r="T29" s="714" t="s">
        <v>17</v>
      </c>
      <c r="U29" s="715">
        <f t="shared" si="13"/>
        <v>100</v>
      </c>
      <c r="V29" s="714" t="s">
        <v>17</v>
      </c>
      <c r="W29" s="715">
        <f t="shared" si="14"/>
        <v>100</v>
      </c>
      <c r="X29" s="1490"/>
      <c r="Y29" s="349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2145</v>
      </c>
      <c r="Q35" s="1487" t="str">
        <f t="shared" si="11"/>
        <v>市政基础设施</v>
      </c>
      <c r="R35" s="714" t="s">
        <v>17</v>
      </c>
      <c r="S35" s="715">
        <f t="shared" si="12"/>
        <v>100</v>
      </c>
      <c r="T35" s="714" t="s">
        <v>17</v>
      </c>
      <c r="U35" s="715">
        <f t="shared" si="13"/>
        <v>100</v>
      </c>
      <c r="V35" s="714" t="s">
        <v>17</v>
      </c>
      <c r="W35" s="715">
        <f t="shared" si="14"/>
        <v>100</v>
      </c>
      <c r="X35" s="1490"/>
      <c r="Y35" s="349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2022年4月29日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29" ht="1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3"/>
      <c r="Q15" s="1487"/>
      <c r="R15" s="714"/>
      <c r="S15" s="715"/>
      <c r="T15" s="714"/>
      <c r="U15" s="715"/>
      <c r="V15" s="714"/>
      <c r="W15" s="715"/>
      <c r="X15" s="1490"/>
      <c r="Y15" s="3493"/>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3"/>
      <c r="Q17" s="1487"/>
      <c r="R17" s="714"/>
      <c r="S17" s="715"/>
      <c r="T17" s="714"/>
      <c r="U17" s="715"/>
      <c r="V17" s="714"/>
      <c r="W17" s="715"/>
      <c r="X17" s="1490"/>
      <c r="Y17" s="3493"/>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3"/>
      <c r="Q19" s="1487"/>
      <c r="R19" s="714"/>
      <c r="S19" s="715"/>
      <c r="T19" s="714"/>
      <c r="U19" s="715"/>
      <c r="V19" s="714"/>
      <c r="W19" s="715"/>
      <c r="X19" s="1490"/>
      <c r="Y19" s="3493"/>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3"/>
      <c r="Q21" s="1487"/>
      <c r="R21" s="714"/>
      <c r="S21" s="715"/>
      <c r="T21" s="714"/>
      <c r="U21" s="715"/>
      <c r="V21" s="714"/>
      <c r="W21" s="715"/>
      <c r="X21" s="1490"/>
      <c r="Y21" s="349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7" t="s">
        <v>2145</v>
      </c>
      <c r="Q32" s="1487" t="str">
        <f t="shared" si="11"/>
        <v>车位类型</v>
      </c>
      <c r="R32" s="714" t="s">
        <v>17</v>
      </c>
      <c r="S32" s="715">
        <f t="shared" si="12"/>
        <v>100</v>
      </c>
      <c r="T32" s="714" t="s">
        <v>17</v>
      </c>
      <c r="U32" s="715">
        <f t="shared" si="13"/>
        <v>100</v>
      </c>
      <c r="V32" s="714" t="s">
        <v>17</v>
      </c>
      <c r="W32" s="715">
        <f t="shared" si="14"/>
        <v>100</v>
      </c>
      <c r="X32" s="1490"/>
      <c r="Y32" s="349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90" t="str">
        <f>A37</f>
        <v>成交单价</v>
      </c>
      <c r="Q37" s="3490"/>
      <c r="R37" s="3491">
        <f>E37</f>
        <v>0</v>
      </c>
      <c r="S37" s="3491"/>
      <c r="T37" s="3491">
        <f>G37</f>
        <v>0</v>
      </c>
      <c r="U37" s="3491"/>
      <c r="V37" s="3491">
        <f>I37</f>
        <v>0</v>
      </c>
      <c r="W37" s="3491"/>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29" ht="1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3"/>
      <c r="Q15" s="1487"/>
      <c r="R15" s="714"/>
      <c r="S15" s="715"/>
      <c r="T15" s="714"/>
      <c r="U15" s="715"/>
      <c r="V15" s="714"/>
      <c r="W15" s="715"/>
      <c r="X15" s="1490"/>
      <c r="Y15" s="3493"/>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3"/>
      <c r="Q17" s="1487"/>
      <c r="R17" s="714"/>
      <c r="S17" s="715"/>
      <c r="T17" s="714"/>
      <c r="U17" s="715"/>
      <c r="V17" s="714"/>
      <c r="W17" s="715"/>
      <c r="X17" s="1490"/>
      <c r="Y17" s="3493"/>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3"/>
      <c r="Q19" s="1487"/>
      <c r="R19" s="714"/>
      <c r="S19" s="715"/>
      <c r="T19" s="714"/>
      <c r="U19" s="715"/>
      <c r="V19" s="714"/>
      <c r="W19" s="715"/>
      <c r="X19" s="1490"/>
      <c r="Y19" s="3493"/>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3"/>
      <c r="Q21" s="1487"/>
      <c r="R21" s="714"/>
      <c r="S21" s="715"/>
      <c r="T21" s="714"/>
      <c r="U21" s="715"/>
      <c r="V21" s="714"/>
      <c r="W21" s="715"/>
      <c r="X21" s="1490"/>
      <c r="Y21" s="349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7" t="s">
        <v>2145</v>
      </c>
      <c r="Q32" s="1487">
        <f t="shared" si="11"/>
        <v>111</v>
      </c>
      <c r="R32" s="714" t="s">
        <v>17</v>
      </c>
      <c r="S32" s="715">
        <f t="shared" si="12"/>
        <v>100</v>
      </c>
      <c r="T32" s="714" t="s">
        <v>17</v>
      </c>
      <c r="U32" s="715">
        <f t="shared" si="13"/>
        <v>100</v>
      </c>
      <c r="V32" s="714" t="s">
        <v>17</v>
      </c>
      <c r="W32" s="715">
        <f t="shared" si="14"/>
        <v>100</v>
      </c>
      <c r="X32" s="1490"/>
      <c r="Y32" s="349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30">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30" ht="1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30" s="113" customFormat="1" ht="1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90"/>
      <c r="Q10" s="1478" t="str">
        <f t="shared" si="6"/>
        <v>土地使用年限（年）</v>
      </c>
      <c r="R10" s="710" t="s">
        <v>17</v>
      </c>
      <c r="S10" s="711">
        <f t="shared" si="0"/>
        <v>124</v>
      </c>
      <c r="T10" s="710" t="s">
        <v>17</v>
      </c>
      <c r="U10" s="711">
        <f t="shared" si="1"/>
        <v>124</v>
      </c>
      <c r="V10" s="710" t="s">
        <v>17</v>
      </c>
      <c r="W10" s="711">
        <f t="shared" si="2"/>
        <v>124</v>
      </c>
      <c r="X10" s="712"/>
      <c r="Y10" s="3402"/>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0"/>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2" t="s">
        <v>2140</v>
      </c>
      <c r="Q15" s="1487" t="str">
        <f t="shared" si="6"/>
        <v>居住社区成熟度</v>
      </c>
      <c r="R15" s="714" t="s">
        <v>17</v>
      </c>
      <c r="S15" s="715">
        <f t="shared" si="0"/>
        <v>100</v>
      </c>
      <c r="T15" s="714" t="s">
        <v>17</v>
      </c>
      <c r="U15" s="715">
        <f t="shared" si="1"/>
        <v>100</v>
      </c>
      <c r="V15" s="714" t="s">
        <v>17</v>
      </c>
      <c r="W15" s="715">
        <f t="shared" si="2"/>
        <v>100</v>
      </c>
      <c r="X15" s="1490"/>
      <c r="Y15" s="349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3"/>
      <c r="Q20" s="1487"/>
      <c r="R20" s="714"/>
      <c r="S20" s="715"/>
      <c r="T20" s="714"/>
      <c r="U20" s="715"/>
      <c r="V20" s="714"/>
      <c r="W20" s="715"/>
      <c r="X20" s="1490"/>
      <c r="Y20" s="3493"/>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3"/>
      <c r="Q24" s="1487"/>
      <c r="R24" s="714"/>
      <c r="S24" s="715"/>
      <c r="T24" s="714"/>
      <c r="U24" s="715"/>
      <c r="V24" s="714"/>
      <c r="W24" s="715"/>
      <c r="X24" s="1490"/>
      <c r="Y24" s="3493"/>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3"/>
      <c r="Q26" s="1487"/>
      <c r="R26" s="714"/>
      <c r="S26" s="715"/>
      <c r="T26" s="714"/>
      <c r="U26" s="715"/>
      <c r="V26" s="714"/>
      <c r="W26" s="715"/>
      <c r="X26" s="1490"/>
      <c r="Y26" s="3493"/>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3"/>
      <c r="Q28" s="1478"/>
      <c r="R28" s="710"/>
      <c r="S28" s="711"/>
      <c r="T28" s="710"/>
      <c r="U28" s="711"/>
      <c r="V28" s="710"/>
      <c r="W28" s="711"/>
      <c r="X28" s="712"/>
      <c r="Y28" s="3493"/>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3"/>
      <c r="Q30" s="1478"/>
      <c r="R30" s="710"/>
      <c r="S30" s="711"/>
      <c r="T30" s="710"/>
      <c r="U30" s="711"/>
      <c r="V30" s="710"/>
      <c r="W30" s="711"/>
      <c r="X30" s="712"/>
      <c r="Y30" s="349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3"/>
      <c r="Q33" s="1487"/>
      <c r="R33" s="714"/>
      <c r="S33" s="715"/>
      <c r="T33" s="714"/>
      <c r="U33" s="715"/>
      <c r="V33" s="714"/>
      <c r="W33" s="715"/>
      <c r="X33" s="1490"/>
      <c r="Y33" s="349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6" t="s">
        <v>2145</v>
      </c>
      <c r="Q36" s="1487">
        <f t="shared" si="8"/>
        <v>111</v>
      </c>
      <c r="R36" s="714" t="s">
        <v>17</v>
      </c>
      <c r="S36" s="715">
        <f t="shared" si="10"/>
        <v>100</v>
      </c>
      <c r="T36" s="714" t="s">
        <v>17</v>
      </c>
      <c r="U36" s="715">
        <f t="shared" si="11"/>
        <v>100</v>
      </c>
      <c r="V36" s="714" t="s">
        <v>17</v>
      </c>
      <c r="W36" s="715">
        <f t="shared" si="12"/>
        <v>100</v>
      </c>
      <c r="X36" s="1490"/>
      <c r="Y36" s="3497"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7" t="s">
        <v>2145</v>
      </c>
      <c r="Q42" s="1487" t="str">
        <f t="shared" si="14"/>
        <v>工程地质条件</v>
      </c>
      <c r="R42" s="714" t="s">
        <v>17</v>
      </c>
      <c r="S42" s="715">
        <f t="shared" si="10"/>
        <v>100</v>
      </c>
      <c r="T42" s="714" t="s">
        <v>17</v>
      </c>
      <c r="U42" s="715">
        <f t="shared" si="11"/>
        <v>100</v>
      </c>
      <c r="V42" s="714" t="s">
        <v>17</v>
      </c>
      <c r="W42" s="715">
        <f t="shared" si="12"/>
        <v>100</v>
      </c>
      <c r="X42" s="1490"/>
      <c r="Y42" s="349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90" t="str">
        <f>A46</f>
        <v>成交单价</v>
      </c>
      <c r="Q46" s="3490"/>
      <c r="R46" s="3485">
        <f>E46</f>
        <v>0</v>
      </c>
      <c r="S46" s="3485"/>
      <c r="T46" s="3485">
        <f>G46</f>
        <v>0</v>
      </c>
      <c r="U46" s="3485"/>
      <c r="V46" s="3485">
        <f>I46</f>
        <v>0</v>
      </c>
      <c r="W46" s="3485"/>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3" t="s">
        <v>2344</v>
      </c>
      <c r="H55" s="3520"/>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20126.390000000003</v>
      </c>
      <c r="F56" s="998" t="e">
        <f t="shared" ref="F56:F64" si="15">ROUND(B56*E56/10000,0)</f>
        <v>#DIV/0!</v>
      </c>
      <c r="G56" s="3472"/>
      <c r="H56" s="349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20126.390000000003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1419</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c r="A5" s="364"/>
      <c r="B5" s="365"/>
      <c r="C5" s="3466" t="s">
        <v>2122</v>
      </c>
      <c r="D5" s="3467"/>
      <c r="E5" s="3464" t="str">
        <f>sheet1!A2</f>
        <v xml:space="preserve">北京经济技术开发区亦庄新城0605街区B2-1-7-1地块工业项目   </v>
      </c>
      <c r="F5" s="3465"/>
      <c r="G5" s="3466" t="str">
        <f>sheet1!A3</f>
        <v xml:space="preserve">北京经济技术开发区亦庄新城YZ00-0606-0101地块工业项目   </v>
      </c>
      <c r="H5" s="3467"/>
      <c r="I5" s="3466" t="str">
        <f>sheet1!A15</f>
        <v xml:space="preserve">北京经济技术开发区路东区D9M3地块    </v>
      </c>
      <c r="J5" s="3467"/>
      <c r="K5" s="567"/>
      <c r="L5" s="2894"/>
      <c r="M5" s="2895"/>
      <c r="N5" s="2895"/>
      <c r="O5" s="2895"/>
      <c r="P5" s="3479"/>
      <c r="Q5" s="3480"/>
      <c r="R5" s="3462"/>
      <c r="S5" s="3463"/>
      <c r="T5" s="3462"/>
      <c r="U5" s="3463"/>
      <c r="V5" s="3485"/>
      <c r="W5" s="3485"/>
      <c r="X5" s="1490"/>
      <c r="Y5" s="3462"/>
      <c r="Z5" s="3463"/>
      <c r="AA5" s="3456"/>
      <c r="AB5" s="3456"/>
      <c r="AC5" s="3456"/>
    </row>
    <row r="6" spans="1:29" ht="15" thickBot="1">
      <c r="A6" s="366"/>
      <c r="B6" s="367"/>
      <c r="C6" s="3521" t="s">
        <v>2376</v>
      </c>
      <c r="D6" s="3522"/>
      <c r="E6" s="3523" t="s">
        <v>2376</v>
      </c>
      <c r="F6" s="3524"/>
      <c r="G6" s="3521" t="s">
        <v>2376</v>
      </c>
      <c r="H6" s="3522"/>
      <c r="I6" s="3521" t="s">
        <v>2376</v>
      </c>
      <c r="J6" s="3522"/>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58" t="s">
        <v>2129</v>
      </c>
      <c r="Q7" s="3486"/>
      <c r="R7" s="710" t="s">
        <v>17</v>
      </c>
      <c r="S7" s="711">
        <f t="shared" ref="S7:S15" si="0">F7</f>
        <v>100</v>
      </c>
      <c r="T7" s="710" t="s">
        <v>17</v>
      </c>
      <c r="U7" s="711">
        <f t="shared" ref="U7:U15" si="1">H7</f>
        <v>100</v>
      </c>
      <c r="V7" s="710" t="s">
        <v>17</v>
      </c>
      <c r="W7" s="711">
        <f t="shared" ref="W7:W15" si="2">J7</f>
        <v>99</v>
      </c>
      <c r="X7" s="712"/>
      <c r="Y7" s="3458" t="s">
        <v>2129</v>
      </c>
      <c r="Z7" s="3459"/>
      <c r="AA7" s="713">
        <f>D7/F7</f>
        <v>1</v>
      </c>
      <c r="AB7" s="713">
        <f>D7/H7</f>
        <v>1</v>
      </c>
      <c r="AC7" s="713">
        <f>D7/J7</f>
        <v>1.0101010101010102</v>
      </c>
    </row>
    <row r="8" spans="1:29" s="113" customFormat="1" ht="1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58" t="s">
        <v>2132</v>
      </c>
      <c r="Q8" s="3459"/>
      <c r="R8" s="710" t="s">
        <v>17</v>
      </c>
      <c r="S8" s="711">
        <f t="shared" si="0"/>
        <v>100</v>
      </c>
      <c r="T8" s="710" t="s">
        <v>17</v>
      </c>
      <c r="U8" s="711">
        <f t="shared" si="1"/>
        <v>100</v>
      </c>
      <c r="V8" s="710" t="s">
        <v>17</v>
      </c>
      <c r="W8" s="711">
        <f t="shared" si="2"/>
        <v>100</v>
      </c>
      <c r="X8" s="712"/>
      <c r="Y8" s="3458" t="s">
        <v>2132</v>
      </c>
      <c r="Z8" s="3459"/>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90"/>
      <c r="Q10" s="1478" t="str">
        <f t="shared" si="6"/>
        <v>土地使用年限（年）</v>
      </c>
      <c r="R10" s="710" t="s">
        <v>17</v>
      </c>
      <c r="S10" s="711">
        <f t="shared" si="0"/>
        <v>124</v>
      </c>
      <c r="T10" s="710" t="s">
        <v>17</v>
      </c>
      <c r="U10" s="711">
        <f t="shared" si="1"/>
        <v>124</v>
      </c>
      <c r="V10" s="710" t="s">
        <v>17</v>
      </c>
      <c r="W10" s="711">
        <f t="shared" si="2"/>
        <v>124</v>
      </c>
      <c r="X10" s="712"/>
      <c r="Y10" s="3402"/>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90"/>
      <c r="Q11" s="1478" t="str">
        <f t="shared" si="6"/>
        <v>容积率</v>
      </c>
      <c r="R11" s="710" t="s">
        <v>17</v>
      </c>
      <c r="S11" s="711">
        <f t="shared" si="0"/>
        <v>102</v>
      </c>
      <c r="T11" s="710" t="s">
        <v>17</v>
      </c>
      <c r="U11" s="711">
        <f t="shared" si="1"/>
        <v>104</v>
      </c>
      <c r="V11" s="710" t="s">
        <v>17</v>
      </c>
      <c r="W11" s="711">
        <f t="shared" si="2"/>
        <v>102</v>
      </c>
      <c r="X11" s="712"/>
      <c r="Y11" s="3402"/>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93"/>
      <c r="Q20" s="1487"/>
      <c r="R20" s="714"/>
      <c r="S20" s="715"/>
      <c r="T20" s="714"/>
      <c r="U20" s="715"/>
      <c r="V20" s="714"/>
      <c r="W20" s="715"/>
      <c r="X20" s="1490"/>
      <c r="Y20" s="3493"/>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93"/>
      <c r="Q24" s="1478"/>
      <c r="R24" s="710"/>
      <c r="S24" s="711"/>
      <c r="T24" s="710"/>
      <c r="U24" s="711"/>
      <c r="V24" s="710"/>
      <c r="W24" s="711"/>
      <c r="X24" s="712"/>
      <c r="Y24" s="3493"/>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93"/>
      <c r="Q26" s="1478"/>
      <c r="R26" s="710"/>
      <c r="S26" s="711"/>
      <c r="T26" s="710"/>
      <c r="U26" s="711"/>
      <c r="V26" s="710"/>
      <c r="W26" s="711"/>
      <c r="X26" s="712"/>
      <c r="Y26" s="349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3"/>
      <c r="Q29" s="1487"/>
      <c r="R29" s="714"/>
      <c r="S29" s="715"/>
      <c r="T29" s="714"/>
      <c r="U29" s="715"/>
      <c r="V29" s="714"/>
      <c r="W29" s="715"/>
      <c r="X29" s="1490"/>
      <c r="Y29" s="349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6" t="s">
        <v>2145</v>
      </c>
      <c r="Q32" s="1487">
        <f t="shared" si="8"/>
        <v>111</v>
      </c>
      <c r="R32" s="714" t="s">
        <v>17</v>
      </c>
      <c r="S32" s="715">
        <f t="shared" si="10"/>
        <v>100</v>
      </c>
      <c r="T32" s="714" t="s">
        <v>17</v>
      </c>
      <c r="U32" s="715">
        <f t="shared" si="11"/>
        <v>100</v>
      </c>
      <c r="V32" s="714" t="s">
        <v>17</v>
      </c>
      <c r="W32" s="715">
        <f t="shared" si="12"/>
        <v>100</v>
      </c>
      <c r="X32" s="1490"/>
      <c r="Y32" s="3497"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97"/>
      <c r="Q34" s="1487" t="str">
        <f>B34</f>
        <v>宗地面积</v>
      </c>
      <c r="R34" s="714" t="s">
        <v>17</v>
      </c>
      <c r="S34" s="715">
        <f t="shared" si="10"/>
        <v>99</v>
      </c>
      <c r="T34" s="714" t="s">
        <v>17</v>
      </c>
      <c r="U34" s="715">
        <f t="shared" si="11"/>
        <v>97</v>
      </c>
      <c r="V34" s="714" t="s">
        <v>17</v>
      </c>
      <c r="W34" s="715">
        <f t="shared" si="12"/>
        <v>100</v>
      </c>
      <c r="X34" s="1490"/>
      <c r="Y34" s="3497"/>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7" t="s">
        <v>2145</v>
      </c>
      <c r="Q37" s="1487" t="str">
        <f t="shared" si="14"/>
        <v>工程地质条件</v>
      </c>
      <c r="R37" s="714" t="s">
        <v>17</v>
      </c>
      <c r="S37" s="715">
        <f t="shared" si="10"/>
        <v>100</v>
      </c>
      <c r="T37" s="714" t="s">
        <v>17</v>
      </c>
      <c r="U37" s="715">
        <f t="shared" si="11"/>
        <v>100</v>
      </c>
      <c r="V37" s="714" t="s">
        <v>17</v>
      </c>
      <c r="W37" s="715">
        <f t="shared" si="12"/>
        <v>100</v>
      </c>
      <c r="X37" s="1490"/>
      <c r="Y37" s="349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4.4">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90" t="str">
        <f>A41</f>
        <v>成交单价</v>
      </c>
      <c r="Q41" s="3490"/>
      <c r="R41" s="3485">
        <f>E41</f>
        <v>977</v>
      </c>
      <c r="S41" s="3485"/>
      <c r="T41" s="3485">
        <f>G41</f>
        <v>944</v>
      </c>
      <c r="U41" s="3485"/>
      <c r="V41" s="3485">
        <f>I41</f>
        <v>726</v>
      </c>
      <c r="W41" s="3485"/>
      <c r="X41" s="699"/>
      <c r="Y41" s="721"/>
      <c r="Z41" s="699"/>
      <c r="AA41" s="699"/>
      <c r="AB41" s="699"/>
      <c r="AC41" s="699"/>
    </row>
    <row r="42" spans="1:31" ht="1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90" t="str">
        <f>A42</f>
        <v>比较价值（元/平方米）</v>
      </c>
      <c r="Q42" s="3490"/>
      <c r="R42" s="3518">
        <f>ROUND(PRODUCT(R41,AA7:AA40),0)</f>
        <v>780</v>
      </c>
      <c r="S42" s="3518"/>
      <c r="T42" s="3518">
        <f>ROUND(PRODUCT(T41,AB7:AB40),0)</f>
        <v>755</v>
      </c>
      <c r="U42" s="3518"/>
      <c r="V42" s="3518">
        <f>ROUND(PRODUCT(V41,AC7:AC40),0)</f>
        <v>580</v>
      </c>
      <c r="W42" s="3518"/>
      <c r="X42" s="699"/>
      <c r="Y42" s="699"/>
      <c r="Z42" s="699"/>
      <c r="AA42" s="699"/>
      <c r="AB42" s="699"/>
      <c r="AC42" s="699"/>
    </row>
    <row r="43" spans="1:31" ht="15" thickBot="1">
      <c r="A43" s="449" t="s">
        <v>2250</v>
      </c>
      <c r="B43" s="450"/>
      <c r="C43" s="451">
        <f>R43</f>
        <v>705</v>
      </c>
      <c r="D43" s="451"/>
      <c r="E43" s="451"/>
      <c r="F43" s="451"/>
      <c r="G43" s="451"/>
      <c r="H43" s="451"/>
      <c r="I43" s="451"/>
      <c r="J43" s="451"/>
      <c r="K43" s="724"/>
      <c r="L43" s="2903"/>
      <c r="M43" s="2895"/>
      <c r="N43" s="2895"/>
      <c r="O43" s="2904"/>
      <c r="P43" s="3487" t="str">
        <f>A43</f>
        <v>估价对象XX用房的比较价值（楼面单价，元/平方米）</v>
      </c>
      <c r="Q43" s="3488"/>
      <c r="R43" s="3519">
        <f>ROUND(IF(D42="简单平均",AVERAGE(R42:W42),R42*F42+T42*H42+V42*J42),0)</f>
        <v>705</v>
      </c>
      <c r="S43" s="3519"/>
      <c r="T43" s="3519"/>
      <c r="U43" s="3519"/>
      <c r="V43" s="3519"/>
      <c r="W43" s="351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3" t="s">
        <v>2344</v>
      </c>
      <c r="H50" s="3520"/>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20126.390000000003</v>
      </c>
      <c r="F51" s="647">
        <f t="shared" ref="F51:F60" si="15">ROUND(B51*E51/10000,0)</f>
        <v>1419</v>
      </c>
      <c r="G51" s="3472"/>
      <c r="H51" s="349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20126.390000000003</v>
      </c>
      <c r="F61" s="653">
        <f>IF(B41="楼面地价",SUM(F51:F60),ROUND(C43*E61/10000,0))</f>
        <v>1419</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44"/>
      <c r="B4" s="3545"/>
      <c r="C4" s="3545"/>
      <c r="D4" s="3546"/>
      <c r="E4" s="3546"/>
      <c r="F4" s="3546"/>
      <c r="G4" s="3546"/>
      <c r="H4" s="3546"/>
      <c r="I4" s="3546"/>
      <c r="J4" s="354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4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2418</v>
      </c>
      <c r="X8" s="354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4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8" thickBot="1">
      <c r="A12" s="352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3"/>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4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5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5" t="s">
        <v>2461</v>
      </c>
      <c r="B16" s="2160" t="s">
        <v>2462</v>
      </c>
      <c r="C16" s="2322" t="e">
        <f>ROUND(IF(F17="与级别开发程度一致",0,(G17-E17)/C17),0)</f>
        <v>#DIV/0!</v>
      </c>
      <c r="D16" s="3538" t="s">
        <v>2466</v>
      </c>
      <c r="E16" s="3539"/>
      <c r="F16" s="3538" t="s">
        <v>2463</v>
      </c>
      <c r="G16" s="353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26"/>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5"/>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36"/>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6"/>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3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7" t="s">
        <v>2549</v>
      </c>
      <c r="B90" s="3527"/>
      <c r="C90" s="3527"/>
      <c r="D90" s="3527"/>
      <c r="E90" s="3527"/>
      <c r="F90" s="3527"/>
      <c r="G90" s="3527"/>
      <c r="H90" s="3527"/>
      <c r="I90" s="3527"/>
      <c r="J90" s="3527"/>
      <c r="K90" s="2294"/>
      <c r="L90" s="2294"/>
      <c r="M90" s="2294"/>
      <c r="N90" s="2294"/>
    </row>
    <row r="91" spans="1:37">
      <c r="A91" s="3529" t="s">
        <v>2550</v>
      </c>
      <c r="B91" s="3529" t="s">
        <v>2551</v>
      </c>
      <c r="C91" s="2248" t="s">
        <v>2552</v>
      </c>
      <c r="D91" s="2249"/>
      <c r="E91" s="2249"/>
      <c r="F91" s="2249"/>
      <c r="G91" s="2249"/>
      <c r="H91" s="2249"/>
      <c r="I91" s="2249"/>
      <c r="J91" s="2295"/>
      <c r="K91" s="2296"/>
      <c r="L91" s="2296"/>
      <c r="M91" s="2296"/>
      <c r="N91" s="2296"/>
    </row>
    <row r="92" spans="1:37">
      <c r="A92" s="3529"/>
      <c r="B92" s="352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0"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31"/>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31"/>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31"/>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31"/>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31"/>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31"/>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31"/>
      <c r="B108" s="353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2"/>
      <c r="B109" s="3534"/>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28" t="s">
        <v>2557</v>
      </c>
      <c r="B110" s="3528"/>
      <c r="C110" s="3528"/>
      <c r="D110" s="3528"/>
      <c r="E110" s="3528"/>
      <c r="F110" s="3528"/>
      <c r="G110" s="3528"/>
      <c r="H110" s="3528"/>
      <c r="I110" s="3528"/>
      <c r="J110" s="3528"/>
      <c r="K110" s="2303"/>
      <c r="L110" s="2303"/>
      <c r="M110" s="2303"/>
      <c r="N110" s="2303"/>
    </row>
    <row r="112" spans="1:14" ht="13.8" thickBot="1"/>
    <row r="113" spans="1:13" ht="25.8"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8"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8" t="s">
        <v>2954</v>
      </c>
      <c r="B20" s="3551" t="s">
        <v>2955</v>
      </c>
      <c r="C20" s="3213" t="s">
        <v>2956</v>
      </c>
      <c r="D20" s="3214"/>
      <c r="E20" s="3215">
        <v>1</v>
      </c>
      <c r="F20" s="3216" t="s">
        <v>2957</v>
      </c>
      <c r="G20" s="807"/>
      <c r="H20" s="801"/>
      <c r="I20" s="801"/>
    </row>
    <row r="21" spans="1:13" s="808" customFormat="1" ht="19.5" customHeight="1">
      <c r="A21" s="3559"/>
      <c r="B21" s="3552"/>
      <c r="C21" s="805" t="s">
        <v>2958</v>
      </c>
      <c r="D21" s="806"/>
      <c r="E21" s="3217">
        <v>1</v>
      </c>
      <c r="F21" s="3216" t="s">
        <v>2959</v>
      </c>
      <c r="G21" s="807"/>
      <c r="H21" s="801"/>
      <c r="I21" s="801"/>
    </row>
    <row r="22" spans="1:13" s="808" customFormat="1" ht="19.5" customHeight="1">
      <c r="A22" s="3559"/>
      <c r="B22" s="3552"/>
      <c r="C22" s="805" t="s">
        <v>2960</v>
      </c>
      <c r="D22" s="806"/>
      <c r="E22" s="3217">
        <v>0.9</v>
      </c>
      <c r="F22" s="3216" t="s">
        <v>2961</v>
      </c>
      <c r="G22" s="807"/>
      <c r="H22" s="801"/>
      <c r="I22" s="801"/>
    </row>
    <row r="23" spans="1:13" s="808" customFormat="1" ht="19.5" customHeight="1">
      <c r="A23" s="3559"/>
      <c r="B23" s="3552"/>
      <c r="C23" s="805" t="s">
        <v>2962</v>
      </c>
      <c r="D23" s="806"/>
      <c r="E23" s="3217">
        <v>0.9</v>
      </c>
      <c r="F23" s="3216" t="s">
        <v>2963</v>
      </c>
      <c r="G23" s="807"/>
      <c r="H23" s="801"/>
      <c r="I23" s="801"/>
    </row>
    <row r="24" spans="1:13" s="808" customFormat="1" ht="19.5" customHeight="1">
      <c r="A24" s="3559"/>
      <c r="B24" s="3552"/>
      <c r="C24" s="805" t="s">
        <v>2964</v>
      </c>
      <c r="D24" s="806"/>
      <c r="E24" s="3217">
        <v>0.8</v>
      </c>
      <c r="F24" s="3216" t="s">
        <v>2965</v>
      </c>
      <c r="G24" s="807"/>
      <c r="H24" s="801"/>
      <c r="I24" s="801"/>
    </row>
    <row r="25" spans="1:13" s="808" customFormat="1" ht="19.5" customHeight="1" thickBot="1">
      <c r="A25" s="3560"/>
      <c r="B25" s="3553"/>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4" t="s">
        <v>2971</v>
      </c>
      <c r="B27" s="3551" t="s">
        <v>2971</v>
      </c>
      <c r="C27" s="3213" t="s">
        <v>2972</v>
      </c>
      <c r="D27" s="3214"/>
      <c r="E27" s="3215">
        <v>1</v>
      </c>
      <c r="F27" s="3216" t="s">
        <v>2973</v>
      </c>
      <c r="G27" s="807"/>
      <c r="H27" s="801"/>
      <c r="I27" s="801"/>
    </row>
    <row r="28" spans="1:13" s="808" customFormat="1" ht="19.5" customHeight="1">
      <c r="A28" s="3555"/>
      <c r="B28" s="3552"/>
      <c r="C28" s="805" t="s">
        <v>2974</v>
      </c>
      <c r="D28" s="806"/>
      <c r="E28" s="3217">
        <v>1</v>
      </c>
      <c r="F28" s="3216" t="s">
        <v>2975</v>
      </c>
      <c r="G28" s="807"/>
      <c r="H28" s="801"/>
      <c r="I28" s="801"/>
    </row>
    <row r="29" spans="1:13" s="808" customFormat="1" ht="19.5" customHeight="1">
      <c r="A29" s="3555"/>
      <c r="B29" s="3552"/>
      <c r="C29" s="805" t="s">
        <v>2976</v>
      </c>
      <c r="D29" s="806"/>
      <c r="E29" s="3217">
        <v>0.8</v>
      </c>
      <c r="F29" s="3216" t="s">
        <v>2977</v>
      </c>
      <c r="G29" s="807"/>
      <c r="H29" s="801"/>
      <c r="I29" s="801"/>
    </row>
    <row r="30" spans="1:13" s="808" customFormat="1" ht="19.5" customHeight="1">
      <c r="A30" s="3555"/>
      <c r="B30" s="3552"/>
      <c r="C30" s="805" t="s">
        <v>2978</v>
      </c>
      <c r="D30" s="806"/>
      <c r="E30" s="3217">
        <v>0.8</v>
      </c>
      <c r="F30" s="3216" t="s">
        <v>2979</v>
      </c>
      <c r="G30" s="807"/>
      <c r="H30" s="801"/>
      <c r="I30" s="801"/>
    </row>
    <row r="31" spans="1:13" s="808" customFormat="1" ht="19.5" customHeight="1">
      <c r="A31" s="3555"/>
      <c r="B31" s="3552"/>
      <c r="C31" s="805" t="s">
        <v>2980</v>
      </c>
      <c r="D31" s="806"/>
      <c r="E31" s="3217">
        <v>0.8</v>
      </c>
      <c r="F31" s="3216" t="s">
        <v>2981</v>
      </c>
      <c r="G31" s="807"/>
      <c r="H31" s="801"/>
      <c r="I31" s="801"/>
    </row>
    <row r="32" spans="1:13" s="808" customFormat="1" ht="19.5" customHeight="1">
      <c r="A32" s="3555"/>
      <c r="B32" s="3552"/>
      <c r="C32" s="805" t="s">
        <v>2982</v>
      </c>
      <c r="D32" s="806"/>
      <c r="E32" s="3217">
        <v>0.7</v>
      </c>
      <c r="F32" s="3216" t="s">
        <v>2983</v>
      </c>
      <c r="G32" s="807"/>
      <c r="H32" s="801"/>
      <c r="I32" s="801"/>
    </row>
    <row r="33" spans="1:9" s="808" customFormat="1" ht="19.5" customHeight="1">
      <c r="A33" s="3555"/>
      <c r="B33" s="3552"/>
      <c r="C33" s="805" t="s">
        <v>2984</v>
      </c>
      <c r="D33" s="806"/>
      <c r="E33" s="3217">
        <v>0.8</v>
      </c>
      <c r="F33" s="3216" t="s">
        <v>2985</v>
      </c>
      <c r="G33" s="807"/>
      <c r="H33" s="801"/>
      <c r="I33" s="801"/>
    </row>
    <row r="34" spans="1:9" s="808" customFormat="1" ht="19.5" customHeight="1">
      <c r="A34" s="3555"/>
      <c r="B34" s="3552"/>
      <c r="C34" s="805" t="s">
        <v>2986</v>
      </c>
      <c r="D34" s="806"/>
      <c r="E34" s="3217">
        <v>0.6</v>
      </c>
      <c r="F34" s="3216" t="s">
        <v>2987</v>
      </c>
      <c r="G34" s="807"/>
      <c r="H34" s="801"/>
      <c r="I34" s="801"/>
    </row>
    <row r="35" spans="1:9" s="808" customFormat="1" ht="19.5" customHeight="1">
      <c r="A35" s="3555"/>
      <c r="B35" s="3552"/>
      <c r="C35" s="805" t="s">
        <v>2988</v>
      </c>
      <c r="D35" s="806"/>
      <c r="E35" s="3217">
        <v>0.2</v>
      </c>
      <c r="F35" s="3216" t="s">
        <v>2989</v>
      </c>
      <c r="G35" s="807"/>
      <c r="H35" s="801"/>
      <c r="I35" s="801"/>
    </row>
    <row r="36" spans="1:9" s="808" customFormat="1" ht="19.5" customHeight="1">
      <c r="A36" s="3555"/>
      <c r="B36" s="3552"/>
      <c r="C36" s="805" t="s">
        <v>2990</v>
      </c>
      <c r="D36" s="806"/>
      <c r="E36" s="3217">
        <v>0.2</v>
      </c>
      <c r="F36" s="3216" t="s">
        <v>2991</v>
      </c>
      <c r="G36" s="807"/>
      <c r="H36" s="801"/>
      <c r="I36" s="801"/>
    </row>
    <row r="37" spans="1:9" s="808" customFormat="1" ht="19.5" customHeight="1">
      <c r="A37" s="3555"/>
      <c r="B37" s="3557" t="s">
        <v>2992</v>
      </c>
      <c r="C37" s="805" t="s">
        <v>2993</v>
      </c>
      <c r="D37" s="806"/>
      <c r="E37" s="3217">
        <v>0.6</v>
      </c>
      <c r="F37" s="3216" t="s">
        <v>2994</v>
      </c>
      <c r="G37" s="807"/>
      <c r="H37" s="801"/>
      <c r="I37" s="801"/>
    </row>
    <row r="38" spans="1:9" s="808" customFormat="1" ht="19.5" customHeight="1">
      <c r="A38" s="3555"/>
      <c r="B38" s="3552"/>
      <c r="C38" s="805" t="s">
        <v>2995</v>
      </c>
      <c r="D38" s="806"/>
      <c r="E38" s="3217">
        <v>0.6</v>
      </c>
      <c r="F38" s="3216" t="s">
        <v>2996</v>
      </c>
      <c r="G38" s="807"/>
      <c r="H38" s="801"/>
      <c r="I38" s="801"/>
    </row>
    <row r="39" spans="1:9" s="808" customFormat="1" ht="19.5" customHeight="1" thickBot="1">
      <c r="A39" s="3556"/>
      <c r="B39" s="3553"/>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8" t="s">
        <v>3002</v>
      </c>
      <c r="B41" s="3551" t="s">
        <v>3003</v>
      </c>
      <c r="C41" s="3213" t="s">
        <v>3004</v>
      </c>
      <c r="D41" s="3214"/>
      <c r="E41" s="3215">
        <v>1</v>
      </c>
      <c r="F41" s="3216" t="s">
        <v>3005</v>
      </c>
      <c r="G41" s="807"/>
      <c r="H41" s="801"/>
      <c r="I41" s="801"/>
    </row>
    <row r="42" spans="1:9" s="808" customFormat="1" ht="19.5" customHeight="1">
      <c r="A42" s="3559"/>
      <c r="B42" s="3552"/>
      <c r="C42" s="805" t="s">
        <v>3006</v>
      </c>
      <c r="D42" s="806"/>
      <c r="E42" s="3217">
        <v>1</v>
      </c>
      <c r="F42" s="3216" t="s">
        <v>3007</v>
      </c>
      <c r="G42" s="807"/>
      <c r="H42" s="801"/>
      <c r="I42" s="801"/>
    </row>
    <row r="43" spans="1:9" s="808" customFormat="1" ht="19.5" customHeight="1">
      <c r="A43" s="3559"/>
      <c r="B43" s="3561"/>
      <c r="C43" s="805" t="s">
        <v>3008</v>
      </c>
      <c r="D43" s="806"/>
      <c r="E43" s="3217">
        <v>1.5</v>
      </c>
      <c r="F43" s="3216" t="s">
        <v>3009</v>
      </c>
      <c r="G43" s="807"/>
      <c r="H43" s="801"/>
      <c r="I43" s="801"/>
    </row>
    <row r="44" spans="1:9" s="808" customFormat="1" ht="19.5" customHeight="1">
      <c r="A44" s="3559"/>
      <c r="B44" s="3226" t="s">
        <v>2971</v>
      </c>
      <c r="C44" s="805" t="s">
        <v>3010</v>
      </c>
      <c r="D44" s="806"/>
      <c r="E44" s="3217">
        <v>2</v>
      </c>
      <c r="F44" s="3216" t="s">
        <v>3011</v>
      </c>
      <c r="G44" s="807"/>
      <c r="H44" s="801"/>
      <c r="I44" s="801"/>
    </row>
    <row r="45" spans="1:9" s="808" customFormat="1" ht="19.5" customHeight="1">
      <c r="A45" s="3559"/>
      <c r="B45" s="3557" t="s">
        <v>3012</v>
      </c>
      <c r="C45" s="805" t="s">
        <v>3013</v>
      </c>
      <c r="D45" s="806"/>
      <c r="E45" s="3217">
        <v>1</v>
      </c>
      <c r="F45" s="3216" t="s">
        <v>3014</v>
      </c>
      <c r="G45" s="807"/>
      <c r="H45" s="801"/>
      <c r="I45" s="801"/>
    </row>
    <row r="46" spans="1:9" s="808" customFormat="1" ht="19.5" customHeight="1">
      <c r="A46" s="3559"/>
      <c r="B46" s="3552"/>
      <c r="C46" s="805" t="s">
        <v>3015</v>
      </c>
      <c r="D46" s="806"/>
      <c r="E46" s="3217">
        <v>1</v>
      </c>
      <c r="F46" s="3216" t="s">
        <v>3016</v>
      </c>
      <c r="G46" s="807"/>
      <c r="H46" s="801"/>
      <c r="I46" s="801"/>
    </row>
    <row r="47" spans="1:9" s="808" customFormat="1" ht="19.5" customHeight="1">
      <c r="A47" s="3559"/>
      <c r="B47" s="3552"/>
      <c r="C47" s="805" t="s">
        <v>3017</v>
      </c>
      <c r="D47" s="806"/>
      <c r="E47" s="3217">
        <v>1</v>
      </c>
      <c r="F47" s="3216" t="s">
        <v>3018</v>
      </c>
      <c r="G47" s="807"/>
      <c r="H47" s="801"/>
      <c r="I47" s="801"/>
    </row>
    <row r="48" spans="1:9" s="808" customFormat="1" ht="19.5" customHeight="1">
      <c r="A48" s="3559"/>
      <c r="B48" s="3552"/>
      <c r="C48" s="805" t="s">
        <v>3019</v>
      </c>
      <c r="D48" s="806"/>
      <c r="E48" s="3217">
        <v>1</v>
      </c>
      <c r="F48" s="3216" t="s">
        <v>3020</v>
      </c>
      <c r="G48" s="807"/>
      <c r="H48" s="801"/>
      <c r="I48" s="801"/>
    </row>
    <row r="49" spans="1:9" s="808" customFormat="1" ht="19.5" customHeight="1">
      <c r="A49" s="3559"/>
      <c r="B49" s="3552"/>
      <c r="C49" s="805" t="s">
        <v>3021</v>
      </c>
      <c r="D49" s="806"/>
      <c r="E49" s="3217">
        <v>1</v>
      </c>
      <c r="F49" s="3216" t="s">
        <v>3022</v>
      </c>
      <c r="G49" s="807"/>
      <c r="H49" s="801"/>
      <c r="I49" s="801"/>
    </row>
    <row r="50" spans="1:9" s="808" customFormat="1" ht="19.5" customHeight="1">
      <c r="A50" s="3559"/>
      <c r="B50" s="3552"/>
      <c r="C50" s="805" t="s">
        <v>3023</v>
      </c>
      <c r="D50" s="806"/>
      <c r="E50" s="3217">
        <v>1</v>
      </c>
      <c r="F50" s="3216" t="s">
        <v>3024</v>
      </c>
      <c r="G50" s="807"/>
      <c r="H50" s="801"/>
      <c r="I50" s="801"/>
    </row>
    <row r="51" spans="1:9" s="808" customFormat="1" ht="19.5" customHeight="1" thickBot="1">
      <c r="A51" s="3560"/>
      <c r="B51" s="3553"/>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6">
        <v>1</v>
      </c>
      <c r="B73" s="3557" t="s">
        <v>3028</v>
      </c>
      <c r="C73" s="3206" t="s">
        <v>3029</v>
      </c>
      <c r="D73" s="3206" t="s">
        <v>3030</v>
      </c>
      <c r="E73" s="3227">
        <v>0.2</v>
      </c>
      <c r="F73" s="3226">
        <v>25</v>
      </c>
    </row>
    <row r="74" spans="1:7" s="801" customFormat="1" ht="24">
      <c r="A74" s="3226">
        <v>2</v>
      </c>
      <c r="B74" s="3552"/>
      <c r="C74" s="3206" t="s">
        <v>3031</v>
      </c>
      <c r="D74" s="3206" t="s">
        <v>3032</v>
      </c>
      <c r="E74" s="3227">
        <v>0.2</v>
      </c>
      <c r="F74" s="3226">
        <v>25</v>
      </c>
    </row>
    <row r="75" spans="1:7" s="801" customFormat="1" ht="24">
      <c r="A75" s="3226">
        <v>3</v>
      </c>
      <c r="B75" s="3552"/>
      <c r="C75" s="3206" t="s">
        <v>3033</v>
      </c>
      <c r="D75" s="3206" t="s">
        <v>3034</v>
      </c>
      <c r="E75" s="3227">
        <v>0.2</v>
      </c>
      <c r="F75" s="3226">
        <v>25</v>
      </c>
    </row>
    <row r="76" spans="1:7" s="801" customFormat="1" ht="14.4">
      <c r="A76" s="3226">
        <v>4</v>
      </c>
      <c r="B76" s="3552"/>
      <c r="C76" s="3206" t="s">
        <v>3035</v>
      </c>
      <c r="D76" s="3206" t="s">
        <v>3036</v>
      </c>
      <c r="E76" s="3227">
        <v>0.15</v>
      </c>
      <c r="F76" s="3226">
        <v>20</v>
      </c>
    </row>
    <row r="77" spans="1:7" s="801" customFormat="1" ht="24">
      <c r="A77" s="3226">
        <v>5</v>
      </c>
      <c r="B77" s="3552"/>
      <c r="C77" s="3206" t="s">
        <v>3037</v>
      </c>
      <c r="D77" s="3206" t="s">
        <v>3038</v>
      </c>
      <c r="E77" s="3227">
        <v>0.15</v>
      </c>
      <c r="F77" s="3226">
        <v>20</v>
      </c>
    </row>
    <row r="78" spans="1:7" s="801" customFormat="1" ht="24">
      <c r="A78" s="3226">
        <v>6</v>
      </c>
      <c r="B78" s="3552"/>
      <c r="C78" s="3206" t="s">
        <v>3039</v>
      </c>
      <c r="D78" s="3206" t="s">
        <v>3040</v>
      </c>
      <c r="E78" s="3227">
        <v>0.15</v>
      </c>
      <c r="F78" s="3226">
        <v>20</v>
      </c>
    </row>
    <row r="79" spans="1:7" s="801" customFormat="1" ht="24">
      <c r="A79" s="3226">
        <v>7</v>
      </c>
      <c r="B79" s="3552"/>
      <c r="C79" s="3206" t="s">
        <v>3041</v>
      </c>
      <c r="D79" s="3206" t="s">
        <v>3042</v>
      </c>
      <c r="E79" s="3227">
        <v>0.15</v>
      </c>
      <c r="F79" s="3226">
        <v>20</v>
      </c>
    </row>
    <row r="80" spans="1:7" s="801" customFormat="1" ht="24">
      <c r="A80" s="3226">
        <v>8</v>
      </c>
      <c r="B80" s="3552"/>
      <c r="C80" s="3206" t="s">
        <v>3043</v>
      </c>
      <c r="D80" s="3206" t="s">
        <v>3044</v>
      </c>
      <c r="E80" s="3227">
        <v>0.1</v>
      </c>
      <c r="F80" s="3226">
        <v>15</v>
      </c>
    </row>
    <row r="81" spans="1:6" s="801" customFormat="1" ht="24">
      <c r="A81" s="3226">
        <v>9</v>
      </c>
      <c r="B81" s="3552"/>
      <c r="C81" s="3206" t="s">
        <v>3045</v>
      </c>
      <c r="D81" s="3206" t="s">
        <v>3046</v>
      </c>
      <c r="E81" s="3227">
        <v>0.1</v>
      </c>
      <c r="F81" s="3226">
        <v>15</v>
      </c>
    </row>
    <row r="82" spans="1:6" s="801" customFormat="1" ht="24">
      <c r="A82" s="3226">
        <v>10</v>
      </c>
      <c r="B82" s="3552"/>
      <c r="C82" s="3206" t="s">
        <v>3047</v>
      </c>
      <c r="D82" s="3206" t="s">
        <v>3048</v>
      </c>
      <c r="E82" s="3227">
        <v>0.1</v>
      </c>
      <c r="F82" s="3226">
        <v>15</v>
      </c>
    </row>
    <row r="83" spans="1:6" s="801" customFormat="1" ht="24">
      <c r="A83" s="3226">
        <v>11</v>
      </c>
      <c r="B83" s="3552"/>
      <c r="C83" s="3206" t="s">
        <v>3049</v>
      </c>
      <c r="D83" s="3206" t="s">
        <v>3050</v>
      </c>
      <c r="E83" s="3227">
        <v>0.1</v>
      </c>
      <c r="F83" s="3226">
        <v>15</v>
      </c>
    </row>
    <row r="84" spans="1:6" s="801" customFormat="1" ht="24">
      <c r="A84" s="3226">
        <v>12</v>
      </c>
      <c r="B84" s="3552"/>
      <c r="C84" s="3206" t="s">
        <v>3051</v>
      </c>
      <c r="D84" s="3206" t="s">
        <v>3052</v>
      </c>
      <c r="E84" s="3227">
        <v>0.1</v>
      </c>
      <c r="F84" s="3226">
        <v>15</v>
      </c>
    </row>
    <row r="85" spans="1:6" s="801" customFormat="1" ht="24">
      <c r="A85" s="3226">
        <v>13</v>
      </c>
      <c r="B85" s="3552"/>
      <c r="C85" s="3206" t="s">
        <v>3053</v>
      </c>
      <c r="D85" s="3206" t="s">
        <v>3054</v>
      </c>
      <c r="E85" s="3227">
        <v>0.1</v>
      </c>
      <c r="F85" s="3226">
        <v>15</v>
      </c>
    </row>
    <row r="86" spans="1:6" s="801" customFormat="1" ht="24">
      <c r="A86" s="3226">
        <v>14</v>
      </c>
      <c r="B86" s="3552"/>
      <c r="C86" s="3206" t="s">
        <v>3055</v>
      </c>
      <c r="D86" s="3206" t="s">
        <v>3056</v>
      </c>
      <c r="E86" s="3227">
        <v>0.1</v>
      </c>
      <c r="F86" s="3226">
        <v>15</v>
      </c>
    </row>
    <row r="87" spans="1:6" s="801" customFormat="1" ht="24">
      <c r="A87" s="3226">
        <v>15</v>
      </c>
      <c r="B87" s="3552"/>
      <c r="C87" s="3206" t="s">
        <v>3057</v>
      </c>
      <c r="D87" s="3206" t="s">
        <v>3058</v>
      </c>
      <c r="E87" s="3227">
        <v>0.1</v>
      </c>
      <c r="F87" s="3226">
        <v>15</v>
      </c>
    </row>
    <row r="88" spans="1:6" s="801" customFormat="1" ht="24">
      <c r="A88" s="3226">
        <v>16</v>
      </c>
      <c r="B88" s="3552"/>
      <c r="C88" s="3206" t="s">
        <v>3059</v>
      </c>
      <c r="D88" s="3206" t="s">
        <v>3060</v>
      </c>
      <c r="E88" s="3227">
        <v>0.1</v>
      </c>
      <c r="F88" s="3226">
        <v>15</v>
      </c>
    </row>
    <row r="89" spans="1:6" s="801" customFormat="1" ht="24">
      <c r="A89" s="3226">
        <v>17</v>
      </c>
      <c r="B89" s="3561"/>
      <c r="C89" s="3206" t="s">
        <v>3061</v>
      </c>
      <c r="D89" s="3206" t="s">
        <v>3062</v>
      </c>
      <c r="E89" s="3227">
        <v>0.1</v>
      </c>
      <c r="F89" s="3226">
        <v>15</v>
      </c>
    </row>
    <row r="90" spans="1:6" s="801" customFormat="1" ht="14.4">
      <c r="A90" s="3226">
        <v>18</v>
      </c>
      <c r="B90" s="3557" t="s">
        <v>3063</v>
      </c>
      <c r="C90" s="3206" t="s">
        <v>3064</v>
      </c>
      <c r="D90" s="3206" t="s">
        <v>3065</v>
      </c>
      <c r="E90" s="3227">
        <v>0.2</v>
      </c>
      <c r="F90" s="3226">
        <v>25</v>
      </c>
    </row>
    <row r="91" spans="1:6" s="801" customFormat="1" ht="24">
      <c r="A91" s="3226">
        <v>19</v>
      </c>
      <c r="B91" s="3552"/>
      <c r="C91" s="3206" t="s">
        <v>3066</v>
      </c>
      <c r="D91" s="3206" t="s">
        <v>3067</v>
      </c>
      <c r="E91" s="3227">
        <v>0.2</v>
      </c>
      <c r="F91" s="3226">
        <v>25</v>
      </c>
    </row>
    <row r="92" spans="1:6" s="801" customFormat="1" ht="14.4">
      <c r="A92" s="3226">
        <v>20</v>
      </c>
      <c r="B92" s="3552"/>
      <c r="C92" s="3206" t="s">
        <v>3068</v>
      </c>
      <c r="D92" s="3206" t="s">
        <v>3069</v>
      </c>
      <c r="E92" s="3227">
        <v>0.15</v>
      </c>
      <c r="F92" s="3226">
        <v>20</v>
      </c>
    </row>
    <row r="93" spans="1:6" s="801" customFormat="1" ht="24">
      <c r="A93" s="3226">
        <v>21</v>
      </c>
      <c r="B93" s="3552"/>
      <c r="C93" s="3206" t="s">
        <v>3070</v>
      </c>
      <c r="D93" s="3206" t="s">
        <v>3071</v>
      </c>
      <c r="E93" s="3227">
        <v>0.15</v>
      </c>
      <c r="F93" s="3226">
        <v>20</v>
      </c>
    </row>
    <row r="94" spans="1:6" s="801" customFormat="1" ht="24">
      <c r="A94" s="3226">
        <v>22</v>
      </c>
      <c r="B94" s="3552"/>
      <c r="C94" s="3206" t="s">
        <v>3072</v>
      </c>
      <c r="D94" s="3206" t="s">
        <v>3073</v>
      </c>
      <c r="E94" s="3227">
        <v>0.15</v>
      </c>
      <c r="F94" s="3226">
        <v>20</v>
      </c>
    </row>
    <row r="95" spans="1:6" s="801" customFormat="1" ht="36">
      <c r="A95" s="3226">
        <v>23</v>
      </c>
      <c r="B95" s="3552"/>
      <c r="C95" s="3206" t="s">
        <v>3074</v>
      </c>
      <c r="D95" s="3206" t="s">
        <v>3075</v>
      </c>
      <c r="E95" s="3227">
        <v>0.15</v>
      </c>
      <c r="F95" s="3226">
        <v>20</v>
      </c>
    </row>
    <row r="96" spans="1:6" s="801" customFormat="1" ht="24">
      <c r="A96" s="3226">
        <v>24</v>
      </c>
      <c r="B96" s="3552"/>
      <c r="C96" s="3206" t="s">
        <v>3076</v>
      </c>
      <c r="D96" s="3206" t="s">
        <v>3077</v>
      </c>
      <c r="E96" s="3227">
        <v>0.1</v>
      </c>
      <c r="F96" s="3226">
        <v>15</v>
      </c>
    </row>
    <row r="97" spans="1:6" s="801" customFormat="1" ht="24">
      <c r="A97" s="3226">
        <v>25</v>
      </c>
      <c r="B97" s="3552"/>
      <c r="C97" s="3206" t="s">
        <v>3078</v>
      </c>
      <c r="D97" s="3206" t="s">
        <v>3079</v>
      </c>
      <c r="E97" s="3227">
        <v>0.1</v>
      </c>
      <c r="F97" s="3226">
        <v>15</v>
      </c>
    </row>
    <row r="98" spans="1:6" s="801" customFormat="1" ht="24">
      <c r="A98" s="3226">
        <v>26</v>
      </c>
      <c r="B98" s="3552"/>
      <c r="C98" s="3206" t="s">
        <v>3080</v>
      </c>
      <c r="D98" s="3206" t="s">
        <v>3081</v>
      </c>
      <c r="E98" s="3227">
        <v>0.1</v>
      </c>
      <c r="F98" s="3226">
        <v>15</v>
      </c>
    </row>
    <row r="99" spans="1:6" s="801" customFormat="1" ht="24">
      <c r="A99" s="3226">
        <v>27</v>
      </c>
      <c r="B99" s="3552"/>
      <c r="C99" s="3206" t="s">
        <v>3082</v>
      </c>
      <c r="D99" s="3206" t="s">
        <v>3083</v>
      </c>
      <c r="E99" s="3227">
        <v>0.1</v>
      </c>
      <c r="F99" s="3226">
        <v>15</v>
      </c>
    </row>
    <row r="100" spans="1:6" s="801" customFormat="1" ht="24">
      <c r="A100" s="3226">
        <v>28</v>
      </c>
      <c r="B100" s="3552"/>
      <c r="C100" s="3206" t="s">
        <v>3084</v>
      </c>
      <c r="D100" s="3206" t="s">
        <v>3085</v>
      </c>
      <c r="E100" s="3227">
        <v>0.1</v>
      </c>
      <c r="F100" s="3226">
        <v>15</v>
      </c>
    </row>
    <row r="101" spans="1:6" s="801" customFormat="1" ht="24">
      <c r="A101" s="3226">
        <v>29</v>
      </c>
      <c r="B101" s="3552"/>
      <c r="C101" s="3206" t="s">
        <v>3086</v>
      </c>
      <c r="D101" s="3206" t="s">
        <v>3087</v>
      </c>
      <c r="E101" s="3227">
        <v>0.1</v>
      </c>
      <c r="F101" s="3226">
        <v>15</v>
      </c>
    </row>
    <row r="102" spans="1:6" s="801" customFormat="1" ht="24">
      <c r="A102" s="3226">
        <v>30</v>
      </c>
      <c r="B102" s="3552"/>
      <c r="C102" s="3206" t="s">
        <v>3088</v>
      </c>
      <c r="D102" s="3206" t="s">
        <v>3089</v>
      </c>
      <c r="E102" s="3227">
        <v>0.1</v>
      </c>
      <c r="F102" s="3226">
        <v>15</v>
      </c>
    </row>
    <row r="103" spans="1:6" s="801" customFormat="1" ht="24">
      <c r="A103" s="3226">
        <v>31</v>
      </c>
      <c r="B103" s="3552"/>
      <c r="C103" s="3206" t="s">
        <v>3090</v>
      </c>
      <c r="D103" s="3206" t="s">
        <v>3091</v>
      </c>
      <c r="E103" s="3227">
        <v>0.1</v>
      </c>
      <c r="F103" s="3226">
        <v>15</v>
      </c>
    </row>
    <row r="104" spans="1:6" s="801" customFormat="1" ht="24">
      <c r="A104" s="3226">
        <v>32</v>
      </c>
      <c r="B104" s="3552"/>
      <c r="C104" s="3206" t="s">
        <v>3092</v>
      </c>
      <c r="D104" s="3206" t="s">
        <v>3093</v>
      </c>
      <c r="E104" s="3227">
        <v>0.1</v>
      </c>
      <c r="F104" s="3226">
        <v>15</v>
      </c>
    </row>
    <row r="105" spans="1:6" s="801" customFormat="1" ht="24">
      <c r="A105" s="3226">
        <v>33</v>
      </c>
      <c r="B105" s="3552"/>
      <c r="C105" s="3206" t="s">
        <v>3094</v>
      </c>
      <c r="D105" s="3206" t="s">
        <v>3095</v>
      </c>
      <c r="E105" s="3227">
        <v>0.1</v>
      </c>
      <c r="F105" s="3226">
        <v>15</v>
      </c>
    </row>
    <row r="106" spans="1:6" s="801" customFormat="1" ht="24">
      <c r="A106" s="3226">
        <v>34</v>
      </c>
      <c r="B106" s="3561"/>
      <c r="C106" s="3206" t="s">
        <v>3096</v>
      </c>
      <c r="D106" s="3206" t="s">
        <v>3097</v>
      </c>
      <c r="E106" s="3227">
        <v>0.1</v>
      </c>
      <c r="F106" s="3226">
        <v>15</v>
      </c>
    </row>
    <row r="107" spans="1:6" s="801" customFormat="1" ht="36">
      <c r="A107" s="3226">
        <v>35</v>
      </c>
      <c r="B107" s="3557" t="s">
        <v>3098</v>
      </c>
      <c r="C107" s="3226" t="s">
        <v>3099</v>
      </c>
      <c r="D107" s="3206" t="s">
        <v>3100</v>
      </c>
      <c r="E107" s="3227">
        <v>0.15</v>
      </c>
      <c r="F107" s="3226">
        <v>20</v>
      </c>
    </row>
    <row r="108" spans="1:6" s="801" customFormat="1" ht="24">
      <c r="A108" s="3226">
        <v>36</v>
      </c>
      <c r="B108" s="3552"/>
      <c r="C108" s="3226" t="s">
        <v>3101</v>
      </c>
      <c r="D108" s="3206" t="s">
        <v>3102</v>
      </c>
      <c r="E108" s="3227">
        <v>0.15</v>
      </c>
      <c r="F108" s="3226">
        <v>20</v>
      </c>
    </row>
    <row r="109" spans="1:6" s="801" customFormat="1" ht="24">
      <c r="A109" s="3226">
        <v>37</v>
      </c>
      <c r="B109" s="3552"/>
      <c r="C109" s="3226" t="s">
        <v>3103</v>
      </c>
      <c r="D109" s="3206" t="s">
        <v>3104</v>
      </c>
      <c r="E109" s="3227">
        <v>0.15</v>
      </c>
      <c r="F109" s="3226">
        <v>20</v>
      </c>
    </row>
    <row r="110" spans="1:6" s="801" customFormat="1" ht="24">
      <c r="A110" s="3226">
        <v>38</v>
      </c>
      <c r="B110" s="3552"/>
      <c r="C110" s="3226" t="s">
        <v>3105</v>
      </c>
      <c r="D110" s="3206" t="s">
        <v>3106</v>
      </c>
      <c r="E110" s="3227">
        <v>0.1</v>
      </c>
      <c r="F110" s="3226">
        <v>15</v>
      </c>
    </row>
    <row r="111" spans="1:6" s="801" customFormat="1" ht="24">
      <c r="A111" s="3226">
        <v>39</v>
      </c>
      <c r="B111" s="3552"/>
      <c r="C111" s="3226" t="s">
        <v>3107</v>
      </c>
      <c r="D111" s="3206" t="s">
        <v>3108</v>
      </c>
      <c r="E111" s="3227">
        <v>0.1</v>
      </c>
      <c r="F111" s="3226">
        <v>15</v>
      </c>
    </row>
    <row r="112" spans="1:6" s="801" customFormat="1" ht="24">
      <c r="A112" s="3226">
        <v>40</v>
      </c>
      <c r="B112" s="3561"/>
      <c r="C112" s="3226" t="s">
        <v>3109</v>
      </c>
      <c r="D112" s="3206" t="s">
        <v>3110</v>
      </c>
      <c r="E112" s="3227">
        <v>0.1</v>
      </c>
      <c r="F112" s="3226">
        <v>15</v>
      </c>
    </row>
    <row r="113" spans="1:6" s="801" customFormat="1" ht="24">
      <c r="A113" s="3226">
        <v>41</v>
      </c>
      <c r="B113" s="3562" t="s">
        <v>3111</v>
      </c>
      <c r="C113" s="3226" t="s">
        <v>3112</v>
      </c>
      <c r="D113" s="3206" t="s">
        <v>3113</v>
      </c>
      <c r="E113" s="3227">
        <v>0.1</v>
      </c>
      <c r="F113" s="3226">
        <v>15</v>
      </c>
    </row>
    <row r="114" spans="1:6" s="801" customFormat="1" ht="24">
      <c r="A114" s="3226">
        <v>42</v>
      </c>
      <c r="B114" s="3562"/>
      <c r="C114" s="3226" t="s">
        <v>3114</v>
      </c>
      <c r="D114" s="3206" t="s">
        <v>3115</v>
      </c>
      <c r="E114" s="3227">
        <v>0.1</v>
      </c>
      <c r="F114" s="3226">
        <v>15</v>
      </c>
    </row>
    <row r="115" spans="1:6" s="801" customFormat="1" ht="24">
      <c r="A115" s="3226">
        <v>43</v>
      </c>
      <c r="B115" s="3562"/>
      <c r="C115" s="3226" t="s">
        <v>3116</v>
      </c>
      <c r="D115" s="3206" t="s">
        <v>3117</v>
      </c>
      <c r="E115" s="3227">
        <v>0.1</v>
      </c>
      <c r="F115" s="3226">
        <v>15</v>
      </c>
    </row>
    <row r="116" spans="1:6" s="801" customFormat="1" ht="24">
      <c r="A116" s="3226">
        <v>44</v>
      </c>
      <c r="B116" s="3557" t="s">
        <v>3118</v>
      </c>
      <c r="C116" s="3226" t="s">
        <v>3119</v>
      </c>
      <c r="D116" s="3206" t="s">
        <v>3120</v>
      </c>
      <c r="E116" s="3227">
        <v>0.1</v>
      </c>
      <c r="F116" s="3226">
        <v>15</v>
      </c>
    </row>
    <row r="117" spans="1:6" s="801" customFormat="1" ht="24">
      <c r="A117" s="3226">
        <v>45</v>
      </c>
      <c r="B117" s="3561"/>
      <c r="C117" s="3206" t="s">
        <v>3121</v>
      </c>
      <c r="D117" s="3206" t="s">
        <v>3122</v>
      </c>
      <c r="E117" s="3227">
        <v>0.1</v>
      </c>
      <c r="F117" s="3226">
        <v>15</v>
      </c>
    </row>
    <row r="118" spans="1:6" s="801" customFormat="1" ht="24">
      <c r="A118" s="3226">
        <v>46</v>
      </c>
      <c r="B118" s="3557" t="s">
        <v>3123</v>
      </c>
      <c r="C118" s="3226" t="s">
        <v>3124</v>
      </c>
      <c r="D118" s="3206" t="s">
        <v>3125</v>
      </c>
      <c r="E118" s="3227">
        <v>0.1</v>
      </c>
      <c r="F118" s="3226">
        <v>15</v>
      </c>
    </row>
    <row r="119" spans="1:6" s="801" customFormat="1" ht="24">
      <c r="A119" s="3226">
        <v>47</v>
      </c>
      <c r="B119" s="3561"/>
      <c r="C119" s="3226" t="s">
        <v>3126</v>
      </c>
      <c r="D119" s="3206" t="s">
        <v>3127</v>
      </c>
      <c r="E119" s="3227">
        <v>0.1</v>
      </c>
      <c r="F119" s="3226">
        <v>15</v>
      </c>
    </row>
    <row r="120" spans="1:6" s="801" customFormat="1" ht="24">
      <c r="A120" s="3226">
        <v>48</v>
      </c>
      <c r="B120" s="3557" t="s">
        <v>3128</v>
      </c>
      <c r="C120" s="3226" t="s">
        <v>3129</v>
      </c>
      <c r="D120" s="3206" t="s">
        <v>3130</v>
      </c>
      <c r="E120" s="3227">
        <v>0.1</v>
      </c>
      <c r="F120" s="3226">
        <v>15</v>
      </c>
    </row>
    <row r="121" spans="1:6" s="801" customFormat="1" ht="24">
      <c r="A121" s="3226">
        <v>49</v>
      </c>
      <c r="B121" s="3561"/>
      <c r="C121" s="3226" t="s">
        <v>3131</v>
      </c>
      <c r="D121" s="3206" t="s">
        <v>3132</v>
      </c>
      <c r="E121" s="3227">
        <v>0.1</v>
      </c>
      <c r="F121" s="3226">
        <v>15</v>
      </c>
    </row>
    <row r="122" spans="1:6" s="801" customFormat="1" ht="24">
      <c r="A122" s="3226">
        <v>50</v>
      </c>
      <c r="B122" s="3562" t="s">
        <v>3133</v>
      </c>
      <c r="C122" s="3226" t="s">
        <v>3134</v>
      </c>
      <c r="D122" s="3206" t="s">
        <v>3135</v>
      </c>
      <c r="E122" s="3227">
        <v>0.1</v>
      </c>
      <c r="F122" s="3226">
        <v>15</v>
      </c>
    </row>
    <row r="123" spans="1:6" s="801" customFormat="1" ht="24">
      <c r="A123" s="3226">
        <v>51</v>
      </c>
      <c r="B123" s="3562"/>
      <c r="C123" s="3226" t="s">
        <v>3136</v>
      </c>
      <c r="D123" s="3206" t="s">
        <v>3137</v>
      </c>
      <c r="E123" s="3227">
        <v>0.1</v>
      </c>
      <c r="F123" s="3226">
        <v>15</v>
      </c>
    </row>
    <row r="124" spans="1:6" s="801" customFormat="1" ht="24">
      <c r="A124" s="3226">
        <v>52</v>
      </c>
      <c r="B124" s="3562" t="s">
        <v>3138</v>
      </c>
      <c r="C124" s="3226" t="s">
        <v>3139</v>
      </c>
      <c r="D124" s="3206" t="s">
        <v>3140</v>
      </c>
      <c r="E124" s="3227">
        <v>0.1</v>
      </c>
      <c r="F124" s="3226">
        <v>15</v>
      </c>
    </row>
    <row r="125" spans="1:6" s="801" customFormat="1" ht="24">
      <c r="A125" s="3226">
        <v>53</v>
      </c>
      <c r="B125" s="3562"/>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24">
      <c r="A127" s="3226">
        <v>55</v>
      </c>
      <c r="B127" s="3562" t="s">
        <v>3146</v>
      </c>
      <c r="C127" s="3226" t="s">
        <v>3147</v>
      </c>
      <c r="D127" s="3206" t="s">
        <v>3148</v>
      </c>
      <c r="E127" s="3227">
        <v>0.1</v>
      </c>
      <c r="F127" s="3226">
        <v>15</v>
      </c>
    </row>
    <row r="128" spans="1:6" ht="24">
      <c r="A128" s="3226">
        <v>56</v>
      </c>
      <c r="B128" s="3562"/>
      <c r="C128" s="3226" t="s">
        <v>3149</v>
      </c>
      <c r="D128" s="3206" t="s">
        <v>3150</v>
      </c>
      <c r="E128" s="3227">
        <v>0.1</v>
      </c>
      <c r="F128" s="3226">
        <v>15</v>
      </c>
    </row>
    <row r="129" spans="1:6" ht="24">
      <c r="A129" s="3226">
        <v>57</v>
      </c>
      <c r="B129" s="3562"/>
      <c r="C129" s="3226" t="s">
        <v>3151</v>
      </c>
      <c r="D129" s="3206" t="s">
        <v>3152</v>
      </c>
      <c r="E129" s="3227">
        <v>0.1</v>
      </c>
      <c r="F129" s="3226">
        <v>15</v>
      </c>
    </row>
    <row r="130" spans="1:6" ht="24">
      <c r="A130" s="3226">
        <v>58</v>
      </c>
      <c r="B130" s="3562" t="s">
        <v>3153</v>
      </c>
      <c r="C130" s="3226" t="s">
        <v>3154</v>
      </c>
      <c r="D130" s="3206" t="s">
        <v>3155</v>
      </c>
      <c r="E130" s="3227">
        <v>0.1</v>
      </c>
      <c r="F130" s="3226">
        <v>15</v>
      </c>
    </row>
    <row r="131" spans="1:6" ht="24">
      <c r="A131" s="3226">
        <v>59</v>
      </c>
      <c r="B131" s="3562"/>
      <c r="C131" s="3226" t="s">
        <v>3156</v>
      </c>
      <c r="D131" s="3206" t="s">
        <v>3157</v>
      </c>
      <c r="E131" s="3227">
        <v>0.1</v>
      </c>
      <c r="F131" s="3226">
        <v>15</v>
      </c>
    </row>
    <row r="132" spans="1:6" ht="24">
      <c r="A132" s="3226">
        <v>60</v>
      </c>
      <c r="B132" s="3557" t="s">
        <v>3158</v>
      </c>
      <c r="C132" s="3226" t="s">
        <v>3159</v>
      </c>
      <c r="D132" s="3206" t="s">
        <v>3160</v>
      </c>
      <c r="E132" s="3227">
        <v>0.1</v>
      </c>
      <c r="F132" s="3226">
        <v>15</v>
      </c>
    </row>
    <row r="133" spans="1:6" ht="24">
      <c r="A133" s="3226">
        <v>61</v>
      </c>
      <c r="B133" s="3561"/>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2" t="s">
        <v>3166</v>
      </c>
      <c r="C135" s="3226" t="s">
        <v>3167</v>
      </c>
      <c r="D135" s="3206" t="s">
        <v>3168</v>
      </c>
      <c r="E135" s="3227">
        <v>0.1</v>
      </c>
      <c r="F135" s="3226">
        <v>15</v>
      </c>
    </row>
    <row r="136" spans="1:6" ht="24">
      <c r="A136" s="3226">
        <v>64</v>
      </c>
      <c r="B136" s="3562"/>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4"/>
      <c r="G1" s="2974"/>
      <c r="H1" s="2974"/>
      <c r="I1" s="2974"/>
      <c r="J1" s="2974"/>
      <c r="K1" s="2974"/>
      <c r="L1" s="2974"/>
      <c r="M1" s="2974"/>
      <c r="N1" s="2974"/>
      <c r="O1" s="2974"/>
      <c r="P1" s="2974"/>
    </row>
    <row r="2" spans="1:16" ht="15.6">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6">
      <c r="A3" s="2312" t="s">
        <v>2575</v>
      </c>
      <c r="B3" s="2778" t="e">
        <f ca="1">ROUND(B2*10000/E2,0)</f>
        <v>#DIV/0!</v>
      </c>
      <c r="C3" s="2312" t="s">
        <v>2581</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2576</v>
      </c>
      <c r="B5" s="2786" t="s">
        <v>2577</v>
      </c>
      <c r="C5" s="2313"/>
      <c r="D5" s="2974"/>
      <c r="E5" s="2787" t="s">
        <v>2578</v>
      </c>
      <c r="F5" s="2974"/>
      <c r="G5" s="2974"/>
      <c r="H5" s="2974"/>
      <c r="I5" s="2974"/>
      <c r="J5" s="2974"/>
      <c r="K5" s="2974"/>
      <c r="L5" s="2974"/>
      <c r="M5" s="2974"/>
      <c r="N5" s="2974"/>
      <c r="O5" s="2974"/>
      <c r="P5" s="2974"/>
    </row>
    <row r="6" spans="1:16" ht="15.6">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7.399999999999999">
      <c r="A3" s="3243" t="str">
        <f>IF(项目基本情况!B9="房地产市场价值","估价结果一览表（市场价值不需“结果表-1”）","估价结果一览表")</f>
        <v>估价结果一览表</v>
      </c>
      <c r="B3" s="3243"/>
      <c r="C3" s="3243"/>
      <c r="D3" s="3243"/>
      <c r="E3" s="3243"/>
    </row>
    <row r="4" spans="1:5" ht="18" thickBot="1">
      <c r="A4" s="1629"/>
      <c r="B4" s="3241" t="s">
        <v>1354</v>
      </c>
      <c r="C4" s="3241"/>
      <c r="D4" s="3241"/>
      <c r="E4" s="1629"/>
    </row>
    <row r="5" spans="1:5" ht="16.2" thickTop="1">
      <c r="A5" s="1627"/>
      <c r="B5" s="3239" t="s">
        <v>1346</v>
      </c>
      <c r="C5" s="1630" t="s">
        <v>1347</v>
      </c>
      <c r="D5" s="940" t="e">
        <f ca="1">结果表!H101</f>
        <v>#REF!</v>
      </c>
      <c r="E5" s="1627"/>
    </row>
    <row r="6" spans="1:5" ht="15.6">
      <c r="A6" s="1627"/>
      <c r="B6" s="3239"/>
      <c r="C6" s="1630" t="s">
        <v>1348</v>
      </c>
      <c r="D6" s="940" t="e">
        <f ca="1">NUMBERSTRING(INT(D5*10000),2)&amp;"元整"</f>
        <v>#REF!</v>
      </c>
      <c r="E6" s="1627"/>
    </row>
    <row r="7" spans="1:5" ht="15.6">
      <c r="A7" s="1627"/>
      <c r="B7" s="3244"/>
      <c r="C7" s="1631" t="s">
        <v>1349</v>
      </c>
      <c r="D7" s="941" t="e">
        <f ca="1">结果表!H102</f>
        <v>#REF!</v>
      </c>
      <c r="E7" s="1627"/>
    </row>
    <row r="8" spans="1:5" ht="15.6">
      <c r="A8" s="1627"/>
      <c r="B8" s="3245" t="str">
        <f>结果表!E103</f>
        <v>2.估价师知悉的法定优先受偿款</v>
      </c>
      <c r="C8" s="1632" t="s">
        <v>1350</v>
      </c>
      <c r="D8" s="941">
        <f>结果表!H103</f>
        <v>0</v>
      </c>
      <c r="E8" s="1627"/>
    </row>
    <row r="9" spans="1:5" ht="15.6">
      <c r="A9" s="1627"/>
      <c r="B9" s="3247"/>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8" t="str">
        <f>结果表!E107</f>
        <v>3.房地产抵押价值</v>
      </c>
      <c r="C13" s="1635" t="s">
        <v>1347</v>
      </c>
      <c r="D13" s="943" t="e">
        <f ca="1">结果表!H107</f>
        <v>#REF!</v>
      </c>
      <c r="E13" s="1627"/>
    </row>
    <row r="14" spans="1:5" ht="15.6">
      <c r="A14" s="1627"/>
      <c r="B14" s="3239"/>
      <c r="C14" s="1630" t="s">
        <v>1348</v>
      </c>
      <c r="D14" s="940" t="e">
        <f ca="1">NUMBERSTRING(INT(D13*10000),2)&amp;"元整"</f>
        <v>#REF!</v>
      </c>
      <c r="E14" s="1627"/>
    </row>
    <row r="15" spans="1:5" ht="15.6">
      <c r="A15" s="1627"/>
      <c r="B15" s="3244"/>
      <c r="C15" s="1631" t="s">
        <v>1358</v>
      </c>
      <c r="D15" s="949" t="e">
        <f ca="1">结果表!H108</f>
        <v>#REF!</v>
      </c>
      <c r="E15" s="1627"/>
    </row>
    <row r="16" spans="1:5" ht="15.6">
      <c r="A16" s="1627"/>
      <c r="B16" s="3245" t="str">
        <f>结果表!E109</f>
        <v>——</v>
      </c>
      <c r="C16" s="1635" t="s">
        <v>1359</v>
      </c>
      <c r="D16" s="1636" t="str">
        <f>结果表!H109</f>
        <v>——</v>
      </c>
      <c r="E16" s="1627"/>
    </row>
    <row r="17" spans="1:5" ht="15.6">
      <c r="A17" s="1627"/>
      <c r="B17" s="3246"/>
      <c r="C17" s="1630" t="s">
        <v>1360</v>
      </c>
      <c r="D17" s="940" t="e">
        <f>NUMBERSTRING(INT(D16*10000),2)&amp;"元整"</f>
        <v>#VALUE!</v>
      </c>
      <c r="E17" s="1627"/>
    </row>
    <row r="18" spans="1:5" ht="15.6">
      <c r="A18" s="1627"/>
      <c r="B18" s="3247"/>
      <c r="C18" s="1631" t="s">
        <v>1349</v>
      </c>
      <c r="D18" s="949" t="str">
        <f>结果表!H110</f>
        <v>——</v>
      </c>
      <c r="E18" s="1627"/>
    </row>
    <row r="19" spans="1:5" ht="15.6">
      <c r="A19" s="1627"/>
      <c r="B19" s="3238" t="str">
        <f>结果表!E111</f>
        <v>——</v>
      </c>
      <c r="C19" s="1635" t="s">
        <v>1347</v>
      </c>
      <c r="D19" s="941" t="str">
        <f>结果表!H111</f>
        <v>——</v>
      </c>
      <c r="E19" s="1627"/>
    </row>
    <row r="20" spans="1:5" ht="15.6">
      <c r="A20" s="1627"/>
      <c r="B20" s="3239"/>
      <c r="C20" s="1630" t="s">
        <v>1360</v>
      </c>
      <c r="D20" s="940" t="e">
        <f>NUMBERSTRING(INT(D19*10000),2)&amp;"元整"</f>
        <v>#VALUE!</v>
      </c>
      <c r="E20" s="1627"/>
    </row>
    <row r="21" spans="1:5" ht="16.2" thickBot="1">
      <c r="A21" s="1627"/>
      <c r="B21" s="3240"/>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39195</v>
      </c>
      <c r="C2" s="2" t="s">
        <v>133</v>
      </c>
      <c r="D2" s="205"/>
      <c r="E2" s="205"/>
      <c r="F2" s="205"/>
      <c r="G2" s="205"/>
    </row>
    <row r="3" spans="1:7" s="206" customFormat="1" ht="18" customHeight="1" thickBot="1">
      <c r="A3" s="209" t="s">
        <v>85</v>
      </c>
      <c r="B3" s="210">
        <f ca="1">ROUND(B2*10000/'数据-汇总表'!E3,0)</f>
        <v>16374</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12481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11485</v>
      </c>
      <c r="D34" s="223"/>
      <c r="E34" s="226"/>
      <c r="F34" s="263">
        <f>IF('数据-取费表'!B24=0,1,'数据-取费表'!N16)</f>
        <v>1</v>
      </c>
      <c r="G34" s="225" t="s">
        <v>116</v>
      </c>
    </row>
    <row r="35" spans="1:7" ht="13.5" customHeight="1">
      <c r="A35" s="869" t="s">
        <v>615</v>
      </c>
      <c r="B35" s="221" t="s">
        <v>60</v>
      </c>
      <c r="C35" s="226">
        <f>ROUND(C34*F35,0)</f>
        <v>345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172</v>
      </c>
      <c r="D38" s="226"/>
      <c r="E38" s="226"/>
      <c r="F38" s="265">
        <f>'数据-取费表'!B36</f>
        <v>1.4999999999999999E-2</v>
      </c>
      <c r="G38" s="225" t="s">
        <v>117</v>
      </c>
    </row>
    <row r="39" spans="1:7" s="220" customFormat="1" ht="13.5" customHeight="1">
      <c r="A39" s="866" t="s">
        <v>602</v>
      </c>
      <c r="B39" s="216" t="s">
        <v>104</v>
      </c>
      <c r="C39" s="238">
        <f>ROUND(C33*F20,0)</f>
        <v>250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535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524</v>
      </c>
      <c r="D42" s="244"/>
      <c r="E42" s="244"/>
      <c r="F42" s="245"/>
      <c r="G42" s="3426" t="s">
        <v>121</v>
      </c>
    </row>
    <row r="43" spans="1:7" ht="13.5" customHeight="1">
      <c r="A43" s="869" t="s">
        <v>611</v>
      </c>
      <c r="B43" s="221" t="s">
        <v>851</v>
      </c>
      <c r="C43" s="244">
        <f ca="1">ROUND(IF('数据-取费表'!B22&lt;=1,C39*F22*'数据-取费表'!B21/2,C39*(POWER((1+F22),'数据-取费表'!B21/2)-1)),0)</f>
        <v>11</v>
      </c>
      <c r="D43" s="244"/>
      <c r="E43" s="244"/>
      <c r="F43" s="245"/>
      <c r="G43" s="3427"/>
    </row>
    <row r="44" spans="1:7" ht="13.5" customHeight="1">
      <c r="A44" s="869" t="s">
        <v>612</v>
      </c>
      <c r="B44" s="221" t="s">
        <v>853</v>
      </c>
      <c r="C44" s="244">
        <f ca="1">ROUND(IF('数据-取费表'!B22&lt;=1,C40*F22*'数据-取费表'!B21/2,C40*(POWER((1+F22),'数据-取费表'!B21/2)-1)),4)</f>
        <v>8.0000000000000004E-4</v>
      </c>
      <c r="D44" s="244"/>
      <c r="E44" s="244"/>
      <c r="F44" s="245"/>
      <c r="G44" s="3428"/>
    </row>
    <row r="45" spans="1:7" s="220" customFormat="1" ht="13.5" customHeight="1">
      <c r="A45" s="866" t="s">
        <v>605</v>
      </c>
      <c r="B45" s="250" t="s">
        <v>112</v>
      </c>
      <c r="C45" s="251">
        <f>C46</f>
        <v>1273</v>
      </c>
      <c r="D45" s="241">
        <f>C47</f>
        <v>2E-3</v>
      </c>
      <c r="E45" s="242" t="s">
        <v>129</v>
      </c>
      <c r="F45" s="252"/>
      <c r="G45" s="253" t="s">
        <v>859</v>
      </c>
    </row>
    <row r="46" spans="1:7" s="220" customFormat="1" ht="13.5" customHeight="1">
      <c r="A46" s="869" t="s">
        <v>613</v>
      </c>
      <c r="B46" s="254" t="s">
        <v>852</v>
      </c>
      <c r="C46" s="255">
        <f>ROUND((C33+C39)*F27,0)</f>
        <v>1273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15721</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11634</v>
      </c>
      <c r="D51" s="238"/>
      <c r="E51" s="238"/>
      <c r="F51" s="270"/>
      <c r="G51" s="240" t="s">
        <v>64</v>
      </c>
    </row>
    <row r="52" spans="1:7" s="214" customFormat="1" ht="16.8" thickBot="1">
      <c r="A52" s="271" t="s">
        <v>65</v>
      </c>
      <c r="B52" s="272"/>
      <c r="C52" s="273">
        <f ca="1">C31+C51</f>
        <v>39195</v>
      </c>
      <c r="D52" s="272"/>
      <c r="E52" s="272"/>
      <c r="F52" s="272"/>
      <c r="G52" s="274"/>
    </row>
    <row r="55" spans="1:7" ht="15">
      <c r="B55" s="276" t="s">
        <v>66</v>
      </c>
      <c r="C55" s="277"/>
    </row>
    <row r="56" spans="1:7">
      <c r="B56" s="279" t="s">
        <v>67</v>
      </c>
      <c r="C56" s="280">
        <f ca="1">ROUND(C51/C52,3)</f>
        <v>0.29699999999999999</v>
      </c>
    </row>
    <row r="57" spans="1:7">
      <c r="B57" s="279" t="s">
        <v>68</v>
      </c>
      <c r="C57" s="281">
        <f ca="1">1-C56</f>
        <v>0.70300000000000007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0" t="s">
        <v>658</v>
      </c>
      <c r="B1" s="3580"/>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16"/>
  <sheetViews>
    <sheetView workbookViewId="0">
      <selection activeCell="E24" sqref="E24"/>
    </sheetView>
  </sheetViews>
  <sheetFormatPr defaultColWidth="8.88671875" defaultRowHeight="15.6"/>
  <cols>
    <col min="1" max="1" width="35.77734375" style="3233" customWidth="1"/>
    <col min="2" max="2" width="8.77734375" style="3233" customWidth="1"/>
    <col min="3" max="3" width="22.21875" style="3233" customWidth="1"/>
    <col min="4" max="4" width="14.21875" style="3233" customWidth="1"/>
    <col min="5" max="6" width="22.21875" style="3233" customWidth="1"/>
    <col min="7" max="7" width="11.109375" style="3233" customWidth="1"/>
    <col min="8" max="8" width="12.33203125" style="3233" customWidth="1"/>
    <col min="9" max="9" width="22.21875" style="3233" customWidth="1"/>
    <col min="10" max="10" width="13.6640625" style="3233" customWidth="1"/>
    <col min="11" max="11" width="10.44140625" style="3233" customWidth="1"/>
    <col min="12" max="12" width="22.21875" style="3233" customWidth="1"/>
    <col min="13" max="13" width="16.109375" style="3233" customWidth="1"/>
    <col min="14" max="14" width="15" style="3233" customWidth="1"/>
    <col min="15" max="15" width="22.21875" style="3233" customWidth="1"/>
    <col min="16" max="16" width="18.44140625" style="3233" customWidth="1"/>
    <col min="17" max="18" width="22.21875" style="3233" customWidth="1"/>
    <col min="19" max="16384" width="8.88671875" style="3233"/>
  </cols>
  <sheetData>
    <row r="1" spans="1:17">
      <c r="A1" s="3584" t="s">
        <v>3278</v>
      </c>
      <c r="B1" s="3584" t="s">
        <v>3277</v>
      </c>
      <c r="C1" s="3584" t="s">
        <v>3276</v>
      </c>
      <c r="D1" s="3584" t="s">
        <v>3275</v>
      </c>
      <c r="E1" s="3584" t="s">
        <v>3274</v>
      </c>
      <c r="F1" s="3584" t="s">
        <v>3273</v>
      </c>
      <c r="G1" s="3584" t="s">
        <v>3272</v>
      </c>
      <c r="H1" s="3584" t="s">
        <v>3271</v>
      </c>
      <c r="I1" s="3584" t="s">
        <v>3270</v>
      </c>
      <c r="J1" s="3584" t="s">
        <v>3269</v>
      </c>
      <c r="K1" s="3584" t="s">
        <v>3268</v>
      </c>
      <c r="L1" s="3584" t="s">
        <v>3267</v>
      </c>
      <c r="M1" s="3584" t="s">
        <v>3266</v>
      </c>
      <c r="N1" s="3584" t="s">
        <v>3265</v>
      </c>
      <c r="O1" s="3584" t="s">
        <v>3264</v>
      </c>
      <c r="P1" s="3584" t="s">
        <v>3263</v>
      </c>
      <c r="Q1" s="3584" t="s">
        <v>3281</v>
      </c>
    </row>
    <row r="2" spans="1:17" s="3234" customFormat="1">
      <c r="A2" s="3585" t="s">
        <v>3262</v>
      </c>
      <c r="B2" s="3585" t="s">
        <v>3176</v>
      </c>
      <c r="C2" s="3585" t="s">
        <v>3261</v>
      </c>
      <c r="D2" s="3585" t="s">
        <v>3211</v>
      </c>
      <c r="E2" s="3585">
        <v>21090.2</v>
      </c>
      <c r="F2" s="3585">
        <v>22144.7</v>
      </c>
      <c r="G2" s="3585">
        <v>1.54</v>
      </c>
      <c r="H2" s="3585" t="s">
        <v>3210</v>
      </c>
      <c r="I2" s="3585" t="s">
        <v>3260</v>
      </c>
      <c r="J2" s="3586">
        <v>44671.000497685185</v>
      </c>
      <c r="K2" s="3585" t="s">
        <v>3208</v>
      </c>
      <c r="L2" s="3585" t="s">
        <v>3259</v>
      </c>
      <c r="M2" s="3585">
        <v>2163.09</v>
      </c>
      <c r="N2" s="3585">
        <v>540.77</v>
      </c>
      <c r="O2" s="3585">
        <v>2163.09</v>
      </c>
      <c r="P2" s="3585">
        <v>977</v>
      </c>
      <c r="Q2" s="3585">
        <f>ROUND(O2*10000/E2,0)</f>
        <v>1026</v>
      </c>
    </row>
    <row r="3" spans="1:17" s="3234" customFormat="1">
      <c r="A3" s="3585" t="s">
        <v>3258</v>
      </c>
      <c r="B3" s="3585" t="s">
        <v>3176</v>
      </c>
      <c r="C3" s="3585" t="s">
        <v>3257</v>
      </c>
      <c r="D3" s="3585" t="s">
        <v>3211</v>
      </c>
      <c r="E3" s="3585">
        <v>718046.1</v>
      </c>
      <c r="F3" s="3585">
        <v>646241.49</v>
      </c>
      <c r="G3" s="3585">
        <v>0.9</v>
      </c>
      <c r="H3" s="3585" t="s">
        <v>3210</v>
      </c>
      <c r="I3" s="3585" t="s">
        <v>3211</v>
      </c>
      <c r="J3" s="3586">
        <v>44671.000497685185</v>
      </c>
      <c r="K3" s="3585" t="s">
        <v>3208</v>
      </c>
      <c r="L3" s="3585" t="s">
        <v>3256</v>
      </c>
      <c r="M3" s="3585">
        <v>61033.919999999998</v>
      </c>
      <c r="N3" s="3585">
        <v>12300</v>
      </c>
      <c r="O3" s="3585">
        <v>61033.919999999998</v>
      </c>
      <c r="P3" s="3585">
        <v>944</v>
      </c>
      <c r="Q3" s="3234">
        <f t="shared" ref="Q3:Q16" si="0">ROUND(O3*10000/E3,0)</f>
        <v>850</v>
      </c>
    </row>
    <row r="4" spans="1:17">
      <c r="A4" s="3584" t="s">
        <v>3255</v>
      </c>
      <c r="B4" s="3584" t="s">
        <v>3176</v>
      </c>
      <c r="C4" s="3584" t="s">
        <v>3254</v>
      </c>
      <c r="D4" s="3584" t="s">
        <v>3211</v>
      </c>
      <c r="E4" s="3584">
        <v>54214.080000000002</v>
      </c>
      <c r="F4" s="3584">
        <v>108428.16</v>
      </c>
      <c r="G4" s="3584">
        <v>2</v>
      </c>
      <c r="H4" s="3584" t="s">
        <v>3210</v>
      </c>
      <c r="I4" s="3584" t="s">
        <v>3253</v>
      </c>
      <c r="J4" s="3587">
        <v>44642.000497685185</v>
      </c>
      <c r="K4" s="3584" t="s">
        <v>3208</v>
      </c>
      <c r="L4" s="3584" t="s">
        <v>3252</v>
      </c>
      <c r="M4" s="3584">
        <v>8793.52</v>
      </c>
      <c r="N4" s="3584">
        <v>1800</v>
      </c>
      <c r="O4" s="3584">
        <v>8793.52</v>
      </c>
      <c r="P4" s="3584">
        <v>811</v>
      </c>
      <c r="Q4" s="3234">
        <f t="shared" si="0"/>
        <v>1622</v>
      </c>
    </row>
    <row r="5" spans="1:17" s="3235" customFormat="1">
      <c r="A5" s="3588" t="s">
        <v>3251</v>
      </c>
      <c r="B5" s="3588" t="s">
        <v>3176</v>
      </c>
      <c r="C5" s="3588" t="s">
        <v>3250</v>
      </c>
      <c r="D5" s="3588" t="s">
        <v>3211</v>
      </c>
      <c r="E5" s="3588">
        <v>76366.38</v>
      </c>
      <c r="F5" s="3588">
        <v>114549.57</v>
      </c>
      <c r="G5" s="3588">
        <v>1.5</v>
      </c>
      <c r="H5" s="3588" t="s">
        <v>3210</v>
      </c>
      <c r="I5" s="3588" t="s">
        <v>3211</v>
      </c>
      <c r="J5" s="3589">
        <v>44630.000497685185</v>
      </c>
      <c r="K5" s="3588" t="s">
        <v>3208</v>
      </c>
      <c r="L5" s="3588" t="s">
        <v>3249</v>
      </c>
      <c r="M5" s="3588">
        <v>11431.52</v>
      </c>
      <c r="N5" s="3588">
        <v>2500</v>
      </c>
      <c r="O5" s="3588">
        <v>11431.52</v>
      </c>
      <c r="P5" s="3588">
        <v>998</v>
      </c>
      <c r="Q5" s="3235">
        <f t="shared" si="0"/>
        <v>1497</v>
      </c>
    </row>
    <row r="6" spans="1:17">
      <c r="A6" s="3584" t="s">
        <v>3248</v>
      </c>
      <c r="B6" s="3584" t="s">
        <v>3176</v>
      </c>
      <c r="C6" s="3584" t="s">
        <v>3247</v>
      </c>
      <c r="D6" s="3584" t="s">
        <v>3211</v>
      </c>
      <c r="E6" s="3584">
        <v>40148.6</v>
      </c>
      <c r="F6" s="3584">
        <v>60222.9</v>
      </c>
      <c r="G6" s="3584">
        <v>1.5</v>
      </c>
      <c r="H6" s="3584" t="s">
        <v>3210</v>
      </c>
      <c r="I6" s="3584" t="s">
        <v>3221</v>
      </c>
      <c r="J6" s="3587">
        <v>44600.000497685185</v>
      </c>
      <c r="K6" s="3584" t="s">
        <v>3208</v>
      </c>
      <c r="L6" s="3584" t="s">
        <v>3246</v>
      </c>
      <c r="M6" s="3584">
        <v>3438.73</v>
      </c>
      <c r="N6" s="3584">
        <v>859.68</v>
      </c>
      <c r="O6" s="3584">
        <v>3438.73</v>
      </c>
      <c r="P6" s="3584">
        <v>571</v>
      </c>
      <c r="Q6" s="3234">
        <f t="shared" si="0"/>
        <v>857</v>
      </c>
    </row>
    <row r="7" spans="1:17">
      <c r="A7" s="3584" t="s">
        <v>3245</v>
      </c>
      <c r="B7" s="3584" t="s">
        <v>3176</v>
      </c>
      <c r="C7" s="3584" t="s">
        <v>3244</v>
      </c>
      <c r="D7" s="3584" t="s">
        <v>3211</v>
      </c>
      <c r="E7" s="3584">
        <v>19333.34</v>
      </c>
      <c r="F7" s="3584">
        <v>38666.69</v>
      </c>
      <c r="G7" s="3584">
        <v>2</v>
      </c>
      <c r="H7" s="3584" t="s">
        <v>3210</v>
      </c>
      <c r="I7" s="3584" t="s">
        <v>3243</v>
      </c>
      <c r="J7" s="3587">
        <v>44561.000497685185</v>
      </c>
      <c r="K7" s="3584" t="s">
        <v>3208</v>
      </c>
      <c r="L7" s="3584" t="s">
        <v>3242</v>
      </c>
      <c r="M7" s="3584">
        <v>3477.1</v>
      </c>
      <c r="N7" s="3584">
        <v>700</v>
      </c>
      <c r="O7" s="3584">
        <v>3477.1</v>
      </c>
      <c r="P7" s="3584">
        <v>899</v>
      </c>
      <c r="Q7" s="3234">
        <f t="shared" si="0"/>
        <v>1798</v>
      </c>
    </row>
    <row r="8" spans="1:17">
      <c r="A8" s="3584" t="s">
        <v>3241</v>
      </c>
      <c r="B8" s="3584" t="s">
        <v>3176</v>
      </c>
      <c r="C8" s="3584" t="s">
        <v>3240</v>
      </c>
      <c r="D8" s="3584" t="s">
        <v>3211</v>
      </c>
      <c r="E8" s="3584">
        <v>95015.4</v>
      </c>
      <c r="F8" s="3584">
        <v>180529.26</v>
      </c>
      <c r="G8" s="3584">
        <v>1.9</v>
      </c>
      <c r="H8" s="3584" t="s">
        <v>3210</v>
      </c>
      <c r="I8" s="3584" t="s">
        <v>3239</v>
      </c>
      <c r="J8" s="3587">
        <v>44554.000497685185</v>
      </c>
      <c r="K8" s="3584" t="s">
        <v>3208</v>
      </c>
      <c r="L8" s="3584" t="s">
        <v>3238</v>
      </c>
      <c r="M8" s="3584">
        <v>10308.219999999999</v>
      </c>
      <c r="N8" s="3584">
        <v>2577.06</v>
      </c>
      <c r="O8" s="3584">
        <v>10308.219999999999</v>
      </c>
      <c r="P8" s="3584">
        <v>571</v>
      </c>
      <c r="Q8" s="3234">
        <f t="shared" si="0"/>
        <v>1085</v>
      </c>
    </row>
    <row r="9" spans="1:17">
      <c r="A9" s="3584" t="s">
        <v>3237</v>
      </c>
      <c r="B9" s="3584" t="s">
        <v>3176</v>
      </c>
      <c r="C9" s="3584" t="s">
        <v>3236</v>
      </c>
      <c r="D9" s="3584" t="s">
        <v>3211</v>
      </c>
      <c r="E9" s="3584">
        <v>23200</v>
      </c>
      <c r="F9" s="3584">
        <v>32480</v>
      </c>
      <c r="G9" s="3584">
        <v>1.4</v>
      </c>
      <c r="H9" s="3584" t="s">
        <v>3235</v>
      </c>
      <c r="I9" s="3584" t="s">
        <v>3221</v>
      </c>
      <c r="J9" s="3587">
        <v>44487.000497685185</v>
      </c>
      <c r="K9" s="3584" t="s">
        <v>3208</v>
      </c>
      <c r="L9" s="3584" t="s">
        <v>3234</v>
      </c>
      <c r="M9" s="3584">
        <v>2150.1799999999998</v>
      </c>
      <c r="N9" s="3584">
        <v>440</v>
      </c>
      <c r="O9" s="3584">
        <v>2150.1799999999998</v>
      </c>
      <c r="P9" s="3584">
        <v>662</v>
      </c>
      <c r="Q9" s="3234">
        <f t="shared" si="0"/>
        <v>927</v>
      </c>
    </row>
    <row r="10" spans="1:17">
      <c r="A10" s="3584" t="s">
        <v>3233</v>
      </c>
      <c r="B10" s="3584" t="s">
        <v>3176</v>
      </c>
      <c r="C10" s="3584" t="s">
        <v>3232</v>
      </c>
      <c r="D10" s="3584" t="s">
        <v>3211</v>
      </c>
      <c r="E10" s="3584">
        <v>57488.82</v>
      </c>
      <c r="F10" s="3584">
        <v>86233.23</v>
      </c>
      <c r="G10" s="3584" t="s">
        <v>3231</v>
      </c>
      <c r="H10" s="3584" t="s">
        <v>3210</v>
      </c>
      <c r="I10" s="3584" t="s">
        <v>3221</v>
      </c>
      <c r="J10" s="3587">
        <v>44480.000497685185</v>
      </c>
      <c r="K10" s="3584" t="s">
        <v>3208</v>
      </c>
      <c r="L10" s="3584" t="s">
        <v>3230</v>
      </c>
      <c r="M10" s="3584">
        <v>7835.68</v>
      </c>
      <c r="N10" s="3584">
        <v>1600</v>
      </c>
      <c r="O10" s="3584">
        <v>7835.68</v>
      </c>
      <c r="P10" s="3584">
        <v>909</v>
      </c>
      <c r="Q10" s="3234">
        <f t="shared" si="0"/>
        <v>1363</v>
      </c>
    </row>
    <row r="11" spans="1:17">
      <c r="A11" s="3584" t="s">
        <v>3229</v>
      </c>
      <c r="B11" s="3584" t="s">
        <v>3176</v>
      </c>
      <c r="C11" s="3584" t="s">
        <v>3228</v>
      </c>
      <c r="D11" s="3584" t="s">
        <v>3211</v>
      </c>
      <c r="E11" s="3584">
        <v>7422.43</v>
      </c>
      <c r="F11" s="3584">
        <v>5937.95</v>
      </c>
      <c r="G11" s="3584" t="s">
        <v>3227</v>
      </c>
      <c r="H11" s="3584" t="s">
        <v>3210</v>
      </c>
      <c r="I11" s="3584" t="s">
        <v>3221</v>
      </c>
      <c r="J11" s="3587">
        <v>44480.000497685185</v>
      </c>
      <c r="K11" s="3584" t="s">
        <v>3208</v>
      </c>
      <c r="L11" s="3584" t="s">
        <v>3220</v>
      </c>
      <c r="M11" s="3584">
        <v>844.63</v>
      </c>
      <c r="N11" s="3584">
        <v>170</v>
      </c>
      <c r="O11" s="3584">
        <v>844.63</v>
      </c>
      <c r="P11" s="3584">
        <v>1422</v>
      </c>
      <c r="Q11" s="3234">
        <f t="shared" si="0"/>
        <v>1138</v>
      </c>
    </row>
    <row r="12" spans="1:17">
      <c r="A12" s="3584" t="s">
        <v>3226</v>
      </c>
      <c r="B12" s="3584" t="s">
        <v>3176</v>
      </c>
      <c r="C12" s="3584" t="s">
        <v>3225</v>
      </c>
      <c r="D12" s="3584" t="s">
        <v>3211</v>
      </c>
      <c r="E12" s="3584">
        <v>23652.31</v>
      </c>
      <c r="F12" s="3584">
        <v>23652.31</v>
      </c>
      <c r="G12" s="3584">
        <v>1</v>
      </c>
      <c r="H12" s="3584" t="s">
        <v>3210</v>
      </c>
      <c r="I12" s="3584" t="s">
        <v>3221</v>
      </c>
      <c r="J12" s="3587">
        <v>44480.000497685185</v>
      </c>
      <c r="K12" s="3584" t="s">
        <v>3208</v>
      </c>
      <c r="L12" s="3584" t="s">
        <v>3224</v>
      </c>
      <c r="M12" s="3584">
        <v>2689.6</v>
      </c>
      <c r="N12" s="3584">
        <v>550</v>
      </c>
      <c r="O12" s="3584">
        <v>2689.6</v>
      </c>
      <c r="P12" s="3584">
        <v>1137</v>
      </c>
      <c r="Q12" s="3234">
        <f t="shared" si="0"/>
        <v>1137</v>
      </c>
    </row>
    <row r="13" spans="1:17">
      <c r="A13" s="3584" t="s">
        <v>3223</v>
      </c>
      <c r="B13" s="3584" t="s">
        <v>3176</v>
      </c>
      <c r="C13" s="3584" t="s">
        <v>3222</v>
      </c>
      <c r="D13" s="3584" t="s">
        <v>3211</v>
      </c>
      <c r="E13" s="3584">
        <v>23170.400000000001</v>
      </c>
      <c r="F13" s="3584">
        <v>23170.400000000001</v>
      </c>
      <c r="G13" s="3584">
        <v>1</v>
      </c>
      <c r="H13" s="3584" t="s">
        <v>3210</v>
      </c>
      <c r="I13" s="3584" t="s">
        <v>3221</v>
      </c>
      <c r="J13" s="3587">
        <v>44480.000497685185</v>
      </c>
      <c r="K13" s="3584" t="s">
        <v>3208</v>
      </c>
      <c r="L13" s="3584" t="s">
        <v>3220</v>
      </c>
      <c r="M13" s="3584">
        <v>2632.78</v>
      </c>
      <c r="N13" s="3584">
        <v>530</v>
      </c>
      <c r="O13" s="3584">
        <v>2632.78</v>
      </c>
      <c r="P13" s="3584">
        <v>1136</v>
      </c>
      <c r="Q13" s="3234">
        <f t="shared" si="0"/>
        <v>1136</v>
      </c>
    </row>
    <row r="14" spans="1:17">
      <c r="A14" s="3584" t="s">
        <v>3219</v>
      </c>
      <c r="B14" s="3584" t="s">
        <v>3176</v>
      </c>
      <c r="C14" s="3584" t="s">
        <v>3218</v>
      </c>
      <c r="D14" s="3584" t="s">
        <v>3211</v>
      </c>
      <c r="E14" s="3584">
        <v>82052.600000000006</v>
      </c>
      <c r="F14" s="3584">
        <v>155899.94</v>
      </c>
      <c r="G14" s="3584">
        <v>1.9</v>
      </c>
      <c r="H14" s="3584" t="s">
        <v>3210</v>
      </c>
      <c r="I14" s="3584" t="s">
        <v>3211</v>
      </c>
      <c r="J14" s="3587">
        <v>44466.000497685185</v>
      </c>
      <c r="K14" s="3584" t="s">
        <v>3208</v>
      </c>
      <c r="L14" s="3584" t="s">
        <v>3217</v>
      </c>
      <c r="M14" s="3584">
        <v>16837.189999999999</v>
      </c>
      <c r="N14" s="3584">
        <v>3400</v>
      </c>
      <c r="O14" s="3584">
        <v>16837.189999999999</v>
      </c>
      <c r="P14" s="3584">
        <v>1080</v>
      </c>
      <c r="Q14" s="3234">
        <f t="shared" si="0"/>
        <v>2052</v>
      </c>
    </row>
    <row r="15" spans="1:17" s="3234" customFormat="1">
      <c r="A15" s="3585" t="s">
        <v>3216</v>
      </c>
      <c r="B15" s="3585" t="s">
        <v>3176</v>
      </c>
      <c r="C15" s="3585" t="s">
        <v>3215</v>
      </c>
      <c r="D15" s="3585" t="s">
        <v>3211</v>
      </c>
      <c r="E15" s="3585">
        <v>7844</v>
      </c>
      <c r="F15" s="3585">
        <v>11766</v>
      </c>
      <c r="G15" s="3585">
        <v>1.5</v>
      </c>
      <c r="H15" s="3585" t="s">
        <v>3210</v>
      </c>
      <c r="I15" s="3585" t="s">
        <v>3211</v>
      </c>
      <c r="J15" s="3586">
        <v>44466.000497685185</v>
      </c>
      <c r="K15" s="3585" t="s">
        <v>3208</v>
      </c>
      <c r="L15" s="3585" t="s">
        <v>3214</v>
      </c>
      <c r="M15" s="3585">
        <v>854.21</v>
      </c>
      <c r="N15" s="3585">
        <v>213.55</v>
      </c>
      <c r="O15" s="3585">
        <v>854.21</v>
      </c>
      <c r="P15" s="3585">
        <v>726</v>
      </c>
      <c r="Q15" s="3234">
        <f t="shared" si="0"/>
        <v>1089</v>
      </c>
    </row>
    <row r="16" spans="1:17">
      <c r="A16" s="3584" t="s">
        <v>3213</v>
      </c>
      <c r="B16" s="3584" t="s">
        <v>3176</v>
      </c>
      <c r="C16" s="3584" t="s">
        <v>3212</v>
      </c>
      <c r="D16" s="3584" t="s">
        <v>3211</v>
      </c>
      <c r="E16" s="3584">
        <v>49454.7</v>
      </c>
      <c r="F16" s="3584">
        <v>98909.1</v>
      </c>
      <c r="G16" s="3584">
        <v>2</v>
      </c>
      <c r="H16" s="3584" t="s">
        <v>3210</v>
      </c>
      <c r="I16" s="3584" t="s">
        <v>3209</v>
      </c>
      <c r="J16" s="3587">
        <v>44454.000497685185</v>
      </c>
      <c r="K16" s="3584" t="s">
        <v>3208</v>
      </c>
      <c r="L16" s="3584" t="s">
        <v>3207</v>
      </c>
      <c r="M16" s="3584">
        <v>6448.89</v>
      </c>
      <c r="N16" s="3584">
        <v>1612.22</v>
      </c>
      <c r="O16" s="3584">
        <v>6448.89</v>
      </c>
      <c r="P16" s="3584">
        <v>652</v>
      </c>
      <c r="Q16" s="3234">
        <f t="shared" si="0"/>
        <v>1304</v>
      </c>
    </row>
  </sheetData>
  <mergeCells count="258">
    <mergeCell ref="A16"/>
    <mergeCell ref="B16"/>
    <mergeCell ref="C16"/>
    <mergeCell ref="D16"/>
    <mergeCell ref="E16"/>
    <mergeCell ref="F16"/>
    <mergeCell ref="G16"/>
    <mergeCell ref="H16"/>
    <mergeCell ref="L15"/>
    <mergeCell ref="M15"/>
    <mergeCell ref="M16"/>
    <mergeCell ref="N16"/>
    <mergeCell ref="O16"/>
    <mergeCell ref="P16"/>
    <mergeCell ref="I16"/>
    <mergeCell ref="J16"/>
    <mergeCell ref="K16"/>
    <mergeCell ref="L16"/>
    <mergeCell ref="P15"/>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P14"/>
    <mergeCell ref="J13"/>
    <mergeCell ref="K13"/>
    <mergeCell ref="L13"/>
    <mergeCell ref="M13"/>
    <mergeCell ref="N13"/>
    <mergeCell ref="K14"/>
    <mergeCell ref="L14"/>
    <mergeCell ref="M14"/>
    <mergeCell ref="N14"/>
    <mergeCell ref="O14"/>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L11"/>
    <mergeCell ref="M11"/>
    <mergeCell ref="M12"/>
    <mergeCell ref="N12"/>
    <mergeCell ref="O12"/>
    <mergeCell ref="P12"/>
    <mergeCell ref="I12"/>
    <mergeCell ref="J12"/>
    <mergeCell ref="K12"/>
    <mergeCell ref="L12"/>
    <mergeCell ref="P11"/>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P10"/>
    <mergeCell ref="J9"/>
    <mergeCell ref="K9"/>
    <mergeCell ref="L9"/>
    <mergeCell ref="M9"/>
    <mergeCell ref="N9"/>
    <mergeCell ref="K10"/>
    <mergeCell ref="L10"/>
    <mergeCell ref="M10"/>
    <mergeCell ref="N10"/>
    <mergeCell ref="O10"/>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L7"/>
    <mergeCell ref="M7"/>
    <mergeCell ref="M8"/>
    <mergeCell ref="N8"/>
    <mergeCell ref="O8"/>
    <mergeCell ref="P8"/>
    <mergeCell ref="I8"/>
    <mergeCell ref="J8"/>
    <mergeCell ref="K8"/>
    <mergeCell ref="L8"/>
    <mergeCell ref="P7"/>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P6"/>
    <mergeCell ref="J5"/>
    <mergeCell ref="K5"/>
    <mergeCell ref="L5"/>
    <mergeCell ref="M5"/>
    <mergeCell ref="N5"/>
    <mergeCell ref="K6"/>
    <mergeCell ref="L6"/>
    <mergeCell ref="M6"/>
    <mergeCell ref="N6"/>
    <mergeCell ref="O6"/>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K3"/>
    <mergeCell ref="L3"/>
    <mergeCell ref="M3"/>
    <mergeCell ref="M4"/>
    <mergeCell ref="N4"/>
    <mergeCell ref="O4"/>
    <mergeCell ref="P4"/>
    <mergeCell ref="I4"/>
    <mergeCell ref="J4"/>
    <mergeCell ref="K4"/>
    <mergeCell ref="L4"/>
    <mergeCell ref="P3"/>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P2"/>
    <mergeCell ref="Q2"/>
    <mergeCell ref="J1"/>
    <mergeCell ref="K1"/>
    <mergeCell ref="L1"/>
    <mergeCell ref="M1"/>
    <mergeCell ref="N1"/>
    <mergeCell ref="K2"/>
    <mergeCell ref="L2"/>
    <mergeCell ref="M2"/>
    <mergeCell ref="N2"/>
    <mergeCell ref="O2"/>
    <mergeCell ref="O1"/>
    <mergeCell ref="A1"/>
    <mergeCell ref="B1"/>
    <mergeCell ref="C1"/>
    <mergeCell ref="D1"/>
    <mergeCell ref="E1"/>
    <mergeCell ref="F1"/>
    <mergeCell ref="G1"/>
    <mergeCell ref="H1"/>
    <mergeCell ref="I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1365</v>
      </c>
      <c r="B2" s="3249" t="s">
        <v>1366</v>
      </c>
      <c r="C2" s="3249" t="s">
        <v>1367</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50"/>
      <c r="B3" s="3250"/>
      <c r="C3" s="3250"/>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50" t="s">
        <v>1364</v>
      </c>
      <c r="B5" s="3250"/>
      <c r="C5" s="3250"/>
      <c r="D5" s="3251" t="e">
        <f ca="1">结果表!D119</f>
        <v>#REF!</v>
      </c>
      <c r="E5" s="3251"/>
      <c r="F5" s="3251" t="e">
        <f ca="1">结果表!F119</f>
        <v>#REF!</v>
      </c>
      <c r="G5" s="3251"/>
      <c r="H5" s="3251" t="e">
        <f ca="1">结果表!H119</f>
        <v>#REF!</v>
      </c>
      <c r="I5" s="3251"/>
    </row>
    <row r="6" spans="1:9" ht="15.6">
      <c r="A6" s="3252" t="str">
        <f>结果表!A120</f>
        <v>估价师知悉的法定优先受偿款</v>
      </c>
      <c r="B6" s="3252"/>
      <c r="C6" s="3252"/>
      <c r="D6" s="3252">
        <f>结果表!D120</f>
        <v>0</v>
      </c>
      <c r="E6" s="3252"/>
      <c r="F6" s="3252"/>
      <c r="G6" s="3252"/>
      <c r="H6" s="3252"/>
      <c r="I6" s="3252"/>
    </row>
    <row r="7" spans="1:9" ht="15">
      <c r="A7" s="3250" t="s">
        <v>1364</v>
      </c>
      <c r="B7" s="3250"/>
      <c r="C7" s="3250"/>
      <c r="D7" s="3253" t="str">
        <f>结果表!D121</f>
        <v>零元整</v>
      </c>
      <c r="E7" s="3254"/>
      <c r="F7" s="3254"/>
      <c r="G7" s="3254"/>
      <c r="H7" s="3254"/>
      <c r="I7" s="3255"/>
    </row>
    <row r="8" spans="1:9" ht="15.6">
      <c r="A8" s="3252" t="str">
        <f>结果表!A122</f>
        <v>房地产抵押价值</v>
      </c>
      <c r="B8" s="3252"/>
      <c r="C8" s="3252"/>
      <c r="D8" s="3252" t="e">
        <f ca="1">结果表!D122</f>
        <v>#REF!</v>
      </c>
      <c r="E8" s="3252"/>
      <c r="F8" s="3252"/>
      <c r="G8" s="3252"/>
      <c r="H8" s="3252"/>
      <c r="I8" s="3252"/>
    </row>
    <row r="9" spans="1:9" ht="15">
      <c r="A9" s="3250" t="s">
        <v>1364</v>
      </c>
      <c r="B9" s="3250"/>
      <c r="C9" s="3250"/>
      <c r="D9" s="3251" t="e">
        <f ca="1">结果表!D123</f>
        <v>#REF!</v>
      </c>
      <c r="E9" s="3251"/>
      <c r="F9" s="3251"/>
      <c r="G9" s="3251"/>
      <c r="H9" s="3251"/>
      <c r="I9" s="3251"/>
    </row>
    <row r="10" spans="1:9" ht="15.6">
      <c r="A10" s="3252" t="str">
        <f>结果表!A124</f>
        <v/>
      </c>
      <c r="B10" s="3252"/>
      <c r="C10" s="3252"/>
      <c r="D10" s="3252" t="str">
        <f>结果表!D124</f>
        <v>——</v>
      </c>
      <c r="E10" s="3252"/>
      <c r="F10" s="3252"/>
      <c r="G10" s="3252"/>
      <c r="H10" s="3252"/>
      <c r="I10" s="3252"/>
    </row>
    <row r="11" spans="1:9" ht="15">
      <c r="A11" s="3250" t="s">
        <v>1364</v>
      </c>
      <c r="B11" s="3250"/>
      <c r="C11" s="3250"/>
      <c r="D11" s="3251" t="e">
        <f>结果表!D125</f>
        <v>#VALUE!</v>
      </c>
      <c r="E11" s="3251"/>
      <c r="F11" s="3251"/>
      <c r="G11" s="3251"/>
      <c r="H11" s="3251"/>
      <c r="I11" s="3251"/>
    </row>
    <row r="12" spans="1:9" ht="15.6">
      <c r="A12" s="3252" t="str">
        <f>结果表!A126</f>
        <v/>
      </c>
      <c r="B12" s="3252"/>
      <c r="C12" s="3252"/>
      <c r="D12" s="3252" t="str">
        <f>结果表!D126</f>
        <v>——</v>
      </c>
      <c r="E12" s="3252"/>
      <c r="F12" s="3252"/>
      <c r="G12" s="3252"/>
      <c r="H12" s="3252"/>
      <c r="I12" s="3252"/>
    </row>
    <row r="13" spans="1:9" ht="15.6" thickBot="1">
      <c r="A13" s="3256" t="s">
        <v>1364</v>
      </c>
      <c r="B13" s="3256"/>
      <c r="C13" s="3256"/>
      <c r="D13" s="3257" t="e">
        <f>结果表!D127</f>
        <v>#VALUE!</v>
      </c>
      <c r="E13" s="3257"/>
      <c r="F13" s="3257"/>
      <c r="G13" s="3257"/>
      <c r="H13" s="3257"/>
      <c r="I13" s="3257"/>
    </row>
    <row r="14" spans="1:9" ht="14.4" thickTop="1">
      <c r="A14" s="3258" t="s">
        <v>1369</v>
      </c>
      <c r="B14" s="3258"/>
      <c r="C14" s="3258"/>
      <c r="D14" s="3258"/>
      <c r="E14" s="3258"/>
      <c r="F14" s="3258"/>
      <c r="G14" s="3258"/>
      <c r="H14" s="3258"/>
      <c r="I14" s="3258"/>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59" t="s">
        <v>1386</v>
      </c>
      <c r="B1" s="3259"/>
      <c r="C1" s="3259"/>
      <c r="D1" s="3259"/>
    </row>
    <row r="2" spans="1:4" ht="17.399999999999999">
      <c r="A2" s="3260" t="s">
        <v>1370</v>
      </c>
      <c r="B2" s="3260"/>
      <c r="C2" s="3260"/>
      <c r="D2" s="3260"/>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0" t="s">
        <v>1376</v>
      </c>
      <c r="B6" s="3260"/>
      <c r="C6" s="3260"/>
      <c r="D6" s="3260"/>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1" t="s">
        <v>1379</v>
      </c>
      <c r="B11" s="3262"/>
      <c r="C11" s="3262"/>
      <c r="D11" s="3262"/>
    </row>
    <row r="12" spans="1:4" ht="15.6">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v>
      </c>
      <c r="B15" s="3262"/>
      <c r="C15" s="3262"/>
      <c r="D15" s="3262"/>
    </row>
    <row r="16" spans="1:4" ht="30" customHeight="1">
      <c r="A16" s="3265" t="s">
        <v>1380</v>
      </c>
      <c r="B16" s="3265"/>
      <c r="C16" s="3265"/>
      <c r="D16" s="3265"/>
    </row>
    <row r="17" spans="1:4" ht="144" customHeight="1">
      <c r="A17" s="3265" t="s">
        <v>1381</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3" t="s">
        <v>1393</v>
      </c>
      <c r="B15" s="3268" t="s">
        <v>136</v>
      </c>
      <c r="C15" s="3269"/>
    </row>
    <row r="16" spans="1:7" ht="14.4">
      <c r="A16" s="3274"/>
      <c r="B16" s="3268" t="s">
        <v>69</v>
      </c>
      <c r="C16" s="3269"/>
    </row>
    <row r="17" spans="1:3" ht="14.4">
      <c r="A17" s="3274"/>
      <c r="B17" s="3271" t="s">
        <v>1394</v>
      </c>
      <c r="C17" s="1668" t="s">
        <v>1393</v>
      </c>
    </row>
    <row r="18" spans="1:3" ht="14.4">
      <c r="A18" s="3274"/>
      <c r="B18" s="3271"/>
      <c r="C18" s="1668" t="s">
        <v>1395</v>
      </c>
    </row>
    <row r="19" spans="1:3" ht="14.4">
      <c r="A19" s="3274"/>
      <c r="B19" s="3271"/>
      <c r="C19" s="1668" t="s">
        <v>1396</v>
      </c>
    </row>
    <row r="20" spans="1:3" ht="14.4">
      <c r="A20" s="3275"/>
      <c r="B20" s="3270" t="s">
        <v>1397</v>
      </c>
      <c r="C20" s="3269"/>
    </row>
    <row r="21" spans="1:3" ht="14.4">
      <c r="A21" s="1669" t="s">
        <v>1398</v>
      </c>
      <c r="B21" s="1670"/>
      <c r="C21" s="1671"/>
    </row>
    <row r="22" spans="1:3" ht="14.4">
      <c r="A22" s="3272" t="s">
        <v>1399</v>
      </c>
      <c r="B22" s="3270" t="s">
        <v>1400</v>
      </c>
      <c r="C22" s="3269"/>
    </row>
    <row r="23" spans="1:3" ht="14.4">
      <c r="A23" s="3272"/>
      <c r="B23" s="3270" t="s">
        <v>1401</v>
      </c>
      <c r="C23" s="3269"/>
    </row>
    <row r="24" spans="1:3" ht="14.4">
      <c r="A24" s="3272"/>
      <c r="B24" s="3270" t="s">
        <v>1402</v>
      </c>
      <c r="C24" s="3269"/>
    </row>
    <row r="25" spans="1:3" ht="14.4">
      <c r="A25" s="3272"/>
      <c r="B25" s="3271" t="s">
        <v>1403</v>
      </c>
      <c r="C25" s="1668" t="s">
        <v>1404</v>
      </c>
    </row>
    <row r="26" spans="1:3" ht="14.4">
      <c r="A26" s="3272"/>
      <c r="B26" s="3271"/>
      <c r="C26" s="1668" t="s">
        <v>1405</v>
      </c>
    </row>
    <row r="27" spans="1:3" ht="14.4">
      <c r="A27" s="3272"/>
      <c r="B27" s="3271"/>
      <c r="C27" s="1668" t="s">
        <v>1406</v>
      </c>
    </row>
    <row r="28" spans="1:3" ht="14.4">
      <c r="A28" s="3272"/>
      <c r="B28" s="3271"/>
      <c r="C28" s="1668" t="s">
        <v>1407</v>
      </c>
    </row>
    <row r="29" spans="1:3" ht="14.4">
      <c r="A29" s="3272"/>
      <c r="B29" s="3271"/>
      <c r="C29" s="1668" t="s">
        <v>1408</v>
      </c>
    </row>
    <row r="30" spans="1:3" ht="14.4">
      <c r="A30" s="3272"/>
      <c r="B30" s="3271"/>
      <c r="C30" s="1668" t="s">
        <v>1409</v>
      </c>
    </row>
    <row r="31" spans="1:3" ht="14.4">
      <c r="A31" s="3272"/>
      <c r="B31" s="3271"/>
      <c r="C31" s="1668" t="s">
        <v>1410</v>
      </c>
    </row>
    <row r="32" spans="1:3" ht="14.4">
      <c r="A32" s="3272"/>
      <c r="B32" s="3271"/>
      <c r="C32" s="1668" t="s">
        <v>1411</v>
      </c>
    </row>
    <row r="33" spans="1:3" ht="14.4">
      <c r="A33" s="3272"/>
      <c r="B33" s="3271"/>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7"/>
      <c r="E18" s="3278" t="s">
        <v>2662</v>
      </c>
      <c r="F18" s="3277"/>
      <c r="G18" s="32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2022-05-07T06:49:51Z</dcterms:modified>
</cp:coreProperties>
</file>