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12210" windowHeight="769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3" i="43" l="1"/>
  <c r="I24" i="43"/>
  <c r="U5" i="43" l="1"/>
  <c r="U4" i="43"/>
  <c r="U3" i="43"/>
  <c r="U2" i="43"/>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R35" i="77" s="1"/>
  <c r="U34" i="77" s="1"/>
  <c r="F36" i="77"/>
  <c r="R34" i="77"/>
  <c r="R33" i="77"/>
  <c r="C30" i="77"/>
  <c r="D29" i="77" s="1"/>
  <c r="R27" i="77"/>
  <c r="M24" i="77"/>
  <c r="R23" i="77"/>
  <c r="D23" i="77"/>
  <c r="D38" i="77"/>
  <c r="D39" i="77" s="1"/>
  <c r="C23" i="77"/>
  <c r="R22" i="77"/>
  <c r="R21" i="77"/>
  <c r="N19" i="77"/>
  <c r="R18" i="77"/>
  <c r="D18" i="77"/>
  <c r="R17" i="77"/>
  <c r="D17" i="77"/>
  <c r="R16" i="77"/>
  <c r="R19" i="77" s="1"/>
  <c r="D16" i="77"/>
  <c r="D15" i="77"/>
  <c r="N14" i="77"/>
  <c r="M14" i="77"/>
  <c r="D14" i="77"/>
  <c r="R13" i="77"/>
  <c r="R12" i="77"/>
  <c r="D12" i="77"/>
  <c r="R11" i="77"/>
  <c r="R10" i="77"/>
  <c r="D10" i="77"/>
  <c r="R9" i="77"/>
  <c r="D9" i="77"/>
  <c r="R8" i="77"/>
  <c r="R14" i="77" s="1"/>
  <c r="R7" i="77"/>
  <c r="R4" i="77"/>
  <c r="R3" i="77"/>
  <c r="E23" i="77"/>
  <c r="E26" i="77" s="1"/>
  <c r="D26"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F24" i="71" s="1"/>
  <c r="F23" i="71" s="1"/>
  <c r="P25" i="71"/>
  <c r="C25" i="71" s="1"/>
  <c r="R26" i="71"/>
  <c r="Q26" i="71"/>
  <c r="P26" i="71"/>
  <c r="O26" i="71"/>
  <c r="B25" i="71"/>
  <c r="B24" i="71" s="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K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s="1"/>
  <c r="F77" i="71"/>
  <c r="F76" i="71" s="1"/>
  <c r="F75" i="71" s="1"/>
  <c r="C77" i="71"/>
  <c r="B77" i="71"/>
  <c r="B76" i="71" s="1"/>
  <c r="B75" i="71" s="1"/>
  <c r="T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G52"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G36" i="71" s="1"/>
  <c r="Q34" i="71"/>
  <c r="F35" i="71" s="1"/>
  <c r="P34" i="71"/>
  <c r="O34" i="71"/>
  <c r="B35" i="71" s="1"/>
  <c r="D34" i="71"/>
  <c r="R33" i="71"/>
  <c r="Q33" i="71"/>
  <c r="P33" i="71"/>
  <c r="O33" i="71"/>
  <c r="R32" i="71"/>
  <c r="Q32" i="71"/>
  <c r="P32" i="71"/>
  <c r="O32" i="71"/>
  <c r="R31" i="71"/>
  <c r="Q31" i="71"/>
  <c r="P31" i="71"/>
  <c r="O31" i="71"/>
  <c r="R30" i="71"/>
  <c r="G31" i="71" s="1"/>
  <c r="G32" i="71" s="1"/>
  <c r="Q30" i="71"/>
  <c r="F31" i="71" s="1"/>
  <c r="F32" i="71" s="1"/>
  <c r="P30" i="71"/>
  <c r="C31" i="71" s="1"/>
  <c r="O30" i="71"/>
  <c r="D30" i="71"/>
  <c r="P29" i="71"/>
  <c r="C29" i="71" s="1"/>
  <c r="O29" i="71"/>
  <c r="B29" i="71" s="1"/>
  <c r="B31" i="71"/>
  <c r="C35" i="71"/>
  <c r="Q29" i="71"/>
  <c r="F29" i="71" s="1"/>
  <c r="V69" i="71"/>
  <c r="F68" i="71"/>
  <c r="Q68" i="71" s="1"/>
  <c r="R29" i="71"/>
  <c r="G29" i="71" s="1"/>
  <c r="G28" i="71" s="1"/>
  <c r="G27" i="71" s="1"/>
  <c r="U69" i="71"/>
  <c r="D69" i="71"/>
  <c r="F72" i="71"/>
  <c r="F71" i="71" s="1"/>
  <c r="C8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Z21" i="33"/>
  <c r="Q21" i="33"/>
  <c r="D83" i="33"/>
  <c r="E83" i="33" s="1"/>
  <c r="F83" i="33" s="1"/>
  <c r="G83" i="33" s="1"/>
  <c r="C21" i="33"/>
  <c r="C21" i="21"/>
  <c r="Q21" i="21"/>
  <c r="Z21" i="21" s="1"/>
  <c r="H19" i="21"/>
  <c r="D83" i="21"/>
  <c r="E83" i="21" s="1"/>
  <c r="F21" i="21"/>
  <c r="D81" i="21"/>
  <c r="G20" i="20"/>
  <c r="C25" i="40" s="1"/>
  <c r="C22" i="20"/>
  <c r="B78" i="43" s="1"/>
  <c r="C29" i="39"/>
  <c r="S29" i="39"/>
  <c r="S18" i="36"/>
  <c r="U18" i="36"/>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7"/>
  <c r="AB21" i="33"/>
  <c r="S21" i="33"/>
  <c r="AB18" i="35"/>
  <c r="W18" i="35"/>
  <c r="J21" i="37"/>
  <c r="W21" i="37" s="1"/>
  <c r="J21" i="34"/>
  <c r="AC21" i="34" s="1"/>
  <c r="J21" i="33"/>
  <c r="F83" i="21"/>
  <c r="G83" i="21" s="1"/>
  <c r="H21" i="21"/>
  <c r="AB21" i="21" s="1"/>
  <c r="F38" i="69"/>
  <c r="E37" i="69"/>
  <c r="F36" i="69"/>
  <c r="F35" i="69"/>
  <c r="F21" i="69"/>
  <c r="F40" i="69" s="1"/>
  <c r="F20" i="69"/>
  <c r="F39" i="69" s="1"/>
  <c r="E10" i="69"/>
  <c r="E9" i="69"/>
  <c r="C7" i="69"/>
  <c r="AC21" i="37"/>
  <c r="U21" i="21"/>
  <c r="J21" i="21"/>
  <c r="AC21" i="21" s="1"/>
  <c r="F38" i="68"/>
  <c r="E37" i="68"/>
  <c r="F36" i="68"/>
  <c r="F35" i="68"/>
  <c r="F21" i="68"/>
  <c r="F40" i="68" s="1"/>
  <c r="F20" i="68"/>
  <c r="F39" i="68" s="1"/>
  <c r="E10" i="68"/>
  <c r="E9" i="68"/>
  <c r="C40"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70" i="43"/>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c r="K70" i="43"/>
  <c r="J70" i="43" s="1"/>
  <c r="M69" i="43"/>
  <c r="N69" i="43" s="1"/>
  <c r="K69" i="43"/>
  <c r="J69" i="43" s="1"/>
  <c r="M68" i="43"/>
  <c r="N68" i="43" s="1"/>
  <c r="K68" i="43"/>
  <c r="J68" i="43" s="1"/>
  <c r="M67" i="43"/>
  <c r="N67" i="43"/>
  <c r="K67" i="43"/>
  <c r="J67" i="43"/>
  <c r="M66" i="43"/>
  <c r="N66" i="43" s="1"/>
  <c r="K66" i="43"/>
  <c r="J66" i="43"/>
  <c r="M65" i="43"/>
  <c r="N65" i="43" s="1"/>
  <c r="K65" i="43"/>
  <c r="J65" i="43" s="1"/>
  <c r="M64" i="43"/>
  <c r="N64" i="43" s="1"/>
  <c r="K64" i="43"/>
  <c r="J64" i="43"/>
  <c r="M63" i="43"/>
  <c r="N63" i="43" s="1"/>
  <c r="K63" i="43"/>
  <c r="J63" i="43" s="1"/>
  <c r="M62" i="43"/>
  <c r="N62" i="43" s="1"/>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L105" i="3" s="1"/>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L83" i="3" s="1"/>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A53" i="3" s="1"/>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L37" i="3" s="1"/>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A302" i="3" s="1"/>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A261" i="3" s="1"/>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L221" i="3" s="1"/>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L348" i="3" s="1"/>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G44" i="43" s="1"/>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M10" i="1"/>
  <c r="O10" i="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s="1"/>
  <c r="I44" i="35"/>
  <c r="J44" i="35" s="1"/>
  <c r="G44" i="35"/>
  <c r="H44" i="35" s="1"/>
  <c r="E44" i="35"/>
  <c r="F44" i="35" s="1"/>
  <c r="I54" i="33"/>
  <c r="J54" i="33" s="1"/>
  <c r="G54" i="33"/>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A495" i="3" s="1"/>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A511" i="3" s="1"/>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A513" i="3" s="1"/>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A516" i="3" s="1"/>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A519" i="3" s="1"/>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L520" i="3" s="1"/>
  <c r="AZ520" i="3" s="1"/>
  <c r="BR520" i="3"/>
  <c r="BS520" i="3"/>
  <c r="BT520" i="3"/>
  <c r="H521" i="3"/>
  <c r="BB521" i="3"/>
  <c r="BC521" i="3"/>
  <c r="BD521" i="3"/>
  <c r="BE521" i="3"/>
  <c r="BF521" i="3"/>
  <c r="BG521" i="3"/>
  <c r="BH521" i="3"/>
  <c r="BI521" i="3"/>
  <c r="BA521" i="3" s="1"/>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L528" i="3" s="1"/>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A532" i="3" s="1"/>
  <c r="AZ532" i="3" s="1"/>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A534" i="3" s="1"/>
  <c r="AZ534" i="3" s="1"/>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L535" i="3" s="1"/>
  <c r="AZ535" i="3" s="1"/>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A537" i="3" s="1"/>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A540" i="3" s="1"/>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A556" i="3" s="1"/>
  <c r="AZ556" i="3" s="1"/>
  <c r="BM556" i="3"/>
  <c r="BL556" i="3" s="1"/>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AZ560" i="3" s="1"/>
  <c r="BF560" i="3"/>
  <c r="BG560" i="3"/>
  <c r="BH560" i="3"/>
  <c r="BI560" i="3"/>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A580" i="3" s="1"/>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H30" i="36"/>
  <c r="F30" i="36"/>
  <c r="S30" i="36" s="1"/>
  <c r="C26" i="35"/>
  <c r="C79" i="35"/>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c r="I112" i="34" s="1"/>
  <c r="J112" i="34" s="1"/>
  <c r="K112" i="34"/>
  <c r="L112" i="34" s="1"/>
  <c r="M112" i="34" s="1"/>
  <c r="F40" i="33"/>
  <c r="S40" i="33" s="1"/>
  <c r="J41" i="33"/>
  <c r="D113" i="33"/>
  <c r="F37" i="33"/>
  <c r="D111" i="33"/>
  <c r="E111" i="33" s="1"/>
  <c r="F111" i="33" s="1"/>
  <c r="S515" i="31"/>
  <c r="S516" i="31"/>
  <c r="S517" i="31"/>
  <c r="S518" i="31"/>
  <c r="S519" i="31"/>
  <c r="S520"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J38" i="40"/>
  <c r="AC38" i="40" s="1"/>
  <c r="Q37" i="40"/>
  <c r="Z37" i="40" s="1"/>
  <c r="Q36" i="40"/>
  <c r="Z36" i="40"/>
  <c r="Q35" i="40"/>
  <c r="Z35" i="40"/>
  <c r="Q34" i="40"/>
  <c r="Z34" i="40"/>
  <c r="J34" i="40"/>
  <c r="AC34" i="40"/>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c r="Q12" i="40"/>
  <c r="Z12" i="40"/>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c r="Q37" i="39"/>
  <c r="Z37" i="39"/>
  <c r="B131" i="39"/>
  <c r="H45" i="39" s="1"/>
  <c r="B129" i="39"/>
  <c r="B127" i="39"/>
  <c r="J43" i="39"/>
  <c r="D126" i="39"/>
  <c r="E126" i="39" s="1"/>
  <c r="F126" i="39" s="1"/>
  <c r="G126" i="39" s="1"/>
  <c r="H126" i="39" s="1"/>
  <c r="I126" i="39" s="1"/>
  <c r="J126" i="39" s="1"/>
  <c r="K126" i="39" s="1"/>
  <c r="L126" i="39" s="1"/>
  <c r="M126" i="39" s="1"/>
  <c r="D122" i="39"/>
  <c r="E122" i="39" s="1"/>
  <c r="F122" i="39" s="1"/>
  <c r="G122" i="39"/>
  <c r="H122" i="39" s="1"/>
  <c r="I122" i="39" s="1"/>
  <c r="J122" i="39" s="1"/>
  <c r="K122" i="39" s="1"/>
  <c r="L122" i="39" s="1"/>
  <c r="M122" i="39" s="1"/>
  <c r="B104" i="39"/>
  <c r="D97" i="39"/>
  <c r="J23" i="39"/>
  <c r="AC23" i="39" s="1"/>
  <c r="D95" i="39"/>
  <c r="E95" i="39"/>
  <c r="F95" i="39" s="1"/>
  <c r="D93" i="39"/>
  <c r="E93" i="39" s="1"/>
  <c r="F93" i="39"/>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c r="Q13" i="39"/>
  <c r="Z13" i="39" s="1"/>
  <c r="Q12" i="39"/>
  <c r="Z12" i="39" s="1"/>
  <c r="Q11" i="39"/>
  <c r="Z11" i="39" s="1"/>
  <c r="Q10" i="39"/>
  <c r="Z10" i="39" s="1"/>
  <c r="Q9" i="39"/>
  <c r="Z9" i="39" s="1"/>
  <c r="J9" i="39"/>
  <c r="AC9" i="39"/>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F26" i="37"/>
  <c r="AA26" i="37" s="1"/>
  <c r="Q25" i="37"/>
  <c r="Z25" i="37"/>
  <c r="Q23" i="37"/>
  <c r="Z23" i="37" s="1"/>
  <c r="Q19" i="37"/>
  <c r="Z19" i="37" s="1"/>
  <c r="Q17" i="37"/>
  <c r="Z17" i="37" s="1"/>
  <c r="Q15" i="37"/>
  <c r="Z15" i="37"/>
  <c r="Q14" i="37"/>
  <c r="Z14" i="37" s="1"/>
  <c r="Q13" i="37"/>
  <c r="Z13" i="37" s="1"/>
  <c r="Q12" i="37"/>
  <c r="Z12" i="37" s="1"/>
  <c r="Q11" i="37"/>
  <c r="Z11" i="37" s="1"/>
  <c r="Q10" i="37"/>
  <c r="Z10" i="37" s="1"/>
  <c r="F10" i="37"/>
  <c r="S10" i="37" s="1"/>
  <c r="Q9" i="37"/>
  <c r="Z9" i="37" s="1"/>
  <c r="J8" i="37"/>
  <c r="W8" i="37" s="1"/>
  <c r="H8" i="37"/>
  <c r="AB8" i="37"/>
  <c r="F8" i="37"/>
  <c r="S8" i="37" s="1"/>
  <c r="J31" i="36"/>
  <c r="H31" i="36"/>
  <c r="U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s="1"/>
  <c r="F62" i="36" s="1"/>
  <c r="G62" i="36" s="1"/>
  <c r="B59" i="36"/>
  <c r="B57" i="36"/>
  <c r="B55" i="36"/>
  <c r="F54" i="36"/>
  <c r="G54" i="36" s="1"/>
  <c r="H54" i="36"/>
  <c r="I54" i="36" s="1"/>
  <c r="C51" i="36"/>
  <c r="J9" i="36" s="1"/>
  <c r="AC9" i="36" s="1"/>
  <c r="P37" i="36"/>
  <c r="P36" i="36"/>
  <c r="V35" i="36"/>
  <c r="T35" i="36"/>
  <c r="R35" i="36"/>
  <c r="P35" i="36"/>
  <c r="Q34" i="36"/>
  <c r="Z34" i="36" s="1"/>
  <c r="Q33" i="36"/>
  <c r="Z33" i="36"/>
  <c r="Q32" i="36"/>
  <c r="Z32" i="36" s="1"/>
  <c r="Q31" i="36"/>
  <c r="Z31" i="36" s="1"/>
  <c r="Q30" i="36"/>
  <c r="Z30" i="36"/>
  <c r="AC30" i="36"/>
  <c r="Q29" i="36"/>
  <c r="Z29" i="36"/>
  <c r="Q28" i="36"/>
  <c r="Z28" i="36" s="1"/>
  <c r="J28" i="36"/>
  <c r="W28" i="36" s="1"/>
  <c r="Q27" i="36"/>
  <c r="Z27" i="36" s="1"/>
  <c r="Q26" i="36"/>
  <c r="Z26" i="36" s="1"/>
  <c r="H26" i="36"/>
  <c r="AB26" i="36" s="1"/>
  <c r="Q25" i="36"/>
  <c r="Z25" i="36" s="1"/>
  <c r="Q24" i="36"/>
  <c r="Z24" i="36" s="1"/>
  <c r="Q23" i="36"/>
  <c r="Z23" i="36" s="1"/>
  <c r="H23" i="36"/>
  <c r="AB23" i="36"/>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U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B59" i="35"/>
  <c r="B131" i="34"/>
  <c r="B129" i="34"/>
  <c r="B127" i="34"/>
  <c r="B99" i="34"/>
  <c r="J32" i="34" s="1"/>
  <c r="W32" i="34" s="1"/>
  <c r="B97" i="34"/>
  <c r="B95" i="34"/>
  <c r="B93" i="34"/>
  <c r="B75" i="34"/>
  <c r="B73" i="34"/>
  <c r="B71" i="34"/>
  <c r="F12" i="34" s="1"/>
  <c r="B130" i="33"/>
  <c r="B128" i="33"/>
  <c r="B126" i="33"/>
  <c r="B98" i="33"/>
  <c r="B96" i="33"/>
  <c r="B94" i="33"/>
  <c r="J29" i="33" s="1"/>
  <c r="B74" i="33"/>
  <c r="B72" i="33"/>
  <c r="J13" i="33" s="1"/>
  <c r="B70" i="33"/>
  <c r="H12" i="33" s="1"/>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s="1"/>
  <c r="J34" i="35"/>
  <c r="Q33" i="35"/>
  <c r="Z33" i="35" s="1"/>
  <c r="Q32" i="35"/>
  <c r="Z32" i="35" s="1"/>
  <c r="H32" i="35"/>
  <c r="AB32" i="35" s="1"/>
  <c r="F32" i="35"/>
  <c r="AA32" i="35"/>
  <c r="Q31" i="35"/>
  <c r="Z31" i="35" s="1"/>
  <c r="AC31" i="35"/>
  <c r="Q30" i="35"/>
  <c r="Z30" i="35" s="1"/>
  <c r="Q29" i="35"/>
  <c r="Z29" i="35"/>
  <c r="Q28" i="35"/>
  <c r="Z28" i="35" s="1"/>
  <c r="J28" i="35"/>
  <c r="AC28" i="35"/>
  <c r="H28" i="35"/>
  <c r="AB28" i="35"/>
  <c r="F28" i="35"/>
  <c r="AA28" i="35" s="1"/>
  <c r="Q27" i="35"/>
  <c r="Z27" i="35" s="1"/>
  <c r="Q26" i="35"/>
  <c r="Z26" i="35"/>
  <c r="Q25" i="35"/>
  <c r="Z25" i="35"/>
  <c r="Q24" i="35"/>
  <c r="Z24" i="35" s="1"/>
  <c r="Q23" i="35"/>
  <c r="Z23" i="35"/>
  <c r="Q22" i="35"/>
  <c r="Z22" i="35" s="1"/>
  <c r="Q20" i="35"/>
  <c r="Z20" i="35" s="1"/>
  <c r="Q16" i="35"/>
  <c r="Z16" i="35" s="1"/>
  <c r="Q14" i="35"/>
  <c r="Z14" i="35"/>
  <c r="Q13" i="35"/>
  <c r="Z13" i="35" s="1"/>
  <c r="Q12" i="35"/>
  <c r="Z12" i="35" s="1"/>
  <c r="Q11" i="35"/>
  <c r="Z11" i="35"/>
  <c r="Q10" i="35"/>
  <c r="Z10" i="35"/>
  <c r="Q9" i="35"/>
  <c r="Z9" i="35" s="1"/>
  <c r="J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c r="K124" i="34" s="1"/>
  <c r="L124" i="34" s="1"/>
  <c r="M124" i="34" s="1"/>
  <c r="H43" i="34"/>
  <c r="AB43" i="34" s="1"/>
  <c r="D118" i="34"/>
  <c r="E118" i="34" s="1"/>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s="1"/>
  <c r="Q43" i="34"/>
  <c r="Z43" i="34" s="1"/>
  <c r="Q42" i="34"/>
  <c r="Z42" i="34" s="1"/>
  <c r="Q41" i="34"/>
  <c r="Z41" i="34" s="1"/>
  <c r="Q40" i="34"/>
  <c r="Z40" i="34"/>
  <c r="Q39" i="34"/>
  <c r="Z39" i="34" s="1"/>
  <c r="H39" i="34"/>
  <c r="AB39" i="34" s="1"/>
  <c r="Q38" i="34"/>
  <c r="Z38" i="34"/>
  <c r="Q37" i="34"/>
  <c r="Z37" i="34" s="1"/>
  <c r="Q36" i="34"/>
  <c r="Z36" i="34" s="1"/>
  <c r="Q35" i="34"/>
  <c r="Z35" i="34" s="1"/>
  <c r="Q34" i="34"/>
  <c r="Z34" i="34" s="1"/>
  <c r="J34" i="34"/>
  <c r="AC34" i="34" s="1"/>
  <c r="H34" i="34"/>
  <c r="U34" i="34" s="1"/>
  <c r="AB34" i="34"/>
  <c r="F34" i="34"/>
  <c r="AA34" i="34" s="1"/>
  <c r="Q33" i="34"/>
  <c r="Z33" i="34" s="1"/>
  <c r="Q32" i="34"/>
  <c r="Z32" i="34"/>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J12" i="34"/>
  <c r="W12" i="34" s="1"/>
  <c r="H12" i="34"/>
  <c r="Q11" i="34"/>
  <c r="Z11" i="34" s="1"/>
  <c r="Q10" i="34"/>
  <c r="Z10" i="34"/>
  <c r="F10" i="34"/>
  <c r="AA10" i="34" s="1"/>
  <c r="Q9" i="34"/>
  <c r="Z9" i="34" s="1"/>
  <c r="H9" i="34"/>
  <c r="J8" i="34"/>
  <c r="AC8" i="34" s="1"/>
  <c r="H8" i="34"/>
  <c r="U8" i="34"/>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H27" i="33" s="1"/>
  <c r="D87" i="33"/>
  <c r="E87" i="33"/>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s="1"/>
  <c r="Q43" i="33"/>
  <c r="Z43" i="33" s="1"/>
  <c r="Q42" i="33"/>
  <c r="Z42" i="33" s="1"/>
  <c r="J42" i="33"/>
  <c r="AC42" i="33"/>
  <c r="AC41" i="33"/>
  <c r="W41" i="33"/>
  <c r="Q41" i="33"/>
  <c r="Z41" i="33" s="1"/>
  <c r="Q40" i="33"/>
  <c r="Z40" i="33" s="1"/>
  <c r="J40" i="33"/>
  <c r="AC40" i="33" s="1"/>
  <c r="H40" i="33"/>
  <c r="AB40" i="33" s="1"/>
  <c r="AA40" i="33"/>
  <c r="Q39" i="33"/>
  <c r="Z39" i="33" s="1"/>
  <c r="J39" i="33"/>
  <c r="Q38" i="33"/>
  <c r="Z38" i="33" s="1"/>
  <c r="J38" i="33"/>
  <c r="AC38" i="33" s="1"/>
  <c r="H38" i="33"/>
  <c r="AB38" i="33" s="1"/>
  <c r="F38" i="33"/>
  <c r="S38" i="33" s="1"/>
  <c r="Q37" i="33"/>
  <c r="Z37" i="33" s="1"/>
  <c r="Q36" i="33"/>
  <c r="Z36" i="33" s="1"/>
  <c r="Q35" i="33"/>
  <c r="Z35" i="33" s="1"/>
  <c r="H35" i="33"/>
  <c r="AB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1" i="43" s="1"/>
  <c r="G19" i="20"/>
  <c r="B88" i="43"/>
  <c r="G16" i="20"/>
  <c r="B85" i="43"/>
  <c r="G15" i="20"/>
  <c r="B84" i="43" s="1"/>
  <c r="C24" i="20"/>
  <c r="C21" i="20"/>
  <c r="C20" i="20"/>
  <c r="B102" i="43" s="1"/>
  <c r="B80" i="43"/>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B94" i="21"/>
  <c r="J29" i="21" s="1"/>
  <c r="AC29" i="21" s="1"/>
  <c r="B92" i="21"/>
  <c r="B90"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s="1"/>
  <c r="Q27" i="21"/>
  <c r="Z27" i="21" s="1"/>
  <c r="Q28" i="21"/>
  <c r="Z28" i="21" s="1"/>
  <c r="Q29" i="21"/>
  <c r="Z29" i="21" s="1"/>
  <c r="Q30" i="21"/>
  <c r="Z30" i="21" s="1"/>
  <c r="Q31" i="21"/>
  <c r="Z31" i="21"/>
  <c r="Q32" i="21"/>
  <c r="Z32" i="21" s="1"/>
  <c r="Q33" i="21"/>
  <c r="Z33" i="21" s="1"/>
  <c r="Q34" i="21"/>
  <c r="Z34" i="21"/>
  <c r="J35" i="21"/>
  <c r="W35" i="21" s="1"/>
  <c r="Q35" i="21"/>
  <c r="Z35" i="21"/>
  <c r="Q36" i="21"/>
  <c r="Z36" i="21"/>
  <c r="Q37" i="21"/>
  <c r="Z37" i="21"/>
  <c r="J38" i="21"/>
  <c r="W38" i="21" s="1"/>
  <c r="Q38" i="21"/>
  <c r="Z38" i="21" s="1"/>
  <c r="J39" i="21"/>
  <c r="AC39" i="21" s="1"/>
  <c r="Q39" i="21"/>
  <c r="Z39" i="21" s="1"/>
  <c r="H40" i="21"/>
  <c r="AB40" i="21" s="1"/>
  <c r="Q40" i="21"/>
  <c r="Z40" i="21"/>
  <c r="Q41" i="21"/>
  <c r="Z41" i="21" s="1"/>
  <c r="Q42" i="21"/>
  <c r="Z42" i="21" s="1"/>
  <c r="J43" i="21"/>
  <c r="AC43" i="2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E8" i="6" s="1"/>
  <c r="F27" i="6" s="1"/>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c r="J34" i="21"/>
  <c r="W34" i="21"/>
  <c r="H36" i="21"/>
  <c r="U36" i="21" s="1"/>
  <c r="F35" i="21"/>
  <c r="AA35" i="21"/>
  <c r="J10" i="21"/>
  <c r="AC10" i="21" s="1"/>
  <c r="H26" i="21"/>
  <c r="AB26" i="21"/>
  <c r="AB19" i="21"/>
  <c r="J19" i="21"/>
  <c r="W19" i="21" s="1"/>
  <c r="J26" i="21"/>
  <c r="W26" i="21" s="1"/>
  <c r="F26" i="21"/>
  <c r="S26" i="21" s="1"/>
  <c r="AB41" i="21"/>
  <c r="S41" i="21"/>
  <c r="AA41" i="21"/>
  <c r="F45" i="39"/>
  <c r="S45" i="39" s="1"/>
  <c r="J45" i="39"/>
  <c r="W45" i="39" s="1"/>
  <c r="J44" i="39"/>
  <c r="H36" i="39"/>
  <c r="AB36" i="39" s="1"/>
  <c r="J35" i="39"/>
  <c r="AC35" i="39"/>
  <c r="F35" i="39"/>
  <c r="AA35"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AA31" i="36"/>
  <c r="AC31" i="36"/>
  <c r="W31" i="36"/>
  <c r="H22" i="35"/>
  <c r="AB22" i="35" s="1"/>
  <c r="AC27" i="35"/>
  <c r="W28" i="35"/>
  <c r="U31" i="35"/>
  <c r="W22" i="35"/>
  <c r="F36" i="34"/>
  <c r="J35" i="34"/>
  <c r="S34" i="34"/>
  <c r="H39" i="33"/>
  <c r="AB39" i="33" s="1"/>
  <c r="F26" i="33"/>
  <c r="U35" i="33"/>
  <c r="H39" i="37"/>
  <c r="AB39" i="37" s="1"/>
  <c r="S27" i="35"/>
  <c r="F11" i="40"/>
  <c r="AA11" i="40" s="1"/>
  <c r="H11" i="40"/>
  <c r="AB11" i="40"/>
  <c r="W8" i="40"/>
  <c r="AA9" i="40"/>
  <c r="U9" i="40"/>
  <c r="S34" i="40"/>
  <c r="W31" i="40"/>
  <c r="U34" i="40"/>
  <c r="F42" i="39"/>
  <c r="AA42" i="39" s="1"/>
  <c r="F41" i="39"/>
  <c r="S41" i="39" s="1"/>
  <c r="H40" i="39"/>
  <c r="H39" i="39"/>
  <c r="U39" i="39" s="1"/>
  <c r="S34" i="39"/>
  <c r="H34" i="39"/>
  <c r="U34" i="39" s="1"/>
  <c r="H31" i="39"/>
  <c r="AB31" i="39" s="1"/>
  <c r="F31" i="39"/>
  <c r="AA31" i="39"/>
  <c r="E101" i="39"/>
  <c r="F101" i="39" s="1"/>
  <c r="G10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S34" i="21"/>
  <c r="C25" i="39"/>
  <c r="C27" i="39"/>
  <c r="H11" i="39"/>
  <c r="C15" i="39"/>
  <c r="H32" i="33"/>
  <c r="H11" i="21"/>
  <c r="J11" i="21"/>
  <c r="W11" i="21"/>
  <c r="H37" i="40"/>
  <c r="U37" i="40" s="1"/>
  <c r="H36" i="40"/>
  <c r="AB36" i="40"/>
  <c r="F35" i="40"/>
  <c r="AA35" i="40" s="1"/>
  <c r="H23" i="40"/>
  <c r="AB23" i="40" s="1"/>
  <c r="H17" i="40"/>
  <c r="U17" i="40" s="1"/>
  <c r="J15" i="40"/>
  <c r="W15" i="40" s="1"/>
  <c r="J11" i="40"/>
  <c r="W11" i="40"/>
  <c r="AC12" i="34"/>
  <c r="W32" i="40"/>
  <c r="F37" i="39"/>
  <c r="AA37" i="39" s="1"/>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24" i="36"/>
  <c r="AA24" i="36" s="1"/>
  <c r="F34" i="36"/>
  <c r="S34" i="36" s="1"/>
  <c r="AB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U42" i="34"/>
  <c r="H40" i="34"/>
  <c r="U40" i="34"/>
  <c r="E114" i="34"/>
  <c r="F114" i="34" s="1"/>
  <c r="G114" i="34" s="1"/>
  <c r="H114" i="34" s="1"/>
  <c r="I114" i="34" s="1"/>
  <c r="J114" i="34" s="1"/>
  <c r="K114" i="34" s="1"/>
  <c r="L114" i="34" s="1"/>
  <c r="M114" i="34" s="1"/>
  <c r="H36" i="34"/>
  <c r="U36" i="34" s="1"/>
  <c r="F37" i="34"/>
  <c r="AA37" i="34" s="1"/>
  <c r="S35" i="34"/>
  <c r="AA28" i="34"/>
  <c r="F27" i="34"/>
  <c r="AA27" i="34"/>
  <c r="F25" i="34"/>
  <c r="S25" i="34"/>
  <c r="H23" i="34"/>
  <c r="U23" i="34" s="1"/>
  <c r="J23" i="34"/>
  <c r="F19" i="34"/>
  <c r="H17" i="34"/>
  <c r="U17" i="34" s="1"/>
  <c r="F15" i="34"/>
  <c r="J15" i="34"/>
  <c r="W15" i="34" s="1"/>
  <c r="H15" i="34"/>
  <c r="AB15" i="34" s="1"/>
  <c r="W8" i="34"/>
  <c r="J28" i="34"/>
  <c r="F41" i="33"/>
  <c r="AA41" i="33" s="1"/>
  <c r="E113" i="33"/>
  <c r="F113" i="33" s="1"/>
  <c r="G113" i="33" s="1"/>
  <c r="H113" i="33" s="1"/>
  <c r="I113" i="33" s="1"/>
  <c r="J113" i="33" s="1"/>
  <c r="K113" i="33" s="1"/>
  <c r="L113" i="33" s="1"/>
  <c r="M113" i="33" s="1"/>
  <c r="F32" i="33"/>
  <c r="AA32" i="33" s="1"/>
  <c r="J19" i="33"/>
  <c r="AC19" i="33"/>
  <c r="J15" i="33"/>
  <c r="AC15" i="33"/>
  <c r="F11" i="33"/>
  <c r="AA11" i="33" s="1"/>
  <c r="W40" i="33"/>
  <c r="U8" i="33"/>
  <c r="S8" i="33"/>
  <c r="F37" i="40"/>
  <c r="AA37" i="40" s="1"/>
  <c r="F36" i="40"/>
  <c r="AA36" i="40" s="1"/>
  <c r="H28" i="40"/>
  <c r="U28" i="40"/>
  <c r="F23" i="40"/>
  <c r="AA23" i="40" s="1"/>
  <c r="F17" i="40"/>
  <c r="AA17" i="40" s="1"/>
  <c r="J17" i="40"/>
  <c r="W17" i="40" s="1"/>
  <c r="F15" i="40"/>
  <c r="H15" i="40"/>
  <c r="AB15" i="40" s="1"/>
  <c r="AC11" i="40"/>
  <c r="AB30" i="36"/>
  <c r="U33" i="35"/>
  <c r="F29" i="35"/>
  <c r="S29" i="35" s="1"/>
  <c r="H29" i="35"/>
  <c r="AB29" i="35"/>
  <c r="H33" i="37"/>
  <c r="AB33" i="37"/>
  <c r="F33" i="37"/>
  <c r="AA33" i="37" s="1"/>
  <c r="U34" i="37"/>
  <c r="S34" i="37"/>
  <c r="AA34" i="37"/>
  <c r="J43" i="34"/>
  <c r="AB42" i="34"/>
  <c r="J40" i="34"/>
  <c r="H38" i="34"/>
  <c r="AB38" i="34" s="1"/>
  <c r="J36" i="34"/>
  <c r="W36" i="34" s="1"/>
  <c r="H37" i="34"/>
  <c r="U37" i="34" s="1"/>
  <c r="H25" i="34"/>
  <c r="J25" i="34"/>
  <c r="AC25" i="34" s="1"/>
  <c r="F23" i="34"/>
  <c r="AA23" i="34"/>
  <c r="J19" i="34"/>
  <c r="AC19" i="34" s="1"/>
  <c r="F17" i="34"/>
  <c r="AA17" i="34"/>
  <c r="J17" i="34"/>
  <c r="W17" i="34" s="1"/>
  <c r="AB17" i="34"/>
  <c r="AA15" i="34"/>
  <c r="S15" i="34"/>
  <c r="H37" i="33"/>
  <c r="H15" i="33"/>
  <c r="AB15" i="33" s="1"/>
  <c r="H11" i="33"/>
  <c r="AB11" i="33"/>
  <c r="F28" i="40"/>
  <c r="AA28" i="40" s="1"/>
  <c r="AA29" i="35"/>
  <c r="AA42" i="34"/>
  <c r="S42" i="34"/>
  <c r="AC38" i="34"/>
  <c r="J37" i="34"/>
  <c r="J11" i="33"/>
  <c r="W11" i="33" s="1"/>
  <c r="S28" i="34"/>
  <c r="J42" i="21"/>
  <c r="AC42" i="21"/>
  <c r="H42" i="21"/>
  <c r="U42" i="21" s="1"/>
  <c r="J44" i="34"/>
  <c r="W44" i="34" s="1"/>
  <c r="F44" i="34"/>
  <c r="AA44" i="34" s="1"/>
  <c r="J10" i="35"/>
  <c r="W10" i="35" s="1"/>
  <c r="H30" i="21"/>
  <c r="U30" i="21" s="1"/>
  <c r="F30" i="21"/>
  <c r="S30" i="21" s="1"/>
  <c r="J30" i="21"/>
  <c r="AC30" i="21"/>
  <c r="J44" i="21"/>
  <c r="AC44" i="21" s="1"/>
  <c r="H44" i="21"/>
  <c r="U44" i="21"/>
  <c r="F44" i="21"/>
  <c r="AA44" i="21" s="1"/>
  <c r="E119" i="21"/>
  <c r="F119" i="21"/>
  <c r="G119" i="21" s="1"/>
  <c r="H119" i="21" s="1"/>
  <c r="I119" i="21" s="1"/>
  <c r="J119" i="21" s="1"/>
  <c r="K119" i="21" s="1"/>
  <c r="L119" i="21" s="1"/>
  <c r="M119" i="21" s="1"/>
  <c r="H26" i="33"/>
  <c r="U26" i="33" s="1"/>
  <c r="H28" i="33"/>
  <c r="U28" i="33" s="1"/>
  <c r="F28" i="33"/>
  <c r="AA28" i="33" s="1"/>
  <c r="F33" i="35"/>
  <c r="S33" i="35"/>
  <c r="J33" i="35"/>
  <c r="AC33" i="35" s="1"/>
  <c r="F30" i="35"/>
  <c r="S30" i="35" s="1"/>
  <c r="E89" i="35"/>
  <c r="F89" i="35" s="1"/>
  <c r="G89" i="35" s="1"/>
  <c r="H89" i="35" s="1"/>
  <c r="I89" i="35"/>
  <c r="J89" i="35" s="1"/>
  <c r="K89" i="35" s="1"/>
  <c r="L89" i="35" s="1"/>
  <c r="M89" i="35" s="1"/>
  <c r="H10" i="36"/>
  <c r="AB10" i="36" s="1"/>
  <c r="J14" i="36"/>
  <c r="AC14" i="36"/>
  <c r="H14" i="36"/>
  <c r="U14" i="36" s="1"/>
  <c r="F28" i="36"/>
  <c r="AA28" i="36"/>
  <c r="J13" i="21"/>
  <c r="AC13" i="21" s="1"/>
  <c r="H29" i="21"/>
  <c r="U29" i="21" s="1"/>
  <c r="J31" i="21"/>
  <c r="AC31" i="21"/>
  <c r="F31" i="21"/>
  <c r="S31" i="21" s="1"/>
  <c r="F27" i="33"/>
  <c r="AA27" i="33" s="1"/>
  <c r="H13" i="33"/>
  <c r="F13" i="33"/>
  <c r="S13" i="33" s="1"/>
  <c r="F29" i="33"/>
  <c r="S29" i="33" s="1"/>
  <c r="J31" i="33"/>
  <c r="W31" i="33" s="1"/>
  <c r="H31" i="33"/>
  <c r="F31" i="33"/>
  <c r="H45" i="33"/>
  <c r="U45" i="33" s="1"/>
  <c r="J45" i="33"/>
  <c r="W45" i="33" s="1"/>
  <c r="F45" i="33"/>
  <c r="AA45" i="33"/>
  <c r="H30" i="34"/>
  <c r="U30" i="34" s="1"/>
  <c r="F30" i="34"/>
  <c r="S30" i="34" s="1"/>
  <c r="J30" i="34"/>
  <c r="H32" i="34"/>
  <c r="U32" i="34" s="1"/>
  <c r="F32" i="34"/>
  <c r="H46" i="34"/>
  <c r="U46" i="34" s="1"/>
  <c r="F46" i="34"/>
  <c r="J46" i="34"/>
  <c r="H11" i="35"/>
  <c r="U11" i="35" s="1"/>
  <c r="J11" i="35"/>
  <c r="AC11" i="35" s="1"/>
  <c r="F11" i="35"/>
  <c r="S11" i="35" s="1"/>
  <c r="J26" i="36"/>
  <c r="W26" i="36" s="1"/>
  <c r="H28" i="36"/>
  <c r="U28" i="36" s="1"/>
  <c r="H32" i="36"/>
  <c r="AB32" i="36" s="1"/>
  <c r="J32" i="36"/>
  <c r="J11" i="36"/>
  <c r="AC11" i="36" s="1"/>
  <c r="H11" i="36"/>
  <c r="U11" i="36" s="1"/>
  <c r="F11" i="36"/>
  <c r="S11" i="36" s="1"/>
  <c r="AA11" i="36"/>
  <c r="H13" i="36"/>
  <c r="AB13" i="36" s="1"/>
  <c r="E89" i="37"/>
  <c r="F89" i="37" s="1"/>
  <c r="G89" i="37" s="1"/>
  <c r="H89" i="37" s="1"/>
  <c r="I89" i="37"/>
  <c r="J89" i="37" s="1"/>
  <c r="K89" i="37" s="1"/>
  <c r="L89" i="37" s="1"/>
  <c r="M89" i="37" s="1"/>
  <c r="J29" i="37"/>
  <c r="W29" i="37" s="1"/>
  <c r="F29" i="37"/>
  <c r="S29" i="37" s="1"/>
  <c r="F105" i="37"/>
  <c r="H36" i="37"/>
  <c r="AB36" i="37"/>
  <c r="F107" i="37"/>
  <c r="J37" i="37"/>
  <c r="AC37" i="37"/>
  <c r="H37" i="37"/>
  <c r="U37" i="37" s="1"/>
  <c r="H40" i="37"/>
  <c r="U40" i="37"/>
  <c r="J40" i="37"/>
  <c r="F40" i="37"/>
  <c r="AA40" i="37" s="1"/>
  <c r="H14" i="33"/>
  <c r="U14" i="33" s="1"/>
  <c r="F14" i="33"/>
  <c r="J14" i="33"/>
  <c r="H30" i="33"/>
  <c r="AB30" i="33" s="1"/>
  <c r="F30" i="33"/>
  <c r="J30" i="33"/>
  <c r="H44" i="33"/>
  <c r="J44" i="33"/>
  <c r="AC44" i="33" s="1"/>
  <c r="F44" i="33"/>
  <c r="S44" i="33" s="1"/>
  <c r="J46" i="33"/>
  <c r="AC46" i="33" s="1"/>
  <c r="F46" i="33"/>
  <c r="AA46" i="33"/>
  <c r="H46" i="33"/>
  <c r="AB46" i="33" s="1"/>
  <c r="H13" i="34"/>
  <c r="U13" i="34" s="1"/>
  <c r="J13" i="34"/>
  <c r="W13" i="34"/>
  <c r="F13" i="34"/>
  <c r="AA13" i="34" s="1"/>
  <c r="H29" i="34"/>
  <c r="AB29" i="34" s="1"/>
  <c r="J31" i="34"/>
  <c r="AC31" i="34" s="1"/>
  <c r="H31" i="34"/>
  <c r="U31" i="34" s="1"/>
  <c r="AB31" i="34"/>
  <c r="F31" i="34"/>
  <c r="S31" i="34" s="1"/>
  <c r="H45" i="34"/>
  <c r="U45" i="34" s="1"/>
  <c r="J45" i="34"/>
  <c r="W45" i="34" s="1"/>
  <c r="F45" i="34"/>
  <c r="S45" i="34" s="1"/>
  <c r="H47" i="34"/>
  <c r="U47" i="34"/>
  <c r="F47" i="34"/>
  <c r="S47" i="34" s="1"/>
  <c r="J47" i="34"/>
  <c r="AC47" i="34"/>
  <c r="F13" i="35"/>
  <c r="S13" i="35" s="1"/>
  <c r="J13" i="35"/>
  <c r="AC13" i="35"/>
  <c r="H13" i="35"/>
  <c r="U13" i="35" s="1"/>
  <c r="J25" i="35"/>
  <c r="W25" i="35"/>
  <c r="F25" i="35"/>
  <c r="S25" i="35"/>
  <c r="H25" i="35"/>
  <c r="AB25" i="35" s="1"/>
  <c r="J35" i="35"/>
  <c r="AC35" i="35" s="1"/>
  <c r="F35" i="35"/>
  <c r="AA35" i="35" s="1"/>
  <c r="H35" i="35"/>
  <c r="AB35" i="35" s="1"/>
  <c r="J25" i="36"/>
  <c r="W25" i="36"/>
  <c r="F25" i="36"/>
  <c r="S25" i="36"/>
  <c r="H25" i="36"/>
  <c r="AB25" i="36" s="1"/>
  <c r="H13" i="37"/>
  <c r="AB13" i="37" s="1"/>
  <c r="F13" i="37"/>
  <c r="S13" i="37"/>
  <c r="J13" i="37"/>
  <c r="W13" i="37" s="1"/>
  <c r="F28" i="37"/>
  <c r="AA28" i="37" s="1"/>
  <c r="J28" i="37"/>
  <c r="AC28" i="37"/>
  <c r="H28" i="37"/>
  <c r="U28" i="37"/>
  <c r="H38" i="37"/>
  <c r="AB38" i="37" s="1"/>
  <c r="J38" i="37"/>
  <c r="AC38" i="37" s="1"/>
  <c r="F43" i="39"/>
  <c r="AA43" i="39"/>
  <c r="H43" i="39"/>
  <c r="J14" i="39"/>
  <c r="AC14" i="39"/>
  <c r="F14" i="39"/>
  <c r="AA14" i="39" s="1"/>
  <c r="H14" i="39"/>
  <c r="AB14" i="39" s="1"/>
  <c r="F12" i="40"/>
  <c r="S12" i="40"/>
  <c r="H12" i="40"/>
  <c r="AB12" i="40" s="1"/>
  <c r="H30" i="40"/>
  <c r="AB30" i="40" s="1"/>
  <c r="F33" i="40"/>
  <c r="AA33" i="40"/>
  <c r="H33" i="40"/>
  <c r="U33" i="40" s="1"/>
  <c r="J35" i="40"/>
  <c r="AC35" i="40" s="1"/>
  <c r="J37" i="40"/>
  <c r="AC37" i="40" s="1"/>
  <c r="H13" i="40"/>
  <c r="U13" i="40" s="1"/>
  <c r="J13" i="40"/>
  <c r="W13" i="40" s="1"/>
  <c r="F13" i="40"/>
  <c r="AA13" i="40" s="1"/>
  <c r="F14" i="37"/>
  <c r="AA14" i="37" s="1"/>
  <c r="S14" i="37"/>
  <c r="F27" i="37"/>
  <c r="AA27" i="37" s="1"/>
  <c r="F13" i="39"/>
  <c r="J13" i="39"/>
  <c r="W13" i="39" s="1"/>
  <c r="H13" i="39"/>
  <c r="H14" i="40"/>
  <c r="U14" i="40" s="1"/>
  <c r="AB14" i="40"/>
  <c r="J14" i="40"/>
  <c r="W14" i="40"/>
  <c r="F14" i="40"/>
  <c r="AA14" i="40" s="1"/>
  <c r="J14" i="37"/>
  <c r="AC14" i="37" s="1"/>
  <c r="J36" i="37"/>
  <c r="AC36" i="37" s="1"/>
  <c r="G105" i="37"/>
  <c r="AB11" i="35"/>
  <c r="J10" i="36"/>
  <c r="AC10" i="36" s="1"/>
  <c r="AB26" i="33"/>
  <c r="AB30" i="21"/>
  <c r="W31" i="34"/>
  <c r="W11" i="35"/>
  <c r="AB46" i="34"/>
  <c r="S45" i="33"/>
  <c r="BA586" i="3"/>
  <c r="F17" i="21"/>
  <c r="AA17" i="21"/>
  <c r="H17" i="21"/>
  <c r="AB17" i="21" s="1"/>
  <c r="F15" i="21"/>
  <c r="S15" i="21" s="1"/>
  <c r="J41" i="39"/>
  <c r="W41" i="39" s="1"/>
  <c r="AC45" i="39"/>
  <c r="W35" i="39"/>
  <c r="U36" i="39"/>
  <c r="S35" i="39"/>
  <c r="G544" i="3"/>
  <c r="G536" i="3"/>
  <c r="G531" i="3"/>
  <c r="G528" i="3"/>
  <c r="G523" i="3"/>
  <c r="G518" i="3"/>
  <c r="G514" i="3"/>
  <c r="G510" i="3"/>
  <c r="G508" i="3"/>
  <c r="G504" i="3"/>
  <c r="G500" i="3"/>
  <c r="G496" i="3"/>
  <c r="G584" i="3"/>
  <c r="G576" i="3"/>
  <c r="G568" i="3"/>
  <c r="G560" i="3"/>
  <c r="G554" i="3"/>
  <c r="G550" i="3"/>
  <c r="BL584" i="3"/>
  <c r="BL568" i="3"/>
  <c r="BL564" i="3"/>
  <c r="BL538" i="3"/>
  <c r="BL534" i="3"/>
  <c r="BL526" i="3"/>
  <c r="BL522" i="3"/>
  <c r="BL516" i="3"/>
  <c r="AZ516" i="3" s="1"/>
  <c r="BL512" i="3"/>
  <c r="BL506" i="3"/>
  <c r="BL502" i="3"/>
  <c r="AZ502" i="3" s="1"/>
  <c r="BL582" i="3"/>
  <c r="BL574" i="3"/>
  <c r="BL566" i="3"/>
  <c r="BL552" i="3"/>
  <c r="BL544" i="3"/>
  <c r="BL540" i="3"/>
  <c r="AZ540" i="3" s="1"/>
  <c r="BL536" i="3"/>
  <c r="G533" i="3"/>
  <c r="G529" i="3"/>
  <c r="G525" i="3"/>
  <c r="BL510" i="3"/>
  <c r="BL504" i="3"/>
  <c r="BL500" i="3"/>
  <c r="AZ500" i="3" s="1"/>
  <c r="BL496" i="3"/>
  <c r="G493" i="3"/>
  <c r="BA572" i="3"/>
  <c r="BA564" i="3"/>
  <c r="AZ564" i="3" s="1"/>
  <c r="BA562" i="3"/>
  <c r="AZ562" i="3" s="1"/>
  <c r="BA558" i="3"/>
  <c r="BA536" i="3"/>
  <c r="AZ536" i="3" s="1"/>
  <c r="BA530" i="3"/>
  <c r="BA528" i="3"/>
  <c r="AZ528" i="3" s="1"/>
  <c r="BA526" i="3"/>
  <c r="AZ526" i="3" s="1"/>
  <c r="BA524" i="3"/>
  <c r="AZ524" i="3" s="1"/>
  <c r="BA518" i="3"/>
  <c r="AZ518" i="3" s="1"/>
  <c r="BA512" i="3"/>
  <c r="AZ512" i="3" s="1"/>
  <c r="BA510" i="3"/>
  <c r="BA508" i="3"/>
  <c r="BA506" i="3"/>
  <c r="BA504" i="3"/>
  <c r="BA498" i="3"/>
  <c r="BA496" i="3"/>
  <c r="AZ496" i="3" s="1"/>
  <c r="BA583" i="3"/>
  <c r="BA569" i="3"/>
  <c r="BA567" i="3"/>
  <c r="BA565" i="3"/>
  <c r="AZ565" i="3" s="1"/>
  <c r="BA563" i="3"/>
  <c r="BA561" i="3"/>
  <c r="AZ561" i="3" s="1"/>
  <c r="BA559" i="3"/>
  <c r="BA547" i="3"/>
  <c r="BA535" i="3"/>
  <c r="BA533" i="3"/>
  <c r="BA531" i="3"/>
  <c r="BA529" i="3"/>
  <c r="AZ529" i="3" s="1"/>
  <c r="BA527" i="3"/>
  <c r="BA517" i="3"/>
  <c r="AZ517" i="3" s="1"/>
  <c r="BA507" i="3"/>
  <c r="BA505" i="3"/>
  <c r="BA503" i="3"/>
  <c r="BA501" i="3"/>
  <c r="BA499" i="3"/>
  <c r="G579" i="3"/>
  <c r="G577" i="3"/>
  <c r="G575" i="3"/>
  <c r="G573" i="3"/>
  <c r="G571" i="3"/>
  <c r="G569" i="3"/>
  <c r="G563" i="3"/>
  <c r="G561" i="3"/>
  <c r="BL558" i="3"/>
  <c r="AC557" i="3"/>
  <c r="G557" i="3"/>
  <c r="BQ557" i="3"/>
  <c r="BL557" i="3" s="1"/>
  <c r="BQ583" i="3"/>
  <c r="BL583" i="3" s="1"/>
  <c r="BQ581" i="3"/>
  <c r="BQ579" i="3"/>
  <c r="BQ577" i="3"/>
  <c r="BL577" i="3"/>
  <c r="BQ575" i="3"/>
  <c r="BQ573" i="3"/>
  <c r="BQ571" i="3"/>
  <c r="BQ569" i="3"/>
  <c r="BL569" i="3"/>
  <c r="BQ567" i="3"/>
  <c r="BQ565" i="3"/>
  <c r="BL565" i="3"/>
  <c r="BQ563" i="3"/>
  <c r="BQ561" i="3"/>
  <c r="BL561" i="3" s="1"/>
  <c r="BQ559" i="3"/>
  <c r="BL559" i="3" s="1"/>
  <c r="AZ559" i="3" s="1"/>
  <c r="G553" i="3"/>
  <c r="G549" i="3"/>
  <c r="G545" i="3"/>
  <c r="G543" i="3"/>
  <c r="G541" i="3"/>
  <c r="G539" i="3"/>
  <c r="G537" i="3"/>
  <c r="BQ555" i="3"/>
  <c r="BQ553" i="3"/>
  <c r="BQ551" i="3"/>
  <c r="BL551" i="3"/>
  <c r="BQ549" i="3"/>
  <c r="BQ547" i="3"/>
  <c r="BQ545" i="3"/>
  <c r="BQ543" i="3"/>
  <c r="BQ541" i="3"/>
  <c r="BL541" i="3" s="1"/>
  <c r="AZ541" i="3" s="1"/>
  <c r="BQ539" i="3"/>
  <c r="BQ537" i="3"/>
  <c r="BL537" i="3" s="1"/>
  <c r="BQ535" i="3"/>
  <c r="BQ533" i="3"/>
  <c r="BQ531" i="3"/>
  <c r="BQ529" i="3"/>
  <c r="BL529" i="3" s="1"/>
  <c r="BQ527" i="3"/>
  <c r="BL527" i="3"/>
  <c r="AZ527" i="3" s="1"/>
  <c r="BQ525" i="3"/>
  <c r="BL525" i="3"/>
  <c r="BQ523" i="3"/>
  <c r="AC521" i="3"/>
  <c r="G521" i="3" s="1"/>
  <c r="BQ521" i="3"/>
  <c r="BL521" i="3" s="1"/>
  <c r="G519" i="3"/>
  <c r="G517" i="3"/>
  <c r="G515" i="3"/>
  <c r="G513" i="3"/>
  <c r="G511" i="3"/>
  <c r="BQ519" i="3"/>
  <c r="BQ517" i="3"/>
  <c r="BQ515" i="3"/>
  <c r="BL515" i="3" s="1"/>
  <c r="BQ513" i="3"/>
  <c r="BL513" i="3" s="1"/>
  <c r="BQ511" i="3"/>
  <c r="BA509" i="3"/>
  <c r="AC509" i="3"/>
  <c r="BQ509" i="3"/>
  <c r="BL509" i="3"/>
  <c r="BL508" i="3"/>
  <c r="G507" i="3"/>
  <c r="G505" i="3"/>
  <c r="G503" i="3"/>
  <c r="G501" i="3"/>
  <c r="G499" i="3"/>
  <c r="G497" i="3"/>
  <c r="G495" i="3"/>
  <c r="BQ507" i="3"/>
  <c r="BL507" i="3" s="1"/>
  <c r="AZ507" i="3" s="1"/>
  <c r="BQ505" i="3"/>
  <c r="BL505" i="3" s="1"/>
  <c r="BQ503" i="3"/>
  <c r="BL503" i="3" s="1"/>
  <c r="AZ503" i="3" s="1"/>
  <c r="BQ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F42" i="33"/>
  <c r="AA42" i="33"/>
  <c r="H28" i="34"/>
  <c r="AB28" i="34" s="1"/>
  <c r="F14" i="36"/>
  <c r="AA14" i="36" s="1"/>
  <c r="F22" i="36"/>
  <c r="S22" i="36" s="1"/>
  <c r="F26" i="36"/>
  <c r="S26" i="36"/>
  <c r="H27" i="34"/>
  <c r="AB27" i="34" s="1"/>
  <c r="H35" i="34"/>
  <c r="U35" i="34"/>
  <c r="F41" i="34"/>
  <c r="AA41" i="34" s="1"/>
  <c r="H41" i="34"/>
  <c r="U41" i="34"/>
  <c r="J41" i="34"/>
  <c r="AC41" i="34" s="1"/>
  <c r="F10" i="35"/>
  <c r="S10" i="35" s="1"/>
  <c r="F24" i="35"/>
  <c r="AA24" i="35" s="1"/>
  <c r="H24" i="35"/>
  <c r="AB24" i="35"/>
  <c r="H23" i="37"/>
  <c r="AB23" i="37" s="1"/>
  <c r="J32" i="37"/>
  <c r="AC32" i="37"/>
  <c r="F36" i="37"/>
  <c r="AA36" i="37" s="1"/>
  <c r="F37" i="37"/>
  <c r="AA37" i="37" s="1"/>
  <c r="F31" i="40"/>
  <c r="AA31" i="40" s="1"/>
  <c r="H31" i="40"/>
  <c r="AB31" i="40" s="1"/>
  <c r="F32" i="40"/>
  <c r="S32" i="40" s="1"/>
  <c r="H32" i="40"/>
  <c r="AB32" i="40"/>
  <c r="J36" i="40"/>
  <c r="W36" i="40" s="1"/>
  <c r="H19" i="37"/>
  <c r="AB19" i="37" s="1"/>
  <c r="G123" i="33"/>
  <c r="H123" i="33" s="1"/>
  <c r="I123" i="33" s="1"/>
  <c r="J123" i="33" s="1"/>
  <c r="K123" i="33" s="1"/>
  <c r="L123" i="33" s="1"/>
  <c r="M123" i="33" s="1"/>
  <c r="H42" i="33"/>
  <c r="AB42" i="33" s="1"/>
  <c r="J43" i="33"/>
  <c r="AC43" i="33" s="1"/>
  <c r="S28" i="31"/>
  <c r="S27" i="31"/>
  <c r="S26" i="31"/>
  <c r="U35" i="35"/>
  <c r="W14" i="37"/>
  <c r="AB28" i="37"/>
  <c r="U33" i="37"/>
  <c r="U39" i="37"/>
  <c r="AC8" i="37"/>
  <c r="W47" i="34"/>
  <c r="AB13" i="34"/>
  <c r="AC36" i="34"/>
  <c r="AA13" i="33"/>
  <c r="AC31" i="33"/>
  <c r="AC45" i="33"/>
  <c r="W44" i="33"/>
  <c r="U11" i="33"/>
  <c r="U19" i="21"/>
  <c r="W44" i="21"/>
  <c r="U26" i="21"/>
  <c r="AB38" i="21"/>
  <c r="F43" i="33"/>
  <c r="AA43" i="33" s="1"/>
  <c r="AC15" i="34"/>
  <c r="G107" i="37"/>
  <c r="H107" i="37"/>
  <c r="I107" i="37" s="1"/>
  <c r="J107" i="37" s="1"/>
  <c r="K107" i="37" s="1"/>
  <c r="L107" i="37" s="1"/>
  <c r="M107" i="37" s="1"/>
  <c r="H37" i="21"/>
  <c r="U37" i="21" s="1"/>
  <c r="S42" i="21"/>
  <c r="H19" i="34"/>
  <c r="AB19" i="34" s="1"/>
  <c r="F36" i="35"/>
  <c r="S36" i="35"/>
  <c r="J9" i="37"/>
  <c r="W9" i="37" s="1"/>
  <c r="H9" i="37"/>
  <c r="AB9" i="37" s="1"/>
  <c r="F9" i="37"/>
  <c r="S9" i="37" s="1"/>
  <c r="J12" i="37"/>
  <c r="W12" i="37" s="1"/>
  <c r="H12" i="37"/>
  <c r="U12" i="37" s="1"/>
  <c r="AB12" i="37"/>
  <c r="F12" i="37"/>
  <c r="S12" i="37" s="1"/>
  <c r="F15" i="37"/>
  <c r="AA15" i="37" s="1"/>
  <c r="E94" i="37"/>
  <c r="F94" i="37" s="1"/>
  <c r="G94" i="37" s="1"/>
  <c r="H94" i="37" s="1"/>
  <c r="I94" i="37" s="1"/>
  <c r="J94" i="37" s="1"/>
  <c r="K94" i="37" s="1"/>
  <c r="L94" i="37" s="1"/>
  <c r="M94" i="37" s="1"/>
  <c r="F31" i="37"/>
  <c r="S31" i="37" s="1"/>
  <c r="F12" i="39"/>
  <c r="S12" i="39"/>
  <c r="J42" i="39"/>
  <c r="W42" i="39" s="1"/>
  <c r="AC42" i="39"/>
  <c r="H21" i="40"/>
  <c r="AB21" i="40"/>
  <c r="H31" i="37"/>
  <c r="U31" i="37" s="1"/>
  <c r="J15" i="37"/>
  <c r="W15" i="37" s="1"/>
  <c r="AT6" i="3"/>
  <c r="H19" i="40"/>
  <c r="U19" i="40"/>
  <c r="F88" i="40"/>
  <c r="G88" i="40" s="1"/>
  <c r="F19" i="40"/>
  <c r="S19" i="40" s="1"/>
  <c r="S14" i="40"/>
  <c r="AB33" i="40"/>
  <c r="W23" i="39"/>
  <c r="AC43" i="39"/>
  <c r="W43" i="39"/>
  <c r="U45" i="39"/>
  <c r="AB45" i="39"/>
  <c r="H37" i="39"/>
  <c r="AB37" i="39" s="1"/>
  <c r="AC37" i="39"/>
  <c r="W37" i="39"/>
  <c r="H25" i="39"/>
  <c r="J25" i="39"/>
  <c r="F25" i="39"/>
  <c r="AA25" i="39" s="1"/>
  <c r="F15" i="39"/>
  <c r="AA15" i="39" s="1"/>
  <c r="H15" i="39"/>
  <c r="U15" i="39"/>
  <c r="J15" i="39"/>
  <c r="W15" i="39" s="1"/>
  <c r="H41" i="39"/>
  <c r="W27" i="39"/>
  <c r="AB34" i="39"/>
  <c r="S42" i="39"/>
  <c r="W14" i="39"/>
  <c r="AA41" i="39"/>
  <c r="W9" i="39"/>
  <c r="W8" i="39"/>
  <c r="J19" i="40"/>
  <c r="AC19" i="40" s="1"/>
  <c r="J50" i="40"/>
  <c r="H103" i="9"/>
  <c r="D8" i="53" s="1"/>
  <c r="B16" i="53"/>
  <c r="B33" i="72" s="1"/>
  <c r="C7" i="37"/>
  <c r="C52" i="37" s="1"/>
  <c r="D52" i="37" s="1"/>
  <c r="C7" i="34"/>
  <c r="C7" i="36"/>
  <c r="C46" i="36" s="1"/>
  <c r="D46" i="36" s="1"/>
  <c r="W35" i="40"/>
  <c r="A118" i="9"/>
  <c r="A4" i="52"/>
  <c r="B41" i="72" s="1"/>
  <c r="J11" i="39"/>
  <c r="F11" i="39"/>
  <c r="AA11" i="39"/>
  <c r="S11" i="39"/>
  <c r="G4" i="4"/>
  <c r="I4" i="4"/>
  <c r="A2" i="9"/>
  <c r="AZ522" i="3"/>
  <c r="AZ530"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AZ360" i="3" s="1"/>
  <c r="BL360" i="3"/>
  <c r="G361" i="3"/>
  <c r="BA362" i="3"/>
  <c r="AZ362" i="3" s="1"/>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AZ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AZ200" i="3" s="1"/>
  <c r="G201" i="3"/>
  <c r="BA203" i="3"/>
  <c r="AZ203" i="3" s="1"/>
  <c r="BL204" i="3"/>
  <c r="AZ105" i="3"/>
  <c r="G534" i="3"/>
  <c r="G530" i="3"/>
  <c r="G522" i="3"/>
  <c r="G516" i="3"/>
  <c r="G512" i="3"/>
  <c r="G506" i="3"/>
  <c r="G498" i="3"/>
  <c r="G494" i="3"/>
  <c r="G16" i="3"/>
  <c r="G15" i="3"/>
  <c r="BA304" i="3"/>
  <c r="AZ304" i="3"/>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c r="BA337" i="3"/>
  <c r="AZ337" i="3" s="1"/>
  <c r="BL337" i="3"/>
  <c r="G338" i="3"/>
  <c r="G341" i="3"/>
  <c r="BA342" i="3"/>
  <c r="BL342" i="3"/>
  <c r="BA344" i="3"/>
  <c r="BL344" i="3"/>
  <c r="BA346" i="3"/>
  <c r="G350" i="3"/>
  <c r="BA351" i="3"/>
  <c r="BL351" i="3"/>
  <c r="AZ351" i="3" s="1"/>
  <c r="G352" i="3"/>
  <c r="G354" i="3"/>
  <c r="BA355" i="3"/>
  <c r="AZ355" i="3" s="1"/>
  <c r="BA356" i="3"/>
  <c r="BL356" i="3"/>
  <c r="G357" i="3"/>
  <c r="G360" i="3"/>
  <c r="BL361" i="3"/>
  <c r="BA363" i="3"/>
  <c r="BA364" i="3"/>
  <c r="AZ364" i="3" s="1"/>
  <c r="BL364" i="3"/>
  <c r="G365" i="3"/>
  <c r="G368" i="3"/>
  <c r="BL369" i="3"/>
  <c r="BA371" i="3"/>
  <c r="BA372" i="3"/>
  <c r="AZ372" i="3"/>
  <c r="BL372" i="3"/>
  <c r="G373" i="3"/>
  <c r="G376" i="3"/>
  <c r="BL377" i="3"/>
  <c r="BL379" i="3"/>
  <c r="BA381" i="3"/>
  <c r="AZ381" i="3"/>
  <c r="BA382" i="3"/>
  <c r="AZ382" i="3" s="1"/>
  <c r="BL382" i="3"/>
  <c r="G383" i="3"/>
  <c r="G386" i="3"/>
  <c r="BL387" i="3"/>
  <c r="AZ387" i="3" s="1"/>
  <c r="BA389" i="3"/>
  <c r="AZ389" i="3" s="1"/>
  <c r="BA390" i="3"/>
  <c r="BL390" i="3"/>
  <c r="G391" i="3"/>
  <c r="G394" i="3"/>
  <c r="BA16" i="3"/>
  <c r="BL303" i="3"/>
  <c r="G304" i="3"/>
  <c r="BA306" i="3"/>
  <c r="BL307" i="3"/>
  <c r="G308" i="3"/>
  <c r="BA310" i="3"/>
  <c r="AZ310" i="3"/>
  <c r="BL311" i="3"/>
  <c r="AZ311" i="3" s="1"/>
  <c r="G312" i="3"/>
  <c r="BA314" i="3"/>
  <c r="BL315" i="3"/>
  <c r="G316" i="3"/>
  <c r="BA318" i="3"/>
  <c r="BL319" i="3"/>
  <c r="G320" i="3"/>
  <c r="BA322" i="3"/>
  <c r="AZ322" i="3" s="1"/>
  <c r="BL323" i="3"/>
  <c r="G324" i="3"/>
  <c r="BA326" i="3"/>
  <c r="AZ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BA379" i="3"/>
  <c r="AZ379" i="3" s="1"/>
  <c r="BL380" i="3"/>
  <c r="G381" i="3"/>
  <c r="BA383" i="3"/>
  <c r="BL384" i="3"/>
  <c r="G385" i="3"/>
  <c r="BA387" i="3"/>
  <c r="BL388" i="3"/>
  <c r="G389" i="3"/>
  <c r="BA391" i="3"/>
  <c r="AZ391" i="3" s="1"/>
  <c r="BL392" i="3"/>
  <c r="G393" i="3"/>
  <c r="AZ506" i="3"/>
  <c r="G538" i="3"/>
  <c r="G520" i="3"/>
  <c r="G502" i="3"/>
  <c r="BI5" i="3"/>
  <c r="G17" i="3"/>
  <c r="BA17" i="3"/>
  <c r="AZ17" i="3" s="1"/>
  <c r="BA15" i="3"/>
  <c r="AZ15" i="3" s="1"/>
  <c r="AZ380" i="3"/>
  <c r="G509" i="3"/>
  <c r="BL493" i="3"/>
  <c r="AZ493" i="3" s="1"/>
  <c r="AZ376" i="3"/>
  <c r="AZ390" i="3"/>
  <c r="U36" i="40"/>
  <c r="H117" i="43"/>
  <c r="D21" i="43"/>
  <c r="F42" i="43"/>
  <c r="I21" i="43"/>
  <c r="F39" i="43"/>
  <c r="J21" i="43"/>
  <c r="F6" i="1"/>
  <c r="G6" i="1" s="1"/>
  <c r="S14" i="35"/>
  <c r="U43" i="21"/>
  <c r="U35" i="21"/>
  <c r="AC35" i="21"/>
  <c r="U10" i="21"/>
  <c r="G8" i="1"/>
  <c r="G10" i="1"/>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J20" i="36"/>
  <c r="W20" i="36" s="1"/>
  <c r="J27" i="36"/>
  <c r="AC27" i="36" s="1"/>
  <c r="AC33" i="40"/>
  <c r="F111" i="40"/>
  <c r="G111" i="40"/>
  <c r="H111" i="40" s="1"/>
  <c r="I111" i="40" s="1"/>
  <c r="J111" i="40" s="1"/>
  <c r="K111" i="40" s="1"/>
  <c r="L111" i="40" s="1"/>
  <c r="M111" i="40" s="1"/>
  <c r="H35" i="40"/>
  <c r="AB35" i="40" s="1"/>
  <c r="AC29" i="35"/>
  <c r="W29" i="35"/>
  <c r="H35" i="37"/>
  <c r="U35" i="37"/>
  <c r="AC14" i="35"/>
  <c r="H20" i="35"/>
  <c r="U20" i="35" s="1"/>
  <c r="F20" i="35"/>
  <c r="AA20" i="35" s="1"/>
  <c r="AB29" i="36"/>
  <c r="U29" i="36"/>
  <c r="H32" i="37"/>
  <c r="AB32" i="37" s="1"/>
  <c r="H27" i="40"/>
  <c r="AB27" i="40" s="1"/>
  <c r="J27" i="40"/>
  <c r="AC27" i="40" s="1"/>
  <c r="F27" i="40"/>
  <c r="S27" i="40"/>
  <c r="J30" i="40"/>
  <c r="AC30" i="40"/>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S40" i="34" s="1"/>
  <c r="F43" i="34"/>
  <c r="AA43" i="34" s="1"/>
  <c r="H44" i="34"/>
  <c r="AB44" i="34" s="1"/>
  <c r="AC38" i="39"/>
  <c r="F39" i="39"/>
  <c r="S39" i="39" s="1"/>
  <c r="J39" i="39"/>
  <c r="W39" i="39" s="1"/>
  <c r="AC39" i="39"/>
  <c r="E97" i="39"/>
  <c r="F97" i="39" s="1"/>
  <c r="G97" i="39" s="1"/>
  <c r="C40" i="11"/>
  <c r="AZ271" i="3"/>
  <c r="F23" i="39"/>
  <c r="AA23" i="39"/>
  <c r="H27" i="36"/>
  <c r="U27" i="36"/>
  <c r="F27" i="36"/>
  <c r="S27" i="36" s="1"/>
  <c r="H33" i="34"/>
  <c r="U33" i="34" s="1"/>
  <c r="F32" i="37"/>
  <c r="F20" i="36"/>
  <c r="AA20" i="36" s="1"/>
  <c r="J33" i="34"/>
  <c r="AC33" i="34"/>
  <c r="H23" i="39"/>
  <c r="U23" i="39" s="1"/>
  <c r="D48" i="9"/>
  <c r="M52" i="9" s="1"/>
  <c r="K9" i="1"/>
  <c r="M9" i="1" s="1"/>
  <c r="O9" i="1" s="1"/>
  <c r="P9" i="1" s="1"/>
  <c r="AE9" i="1"/>
  <c r="D93" i="9"/>
  <c r="K6" i="1"/>
  <c r="AC26" i="33"/>
  <c r="W26" i="33"/>
  <c r="W27" i="34"/>
  <c r="AC27" i="34"/>
  <c r="AB34" i="36"/>
  <c r="U34" i="36"/>
  <c r="AB33" i="36"/>
  <c r="U33" i="36"/>
  <c r="AC12" i="39"/>
  <c r="W12" i="39"/>
  <c r="AZ417" i="3"/>
  <c r="AZ586" i="3"/>
  <c r="E26" i="43"/>
  <c r="W12" i="33"/>
  <c r="AC12" i="33"/>
  <c r="AA32" i="36"/>
  <c r="S32" i="36"/>
  <c r="AZ490" i="3"/>
  <c r="BL14" i="3"/>
  <c r="AZ14" i="3" s="1"/>
  <c r="U30" i="33"/>
  <c r="AC13" i="34"/>
  <c r="AA47" i="34"/>
  <c r="W28" i="37"/>
  <c r="S19" i="39"/>
  <c r="F12" i="33"/>
  <c r="H12" i="39"/>
  <c r="AB12" i="39" s="1"/>
  <c r="F39" i="40"/>
  <c r="BA14" i="3"/>
  <c r="S12" i="1"/>
  <c r="AR12" i="1" s="1"/>
  <c r="R12" i="1"/>
  <c r="B12" i="1"/>
  <c r="E12" i="1" s="1"/>
  <c r="S10" i="1"/>
  <c r="T10" i="1" s="1"/>
  <c r="R10" i="1"/>
  <c r="B10" i="1"/>
  <c r="E10" i="1" s="1"/>
  <c r="K12" i="1"/>
  <c r="M12" i="1" s="1"/>
  <c r="O12" i="1" s="1"/>
  <c r="S13" i="1"/>
  <c r="AR13" i="1" s="1"/>
  <c r="R13" i="1"/>
  <c r="S11" i="1"/>
  <c r="AQ11" i="1" s="1"/>
  <c r="R11" i="1"/>
  <c r="S9" i="1"/>
  <c r="AR9" i="1" s="1"/>
  <c r="R9" i="1"/>
  <c r="J51" i="67"/>
  <c r="C42" i="1"/>
  <c r="AC34" i="33"/>
  <c r="B41" i="1"/>
  <c r="F48" i="9" s="1"/>
  <c r="O52" i="9" s="1"/>
  <c r="F53" i="9"/>
  <c r="AB37" i="40"/>
  <c r="U35" i="40"/>
  <c r="AC36" i="40"/>
  <c r="W38" i="40"/>
  <c r="S17" i="40"/>
  <c r="S23" i="40"/>
  <c r="AC17" i="40"/>
  <c r="AC15" i="40"/>
  <c r="AA19" i="40"/>
  <c r="S28" i="40"/>
  <c r="AA27" i="40"/>
  <c r="U21" i="40"/>
  <c r="AB19" i="40"/>
  <c r="U37" i="39"/>
  <c r="S43" i="39"/>
  <c r="S37" i="39"/>
  <c r="U35" i="39"/>
  <c r="F32" i="39"/>
  <c r="AA32" i="39" s="1"/>
  <c r="F107" i="39"/>
  <c r="G107" i="39" s="1"/>
  <c r="AB27" i="39"/>
  <c r="U31" i="39"/>
  <c r="J21" i="39"/>
  <c r="F21" i="39"/>
  <c r="AA21" i="39" s="1"/>
  <c r="G95" i="39"/>
  <c r="H21" i="39"/>
  <c r="AB21" i="39" s="1"/>
  <c r="W19" i="39"/>
  <c r="U19" i="39"/>
  <c r="S17" i="39"/>
  <c r="S15" i="39"/>
  <c r="AB15" i="39"/>
  <c r="AA12" i="39"/>
  <c r="S9" i="39"/>
  <c r="U14" i="39"/>
  <c r="AC13" i="39"/>
  <c r="U12" i="39"/>
  <c r="S23" i="36"/>
  <c r="U13" i="36"/>
  <c r="AB27" i="36"/>
  <c r="U26" i="36"/>
  <c r="AA26" i="36"/>
  <c r="AA34" i="36"/>
  <c r="S29" i="36"/>
  <c r="AC26" i="36"/>
  <c r="AA22" i="36"/>
  <c r="W14" i="36"/>
  <c r="AB14" i="36"/>
  <c r="U22" i="36"/>
  <c r="S16" i="36"/>
  <c r="AA25" i="36"/>
  <c r="U23" i="36"/>
  <c r="U16"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13" i="35"/>
  <c r="F9" i="35"/>
  <c r="AA9" i="35" s="1"/>
  <c r="H9" i="35"/>
  <c r="F26" i="35"/>
  <c r="AA26" i="35" s="1"/>
  <c r="J26" i="35"/>
  <c r="H26" i="35"/>
  <c r="AB40" i="37"/>
  <c r="S26" i="37"/>
  <c r="AC29" i="37"/>
  <c r="AB31" i="37"/>
  <c r="W30" i="37"/>
  <c r="S36" i="37"/>
  <c r="AA38" i="37"/>
  <c r="U32" i="37"/>
  <c r="W38" i="37"/>
  <c r="AC35" i="37"/>
  <c r="W39" i="37"/>
  <c r="S30" i="37"/>
  <c r="S37" i="37"/>
  <c r="AC15" i="37"/>
  <c r="J17" i="37"/>
  <c r="AC17" i="37" s="1"/>
  <c r="G73" i="37"/>
  <c r="F17" i="37"/>
  <c r="AB17" i="37"/>
  <c r="F75" i="37"/>
  <c r="F19" i="37"/>
  <c r="S19" i="37" s="1"/>
  <c r="F79" i="37"/>
  <c r="G79" i="37" s="1"/>
  <c r="F23" i="37"/>
  <c r="AA23" i="37" s="1"/>
  <c r="U23" i="37"/>
  <c r="U15" i="37"/>
  <c r="AC13" i="37"/>
  <c r="U9" i="37"/>
  <c r="AA13" i="37"/>
  <c r="AA12" i="37"/>
  <c r="H10" i="37"/>
  <c r="H60" i="37"/>
  <c r="F63" i="37"/>
  <c r="F11" i="37"/>
  <c r="S11" i="37" s="1"/>
  <c r="S27" i="34"/>
  <c r="W25" i="34"/>
  <c r="AB8" i="34"/>
  <c r="AA33" i="34"/>
  <c r="U43" i="34"/>
  <c r="AC39" i="34"/>
  <c r="W41" i="34"/>
  <c r="AC42" i="34"/>
  <c r="AB35" i="34"/>
  <c r="U39" i="34"/>
  <c r="S43" i="34"/>
  <c r="AB41" i="34"/>
  <c r="AA45" i="34"/>
  <c r="W34" i="34"/>
  <c r="AA25" i="34"/>
  <c r="U28" i="34"/>
  <c r="S17" i="34"/>
  <c r="U27" i="34"/>
  <c r="S23" i="34"/>
  <c r="S10" i="34"/>
  <c r="S13" i="34"/>
  <c r="H10" i="34"/>
  <c r="AB10" i="34" s="1"/>
  <c r="F11" i="34"/>
  <c r="S11" i="34" s="1"/>
  <c r="F70" i="34"/>
  <c r="W42" i="33"/>
  <c r="AA35" i="33"/>
  <c r="S27" i="33"/>
  <c r="S32" i="33"/>
  <c r="AA29" i="33"/>
  <c r="W38" i="33"/>
  <c r="H41" i="33"/>
  <c r="U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F87" i="33"/>
  <c r="H25" i="33"/>
  <c r="AB25" i="33" s="1"/>
  <c r="F25" i="33"/>
  <c r="S25" i="33" s="1"/>
  <c r="J23" i="33"/>
  <c r="W23" i="33" s="1"/>
  <c r="F85" i="33"/>
  <c r="G85" i="33" s="1"/>
  <c r="H23" i="33"/>
  <c r="F81" i="33"/>
  <c r="F19" i="33"/>
  <c r="S19" i="33"/>
  <c r="W19" i="33"/>
  <c r="J17" i="33"/>
  <c r="F79" i="33"/>
  <c r="G79" i="33" s="1"/>
  <c r="S15" i="33"/>
  <c r="W15" i="33"/>
  <c r="I66" i="33"/>
  <c r="J10" i="33"/>
  <c r="H10" i="33"/>
  <c r="AC11" i="33"/>
  <c r="AB14" i="33"/>
  <c r="W43" i="21"/>
  <c r="W36" i="21"/>
  <c r="W41" i="21"/>
  <c r="AB39" i="21"/>
  <c r="AA43" i="21"/>
  <c r="S39" i="21"/>
  <c r="AA38" i="21"/>
  <c r="AC40"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c r="U29" i="34"/>
  <c r="E5" i="6"/>
  <c r="D9" i="68" s="1"/>
  <c r="C9" i="68" s="1"/>
  <c r="P10" i="1"/>
  <c r="E32" i="6"/>
  <c r="L19" i="6"/>
  <c r="L27" i="6" s="1"/>
  <c r="G1" i="68"/>
  <c r="K1" i="12"/>
  <c r="AR10" i="1"/>
  <c r="E19" i="69"/>
  <c r="E19" i="68"/>
  <c r="E19" i="11"/>
  <c r="E1" i="73"/>
  <c r="G22" i="69"/>
  <c r="G22" i="68"/>
  <c r="G26" i="12"/>
  <c r="G22" i="11"/>
  <c r="Z7" i="43"/>
  <c r="E73" i="43"/>
  <c r="B71" i="43" s="1"/>
  <c r="H21" i="43"/>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9" i="34"/>
  <c r="D59" i="34" s="1"/>
  <c r="A4" i="51"/>
  <c r="B6" i="72" s="1"/>
  <c r="C4" i="12"/>
  <c r="L20" i="6"/>
  <c r="E56" i="39"/>
  <c r="E51" i="40"/>
  <c r="B6" i="1"/>
  <c r="E6" i="1" s="1"/>
  <c r="S8" i="1"/>
  <c r="T8" i="1" s="1"/>
  <c r="K11" i="1"/>
  <c r="M11" i="1" s="1"/>
  <c r="O11" i="1" s="1"/>
  <c r="AP6" i="1"/>
  <c r="B9" i="1"/>
  <c r="E9" i="1"/>
  <c r="K7" i="1"/>
  <c r="G1" i="15"/>
  <c r="G1" i="69"/>
  <c r="G1" i="67"/>
  <c r="W23" i="40"/>
  <c r="U32" i="40"/>
  <c r="S37" i="40"/>
  <c r="AB28" i="40"/>
  <c r="W28" i="40"/>
  <c r="W34" i="40"/>
  <c r="W19" i="40"/>
  <c r="W27" i="40"/>
  <c r="S36" i="40"/>
  <c r="AC14" i="40"/>
  <c r="S13" i="40"/>
  <c r="S33" i="40"/>
  <c r="U11" i="40"/>
  <c r="S31" i="40"/>
  <c r="AB13" i="40"/>
  <c r="U15" i="40"/>
  <c r="AB17" i="40"/>
  <c r="U8" i="40"/>
  <c r="S8" i="40"/>
  <c r="AC41" i="39"/>
  <c r="U42" i="39"/>
  <c r="AB23" i="39"/>
  <c r="U41" i="39"/>
  <c r="AB41" i="39"/>
  <c r="W25" i="39"/>
  <c r="AC25" i="39"/>
  <c r="U13" i="39"/>
  <c r="AB13" i="39"/>
  <c r="AA13" i="39"/>
  <c r="S13" i="39"/>
  <c r="S14" i="39"/>
  <c r="U43" i="39"/>
  <c r="AB43" i="39"/>
  <c r="AB11" i="39"/>
  <c r="U11" i="39"/>
  <c r="AA27" i="39"/>
  <c r="S27" i="39"/>
  <c r="W17" i="39"/>
  <c r="AC17" i="39"/>
  <c r="W31" i="39"/>
  <c r="AC31" i="39"/>
  <c r="S23" i="39"/>
  <c r="AA45" i="39"/>
  <c r="W34" i="39"/>
  <c r="U38" i="39"/>
  <c r="S8" i="39"/>
  <c r="S20" i="36"/>
  <c r="AC25" i="36"/>
  <c r="S28" i="36"/>
  <c r="U32" i="36"/>
  <c r="W29" i="36"/>
  <c r="AC20" i="36"/>
  <c r="U25" i="36"/>
  <c r="AB28"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W33" i="34"/>
  <c r="AC32" i="34"/>
  <c r="W46" i="34"/>
  <c r="AC46" i="34"/>
  <c r="S32" i="34"/>
  <c r="AA32" i="34"/>
  <c r="AB30" i="34"/>
  <c r="S37" i="34"/>
  <c r="U38" i="34"/>
  <c r="AC40" i="34"/>
  <c r="W40" i="34"/>
  <c r="AA19" i="34"/>
  <c r="S19" i="34"/>
  <c r="AA36" i="34"/>
  <c r="S36" i="34"/>
  <c r="AA8" i="34"/>
  <c r="S8" i="34"/>
  <c r="AB9" i="34"/>
  <c r="U9" i="34"/>
  <c r="S46" i="34"/>
  <c r="AA46"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AC28" i="33"/>
  <c r="S28" i="33"/>
  <c r="W8" i="33"/>
  <c r="S44" i="21"/>
  <c r="AB42" i="21"/>
  <c r="AA11" i="21"/>
  <c r="J101" i="21"/>
  <c r="K101" i="21" s="1"/>
  <c r="L101" i="21" s="1"/>
  <c r="M101" i="21" s="1"/>
  <c r="F33" i="21"/>
  <c r="J33" i="21"/>
  <c r="AC33" i="21" s="1"/>
  <c r="H33" i="21"/>
  <c r="AB33" i="21" s="1"/>
  <c r="F37" i="21"/>
  <c r="AB31" i="21"/>
  <c r="U31" i="21"/>
  <c r="AC15" i="21"/>
  <c r="U13" i="21"/>
  <c r="AB13" i="21"/>
  <c r="W8" i="21"/>
  <c r="S35" i="21"/>
  <c r="AB37" i="21"/>
  <c r="J37" i="21"/>
  <c r="W37" i="21" s="1"/>
  <c r="H15" i="21"/>
  <c r="U15" i="21" s="1"/>
  <c r="J17" i="21"/>
  <c r="AC19" i="21"/>
  <c r="W39" i="21"/>
  <c r="W30" i="21"/>
  <c r="H45" i="21"/>
  <c r="U45" i="21" s="1"/>
  <c r="F29" i="21"/>
  <c r="S29" i="21" s="1"/>
  <c r="F13" i="21"/>
  <c r="S13" i="21" s="1"/>
  <c r="AA13" i="21"/>
  <c r="AC38" i="21"/>
  <c r="H32" i="21"/>
  <c r="H9" i="21"/>
  <c r="U9" i="21" s="1"/>
  <c r="J9" i="21"/>
  <c r="AC9" i="21" s="1"/>
  <c r="J32" i="21"/>
  <c r="W32" i="21" s="1"/>
  <c r="F32" i="21"/>
  <c r="AA31" i="21"/>
  <c r="U17" i="21"/>
  <c r="W29" i="21"/>
  <c r="S19" i="21"/>
  <c r="S9" i="21"/>
  <c r="AA9" i="21"/>
  <c r="K141" i="21"/>
  <c r="K144" i="21"/>
  <c r="K143" i="21"/>
  <c r="AB25" i="21"/>
  <c r="AB44" i="21"/>
  <c r="AA30" i="21"/>
  <c r="W13" i="21"/>
  <c r="W42" i="21"/>
  <c r="F10" i="21"/>
  <c r="AA10" i="21" s="1"/>
  <c r="K145" i="21"/>
  <c r="W25" i="21"/>
  <c r="AA29" i="21"/>
  <c r="W31" i="21"/>
  <c r="S17" i="21"/>
  <c r="AA15" i="21"/>
  <c r="AC26" i="21"/>
  <c r="AB29" i="21"/>
  <c r="AC34" i="21"/>
  <c r="W10" i="21"/>
  <c r="AB36" i="21"/>
  <c r="W30" i="40"/>
  <c r="C19" i="39"/>
  <c r="C15" i="40"/>
  <c r="C17" i="40"/>
  <c r="C23" i="40"/>
  <c r="C21" i="40"/>
  <c r="U30" i="40"/>
  <c r="B57" i="43"/>
  <c r="B68" i="43"/>
  <c r="B52" i="43"/>
  <c r="B55" i="43"/>
  <c r="B59" i="43"/>
  <c r="B63" i="43"/>
  <c r="B66" i="43"/>
  <c r="B70" i="43"/>
  <c r="D23" i="15"/>
  <c r="D22" i="15"/>
  <c r="E4" i="4"/>
  <c r="B5" i="62" s="1"/>
  <c r="B73" i="72" s="1"/>
  <c r="C4" i="4"/>
  <c r="AQ13" i="1"/>
  <c r="AZ13" i="3"/>
  <c r="M6" i="1"/>
  <c r="O6" i="1" s="1"/>
  <c r="P6" i="1"/>
  <c r="F30" i="68"/>
  <c r="F48" i="68" s="1"/>
  <c r="F30" i="11"/>
  <c r="C48" i="11"/>
  <c r="F28" i="67"/>
  <c r="F31" i="12"/>
  <c r="F52" i="9"/>
  <c r="F30" i="69"/>
  <c r="F32" i="15"/>
  <c r="F60" i="15" s="1"/>
  <c r="M18" i="15"/>
  <c r="F28" i="15"/>
  <c r="T11" i="1"/>
  <c r="AQ9" i="1"/>
  <c r="AR11" i="1"/>
  <c r="C28" i="15"/>
  <c r="T9" i="1"/>
  <c r="S7" i="1"/>
  <c r="T7" i="1" s="1"/>
  <c r="E7" i="70"/>
  <c r="AA39" i="40"/>
  <c r="S39" i="40"/>
  <c r="S12" i="33"/>
  <c r="AA12" i="33"/>
  <c r="D68" i="9"/>
  <c r="F54" i="9"/>
  <c r="J32" i="39"/>
  <c r="H107" i="39"/>
  <c r="I107" i="39"/>
  <c r="J107" i="39" s="1"/>
  <c r="K107" i="39" s="1"/>
  <c r="L107" i="39" s="1"/>
  <c r="M107" i="39" s="1"/>
  <c r="H32" i="39"/>
  <c r="AB32" i="39" s="1"/>
  <c r="S32" i="39"/>
  <c r="AC21" i="39"/>
  <c r="W21" i="39"/>
  <c r="S26" i="35"/>
  <c r="U9" i="35"/>
  <c r="AB9" i="35"/>
  <c r="S9" i="35"/>
  <c r="AC26" i="35"/>
  <c r="W26" i="35"/>
  <c r="AB26" i="35"/>
  <c r="U26" i="35"/>
  <c r="J19" i="37"/>
  <c r="AC19" i="37" s="1"/>
  <c r="G75" i="37"/>
  <c r="AA19" i="37"/>
  <c r="J23" i="37"/>
  <c r="J10" i="37"/>
  <c r="I60" i="37"/>
  <c r="G63" i="37"/>
  <c r="H11" i="37"/>
  <c r="AB11" i="37" s="1"/>
  <c r="AB10" i="37"/>
  <c r="U10" i="37"/>
  <c r="G70" i="34"/>
  <c r="H70" i="34" s="1"/>
  <c r="H11" i="34"/>
  <c r="U11" i="34" s="1"/>
  <c r="U10" i="34"/>
  <c r="J10" i="34"/>
  <c r="W10" i="34" s="1"/>
  <c r="I67" i="34"/>
  <c r="AB41" i="33"/>
  <c r="W35" i="33"/>
  <c r="AC35" i="33"/>
  <c r="J36" i="33"/>
  <c r="W36" i="33" s="1"/>
  <c r="H36" i="33"/>
  <c r="AB36" i="33" s="1"/>
  <c r="S36" i="33"/>
  <c r="AA36" i="33"/>
  <c r="AC32" i="33"/>
  <c r="W32" i="33"/>
  <c r="U27" i="33"/>
  <c r="AB27" i="33"/>
  <c r="J27" i="33"/>
  <c r="AC27" i="33" s="1"/>
  <c r="U25" i="33"/>
  <c r="AA25" i="33"/>
  <c r="G87" i="33"/>
  <c r="H87" i="33" s="1"/>
  <c r="I87" i="33" s="1"/>
  <c r="J87" i="33"/>
  <c r="K87" i="33" s="1"/>
  <c r="L87" i="33" s="1"/>
  <c r="M87" i="33" s="1"/>
  <c r="J25" i="33"/>
  <c r="AB23" i="33"/>
  <c r="U23" i="33"/>
  <c r="F23" i="33"/>
  <c r="AA19" i="33"/>
  <c r="H19" i="33"/>
  <c r="U19" i="33" s="1"/>
  <c r="G81" i="33"/>
  <c r="H17" i="33"/>
  <c r="U17" i="33" s="1"/>
  <c r="F17" i="33"/>
  <c r="AA17" i="33" s="1"/>
  <c r="W17" i="33"/>
  <c r="AC17" i="33"/>
  <c r="U10" i="33"/>
  <c r="AB10" i="33"/>
  <c r="AB15" i="21"/>
  <c r="J23" i="21"/>
  <c r="W23" i="21" s="1"/>
  <c r="F85" i="21"/>
  <c r="G85" i="21" s="1"/>
  <c r="H23" i="21"/>
  <c r="D6" i="52"/>
  <c r="C27" i="43"/>
  <c r="S6" i="1"/>
  <c r="AQ6" i="1" s="1"/>
  <c r="AR8" i="1"/>
  <c r="AQ8" i="1"/>
  <c r="AP7" i="1"/>
  <c r="W33" i="21"/>
  <c r="S33" i="21"/>
  <c r="AA33" i="21"/>
  <c r="AB9" i="21"/>
  <c r="AA32" i="21"/>
  <c r="S32" i="21"/>
  <c r="W9" i="21"/>
  <c r="AR7" i="1"/>
  <c r="C30" i="11"/>
  <c r="E6" i="70"/>
  <c r="E2" i="70" s="1"/>
  <c r="AC32" i="39"/>
  <c r="W32" i="39"/>
  <c r="U11" i="37"/>
  <c r="H63" i="37"/>
  <c r="I63" i="37" s="1"/>
  <c r="J63" i="37" s="1"/>
  <c r="K63" i="37" s="1"/>
  <c r="L63" i="37" s="1"/>
  <c r="M63" i="37" s="1"/>
  <c r="J11" i="37"/>
  <c r="AC11" i="37" s="1"/>
  <c r="I70" i="34"/>
  <c r="J70" i="34" s="1"/>
  <c r="K70" i="34" s="1"/>
  <c r="L70" i="34" s="1"/>
  <c r="M70" i="34" s="1"/>
  <c r="J11" i="34"/>
  <c r="AC36" i="33"/>
  <c r="W25" i="33"/>
  <c r="AC25" i="33"/>
  <c r="T6" i="1"/>
  <c r="W11" i="37"/>
  <c r="W11" i="34"/>
  <c r="AC11" i="34"/>
  <c r="R7" i="1"/>
  <c r="F34" i="11"/>
  <c r="F11" i="12"/>
  <c r="C23" i="12" s="1"/>
  <c r="F34" i="68"/>
  <c r="R8" i="1"/>
  <c r="R6" i="1"/>
  <c r="AE7" i="1"/>
  <c r="AE8" i="1"/>
  <c r="AE6" i="1"/>
  <c r="AG6" i="1"/>
  <c r="H109" i="9"/>
  <c r="D16" i="53"/>
  <c r="D17" i="53" s="1"/>
  <c r="B36" i="72" s="1"/>
  <c r="H112" i="9"/>
  <c r="D21" i="53" s="1"/>
  <c r="B39" i="72" s="1"/>
  <c r="H111" i="9"/>
  <c r="D126" i="9" s="1"/>
  <c r="I14" i="74" s="1"/>
  <c r="B8" i="74" s="1"/>
  <c r="J1" i="73"/>
  <c r="C13" i="12"/>
  <c r="C77" i="9"/>
  <c r="C74" i="9" s="1"/>
  <c r="M4" i="43"/>
  <c r="M5" i="43"/>
  <c r="N12" i="43"/>
  <c r="N11" i="43"/>
  <c r="M10" i="43"/>
  <c r="M2" i="43"/>
  <c r="M8" i="43"/>
  <c r="M7" i="43"/>
  <c r="N9" i="43"/>
  <c r="N10" i="43"/>
  <c r="M6" i="43"/>
  <c r="N7" i="43"/>
  <c r="N4" i="43"/>
  <c r="N2" i="43"/>
  <c r="F51" i="43" s="1"/>
  <c r="H55" i="43" s="1"/>
  <c r="N21" i="43"/>
  <c r="L21" i="43"/>
  <c r="O21" i="43"/>
  <c r="M21" i="43"/>
  <c r="E21" i="43"/>
  <c r="C24" i="12"/>
  <c r="T25" i="71"/>
  <c r="C94" i="9"/>
  <c r="C92" i="9"/>
  <c r="F26" i="43"/>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B4" i="62"/>
  <c r="B71" i="72"/>
  <c r="K120" i="9"/>
  <c r="A18" i="62" s="1"/>
  <c r="B64" i="72" s="1"/>
  <c r="B67" i="71"/>
  <c r="O67" i="71" s="1"/>
  <c r="O68" i="71"/>
  <c r="M32" i="43"/>
  <c r="N32" i="43"/>
  <c r="O32" i="43"/>
  <c r="P32" i="43"/>
  <c r="C24" i="43"/>
  <c r="E44" i="43"/>
  <c r="C44" i="43" s="1"/>
  <c r="J26" i="43"/>
  <c r="B9" i="76"/>
  <c r="F20" i="31"/>
  <c r="F6" i="73"/>
  <c r="D5" i="73"/>
  <c r="M29" i="67"/>
  <c r="D34" i="9"/>
  <c r="J15" i="67"/>
  <c r="B8" i="76"/>
  <c r="D3" i="73"/>
  <c r="M24" i="67"/>
  <c r="M6" i="67"/>
  <c r="D2" i="21"/>
  <c r="F43" i="15"/>
  <c r="F13" i="67"/>
  <c r="L48" i="15"/>
  <c r="F9" i="67"/>
  <c r="F42" i="15"/>
  <c r="AO12" i="1"/>
  <c r="M29" i="15"/>
  <c r="AO10" i="1"/>
  <c r="F36" i="15"/>
  <c r="L48" i="67"/>
  <c r="F43" i="67"/>
  <c r="E7" i="76"/>
  <c r="F16" i="15"/>
  <c r="F8" i="15"/>
  <c r="M22" i="15"/>
  <c r="D2" i="35"/>
  <c r="F6" i="15"/>
  <c r="F38" i="67"/>
  <c r="E8" i="76"/>
  <c r="M8" i="15"/>
  <c r="M21" i="15"/>
  <c r="C76" i="67"/>
  <c r="L47" i="15"/>
  <c r="F35" i="15"/>
  <c r="E9" i="76"/>
  <c r="D20" i="9"/>
  <c r="C76" i="15"/>
  <c r="B11" i="76"/>
  <c r="C14" i="15"/>
  <c r="F35" i="67"/>
  <c r="AO6" i="1"/>
  <c r="F36" i="67"/>
  <c r="F38" i="15"/>
  <c r="C20" i="9"/>
  <c r="M23" i="15"/>
  <c r="M26" i="15"/>
  <c r="D2" i="34"/>
  <c r="M21" i="67"/>
  <c r="J15" i="15"/>
  <c r="D2" i="33"/>
  <c r="F7" i="73"/>
  <c r="M6" i="15"/>
  <c r="M8" i="67"/>
  <c r="B10" i="76"/>
  <c r="M9" i="15"/>
  <c r="F41" i="15"/>
  <c r="F13" i="15"/>
  <c r="F4" i="73"/>
  <c r="D19" i="9"/>
  <c r="F26" i="67"/>
  <c r="B13" i="76"/>
  <c r="AO9" i="1"/>
  <c r="AO11" i="1"/>
  <c r="E13" i="76"/>
  <c r="M9" i="67"/>
  <c r="E12" i="76"/>
  <c r="D7" i="73"/>
  <c r="F40" i="15"/>
  <c r="F37" i="15"/>
  <c r="E10" i="76"/>
  <c r="C19" i="9"/>
  <c r="F26" i="15"/>
  <c r="F37" i="67"/>
  <c r="M27" i="67"/>
  <c r="F5" i="73"/>
  <c r="AO8" i="1"/>
  <c r="E11" i="76"/>
  <c r="M28" i="15"/>
  <c r="M26" i="67"/>
  <c r="D35" i="9"/>
  <c r="F16" i="67"/>
  <c r="F3" i="73"/>
  <c r="AO13" i="1"/>
  <c r="B7" i="76"/>
  <c r="M27" i="15"/>
  <c r="E2" i="69"/>
  <c r="B12" i="76"/>
  <c r="D2" i="36"/>
  <c r="M24" i="15"/>
  <c r="F7" i="15"/>
  <c r="F9" i="15"/>
  <c r="D6" i="73"/>
  <c r="AO7" i="1"/>
  <c r="D2" i="37"/>
  <c r="F8" i="67"/>
  <c r="M23" i="67"/>
  <c r="M28" i="67"/>
  <c r="M22" i="67"/>
  <c r="E2" i="68"/>
  <c r="D4" i="73"/>
  <c r="D9" i="53" l="1"/>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AZ567" i="3"/>
  <c r="W32" i="36"/>
  <c r="AC32" i="36"/>
  <c r="AB13" i="33"/>
  <c r="U13" i="33"/>
  <c r="AA10" i="36"/>
  <c r="S10" i="36"/>
  <c r="W9" i="40"/>
  <c r="AC9" i="40"/>
  <c r="W19" i="37"/>
  <c r="W44" i="39"/>
  <c r="AC44" i="39"/>
  <c r="AC9" i="37"/>
  <c r="W27" i="36"/>
  <c r="AZ345" i="3"/>
  <c r="K5" i="4"/>
  <c r="B47" i="48" s="1"/>
  <c r="AZ569" i="3"/>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AZ514" i="3"/>
  <c r="O66" i="71"/>
  <c r="AZ383" i="3"/>
  <c r="AC33" i="37"/>
  <c r="W33" i="37"/>
  <c r="AB32" i="33"/>
  <c r="U32" i="33"/>
  <c r="F12" i="21"/>
  <c r="J12" i="21"/>
  <c r="J14" i="34"/>
  <c r="F14" i="34"/>
  <c r="H14" i="34"/>
  <c r="BA584" i="3"/>
  <c r="AZ584" i="3" s="1"/>
  <c r="G583" i="3"/>
  <c r="AZ568" i="3"/>
  <c r="AZ557" i="3"/>
  <c r="AZ539" i="3"/>
  <c r="AZ538" i="3"/>
  <c r="BL533" i="3"/>
  <c r="AZ533" i="3" s="1"/>
  <c r="AZ525" i="3"/>
  <c r="AZ521" i="3"/>
  <c r="AZ515" i="3"/>
  <c r="AZ497" i="3"/>
  <c r="AZ494" i="3"/>
  <c r="AC23" i="21"/>
  <c r="S17" i="33"/>
  <c r="S10" i="21"/>
  <c r="AA23" i="21"/>
  <c r="AB33" i="34"/>
  <c r="C31" i="12"/>
  <c r="AZ504" i="3"/>
  <c r="J29" i="34"/>
  <c r="F29" i="34"/>
  <c r="AZ392" i="3"/>
  <c r="U29" i="37"/>
  <c r="AB17" i="33"/>
  <c r="AB45" i="21"/>
  <c r="D19" i="53"/>
  <c r="F32" i="67"/>
  <c r="F60" i="67" s="1"/>
  <c r="S35" i="35"/>
  <c r="AB39" i="39"/>
  <c r="W37" i="40"/>
  <c r="T12" i="1"/>
  <c r="AA36" i="21"/>
  <c r="S24" i="36"/>
  <c r="S11" i="40"/>
  <c r="AZ373" i="3"/>
  <c r="AZ119" i="3"/>
  <c r="AZ341" i="3"/>
  <c r="AC12" i="37"/>
  <c r="BL539" i="3"/>
  <c r="S44" i="34"/>
  <c r="AA44" i="33"/>
  <c r="AC37" i="34"/>
  <c r="W37" i="34"/>
  <c r="W9"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AZ477" i="3"/>
  <c r="J34" i="36"/>
  <c r="F36" i="39"/>
  <c r="G585" i="3"/>
  <c r="AZ316" i="3"/>
  <c r="AA38" i="33"/>
  <c r="AB31" i="36"/>
  <c r="U8" i="39"/>
  <c r="G578" i="3"/>
  <c r="G570" i="3"/>
  <c r="BA405" i="3"/>
  <c r="BL429" i="3"/>
  <c r="BL434" i="3"/>
  <c r="BA471" i="3"/>
  <c r="G409" i="3"/>
  <c r="BL413" i="3"/>
  <c r="BA430" i="3"/>
  <c r="BL477" i="3"/>
  <c r="BL481" i="3"/>
  <c r="BL531" i="3"/>
  <c r="AZ531" i="3" s="1"/>
  <c r="H29" i="33"/>
  <c r="BA399" i="3"/>
  <c r="BL424" i="3"/>
  <c r="BL425" i="3"/>
  <c r="BA429" i="3"/>
  <c r="AZ429" i="3" s="1"/>
  <c r="BL458" i="3"/>
  <c r="BL475" i="3"/>
  <c r="BA476" i="3"/>
  <c r="AZ476" i="3" s="1"/>
  <c r="BA333" i="3"/>
  <c r="BL363" i="3"/>
  <c r="AZ363" i="3" s="1"/>
  <c r="G29" i="3"/>
  <c r="AZ318" i="3"/>
  <c r="AZ321" i="3"/>
  <c r="BL571" i="3"/>
  <c r="H26" i="37"/>
  <c r="H25" i="37"/>
  <c r="G407" i="3"/>
  <c r="BA415" i="3"/>
  <c r="BL442" i="3"/>
  <c r="AZ221" i="3"/>
  <c r="BL283" i="3"/>
  <c r="U77" i="71"/>
  <c r="C76" i="71"/>
  <c r="D76" i="71" s="1"/>
  <c r="D77" i="71"/>
  <c r="AZ495" i="3"/>
  <c r="AZ513" i="3"/>
  <c r="BL549" i="3"/>
  <c r="AZ549" i="3" s="1"/>
  <c r="AZ558" i="3"/>
  <c r="F9" i="34"/>
  <c r="BL555" i="3"/>
  <c r="G555" i="3"/>
  <c r="BA554" i="3"/>
  <c r="AZ554" i="3" s="1"/>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164" i="3"/>
  <c r="AZ394" i="3"/>
  <c r="BL499" i="3"/>
  <c r="AZ499" i="3" s="1"/>
  <c r="BL523" i="3"/>
  <c r="AZ523" i="3" s="1"/>
  <c r="BL563" i="3"/>
  <c r="AZ563" i="3" s="1"/>
  <c r="S41" i="33"/>
  <c r="AB23" i="34"/>
  <c r="BA408" i="3"/>
  <c r="BA421" i="3"/>
  <c r="BA432" i="3"/>
  <c r="BA444" i="3"/>
  <c r="BA469" i="3"/>
  <c r="AZ469" i="3" s="1"/>
  <c r="G327" i="3"/>
  <c r="BL332" i="3"/>
  <c r="BL501" i="3"/>
  <c r="AZ501" i="3" s="1"/>
  <c r="BL519" i="3"/>
  <c r="BL579" i="3"/>
  <c r="BL581" i="3"/>
  <c r="BA581" i="3"/>
  <c r="BL580" i="3"/>
  <c r="AZ580" i="3" s="1"/>
  <c r="G580" i="3"/>
  <c r="BA579" i="3"/>
  <c r="BL578" i="3"/>
  <c r="BA578" i="3"/>
  <c r="BA577" i="3"/>
  <c r="AZ577" i="3" s="1"/>
  <c r="BL576" i="3"/>
  <c r="BL575" i="3"/>
  <c r="BA575" i="3"/>
  <c r="BA573" i="3"/>
  <c r="BA571" i="3"/>
  <c r="AZ571" i="3" s="1"/>
  <c r="BL570" i="3"/>
  <c r="BA551" i="3"/>
  <c r="AZ551" i="3" s="1"/>
  <c r="BL418" i="3"/>
  <c r="BL439" i="3"/>
  <c r="BL452" i="3"/>
  <c r="BL330" i="3"/>
  <c r="AZ330" i="3" s="1"/>
  <c r="BA41" i="3"/>
  <c r="G14" i="3"/>
  <c r="BL16" i="3"/>
  <c r="AZ16" i="3" s="1"/>
  <c r="BA487" i="3"/>
  <c r="BA241" i="3"/>
  <c r="BA266" i="3"/>
  <c r="G404" i="3"/>
  <c r="G408" i="3"/>
  <c r="BA419" i="3"/>
  <c r="AZ419" i="3" s="1"/>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AZ294" i="3" s="1"/>
  <c r="BA295" i="3"/>
  <c r="G114" i="3"/>
  <c r="G116" i="3"/>
  <c r="BA124" i="3"/>
  <c r="AZ124" i="3" s="1"/>
  <c r="G131" i="3"/>
  <c r="BA142" i="3"/>
  <c r="G144" i="3"/>
  <c r="BL149" i="3"/>
  <c r="BA152" i="3"/>
  <c r="AZ152" i="3" s="1"/>
  <c r="G162" i="3"/>
  <c r="BA169" i="3"/>
  <c r="AZ169" i="3" s="1"/>
  <c r="BA177" i="3"/>
  <c r="BA194" i="3"/>
  <c r="G196" i="3"/>
  <c r="BL202" i="3"/>
  <c r="BL207" i="3"/>
  <c r="G26" i="3"/>
  <c r="BA75" i="3"/>
  <c r="BL76" i="3"/>
  <c r="G85" i="3"/>
  <c r="BL91" i="3"/>
  <c r="BL92" i="3"/>
  <c r="G112" i="3"/>
  <c r="S25" i="40"/>
  <c r="C68" i="71"/>
  <c r="B40" i="71"/>
  <c r="B41" i="71" s="1"/>
  <c r="T41" i="71" s="1"/>
  <c r="B56" i="71"/>
  <c r="B57" i="71" s="1"/>
  <c r="T57" i="71" s="1"/>
  <c r="B64" i="71"/>
  <c r="B65" i="71" s="1"/>
  <c r="T65" i="71" s="1"/>
  <c r="V77" i="71"/>
  <c r="C5" i="68"/>
  <c r="G403" i="3"/>
  <c r="G405" i="3"/>
  <c r="BA416" i="3"/>
  <c r="G434" i="3"/>
  <c r="BL441" i="3"/>
  <c r="AZ441" i="3" s="1"/>
  <c r="BA445" i="3"/>
  <c r="BA446" i="3"/>
  <c r="AZ446" i="3" s="1"/>
  <c r="BL462" i="3"/>
  <c r="BL465" i="3"/>
  <c r="AZ465" i="3" s="1"/>
  <c r="BA474" i="3"/>
  <c r="BL479" i="3"/>
  <c r="BL486" i="3"/>
  <c r="BA489" i="3"/>
  <c r="BA491" i="3"/>
  <c r="AZ491" i="3" s="1"/>
  <c r="BA315" i="3"/>
  <c r="AZ315" i="3" s="1"/>
  <c r="G323" i="3"/>
  <c r="BL359" i="3"/>
  <c r="AZ359" i="3" s="1"/>
  <c r="G369" i="3"/>
  <c r="G382" i="3"/>
  <c r="BL385" i="3"/>
  <c r="BL226" i="3"/>
  <c r="AZ226" i="3" s="1"/>
  <c r="BL229" i="3"/>
  <c r="BA230" i="3"/>
  <c r="G244" i="3"/>
  <c r="BA252" i="3"/>
  <c r="AZ252" i="3" s="1"/>
  <c r="G261" i="3"/>
  <c r="G262" i="3"/>
  <c r="G263" i="3"/>
  <c r="BA272" i="3"/>
  <c r="AZ272" i="3" s="1"/>
  <c r="BA279" i="3"/>
  <c r="G282" i="3"/>
  <c r="G302" i="3"/>
  <c r="BL119" i="3"/>
  <c r="G160" i="3"/>
  <c r="BA166" i="3"/>
  <c r="AZ166" i="3" s="1"/>
  <c r="BA23" i="3"/>
  <c r="BL28" i="3"/>
  <c r="G44" i="3"/>
  <c r="BL48" i="3"/>
  <c r="BL49" i="3"/>
  <c r="AZ49" i="3" s="1"/>
  <c r="BL50" i="3"/>
  <c r="BA56" i="3"/>
  <c r="AZ56" i="3" s="1"/>
  <c r="G61" i="3"/>
  <c r="BL72" i="3"/>
  <c r="G84" i="3"/>
  <c r="BL88" i="3"/>
  <c r="G110" i="3"/>
  <c r="BA374" i="3"/>
  <c r="AZ374" i="3" s="1"/>
  <c r="BL224" i="3"/>
  <c r="BA226" i="3"/>
  <c r="BA229" i="3"/>
  <c r="AZ229" i="3" s="1"/>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BA424" i="3"/>
  <c r="AZ424" i="3" s="1"/>
  <c r="G429" i="3"/>
  <c r="BL437" i="3"/>
  <c r="G451" i="3"/>
  <c r="G454" i="3"/>
  <c r="BA462" i="3"/>
  <c r="BL463" i="3"/>
  <c r="BA464" i="3"/>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G175" i="3"/>
  <c r="BL179" i="3"/>
  <c r="AZ179" i="3" s="1"/>
  <c r="BL194" i="3"/>
  <c r="BA198" i="3"/>
  <c r="BA29" i="3"/>
  <c r="BA38" i="3"/>
  <c r="BL46" i="3"/>
  <c r="BA49" i="3"/>
  <c r="AC18" i="36"/>
  <c r="B58" i="43"/>
  <c r="G40" i="71"/>
  <c r="G41" i="71" s="1"/>
  <c r="W41" i="71" s="1"/>
  <c r="G48" i="71"/>
  <c r="G49" i="71" s="1"/>
  <c r="W49" i="71" s="1"/>
  <c r="G56" i="71"/>
  <c r="G64" i="71"/>
  <c r="N37" i="43"/>
  <c r="BA440" i="3"/>
  <c r="BA485" i="3"/>
  <c r="AZ485" i="3" s="1"/>
  <c r="BA486" i="3"/>
  <c r="AZ486" i="3" s="1"/>
  <c r="BL487" i="3"/>
  <c r="AZ487" i="3" s="1"/>
  <c r="BR5" i="3"/>
  <c r="G28" i="6" s="1"/>
  <c r="BA347" i="3"/>
  <c r="BL347" i="3"/>
  <c r="BA358" i="3"/>
  <c r="AZ358" i="3" s="1"/>
  <c r="BA217" i="3"/>
  <c r="AZ217" i="3" s="1"/>
  <c r="BL218" i="3"/>
  <c r="BL219" i="3"/>
  <c r="BA221" i="3"/>
  <c r="BA225" i="3"/>
  <c r="AZ225" i="3" s="1"/>
  <c r="G235" i="3"/>
  <c r="G239" i="3"/>
  <c r="BA246" i="3"/>
  <c r="AZ246" i="3" s="1"/>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BL433" i="3"/>
  <c r="BL436" i="3"/>
  <c r="BL445" i="3"/>
  <c r="G449" i="3"/>
  <c r="BA457" i="3"/>
  <c r="BL459" i="3"/>
  <c r="BL461" i="3"/>
  <c r="BA482" i="3"/>
  <c r="BL308" i="3"/>
  <c r="AZ308" i="3" s="1"/>
  <c r="BL312" i="3"/>
  <c r="AZ312" i="3" s="1"/>
  <c r="G351" i="3"/>
  <c r="BA397" i="3"/>
  <c r="BA212" i="3"/>
  <c r="BL217" i="3"/>
  <c r="BL220" i="3"/>
  <c r="G238" i="3"/>
  <c r="G256" i="3"/>
  <c r="G257" i="3"/>
  <c r="BL261" i="3"/>
  <c r="AZ261" i="3" s="1"/>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AZ44" i="3" s="1"/>
  <c r="BA45" i="3"/>
  <c r="BL104" i="3"/>
  <c r="BL400" i="3"/>
  <c r="BA404" i="3"/>
  <c r="AZ404" i="3" s="1"/>
  <c r="BL405" i="3"/>
  <c r="G419" i="3"/>
  <c r="BL428" i="3"/>
  <c r="AZ428" i="3" s="1"/>
  <c r="BL431" i="3"/>
  <c r="BA439" i="3"/>
  <c r="AZ439" i="3" s="1"/>
  <c r="G446" i="3"/>
  <c r="G448" i="3"/>
  <c r="BL453" i="3"/>
  <c r="BL456" i="3"/>
  <c r="BA459" i="3"/>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AZ281" i="3" s="1"/>
  <c r="G290" i="3"/>
  <c r="BA301" i="3"/>
  <c r="G123" i="3"/>
  <c r="BA130" i="3"/>
  <c r="BA134" i="3"/>
  <c r="G136" i="3"/>
  <c r="G150" i="3"/>
  <c r="BL157" i="3"/>
  <c r="AZ157" i="3" s="1"/>
  <c r="BA176" i="3"/>
  <c r="AZ176" i="3" s="1"/>
  <c r="BL189" i="3"/>
  <c r="BL190" i="3"/>
  <c r="BA192" i="3"/>
  <c r="AZ192" i="3" s="1"/>
  <c r="BA193" i="3"/>
  <c r="G205" i="3"/>
  <c r="G32" i="3"/>
  <c r="G35" i="3"/>
  <c r="BL38" i="3"/>
  <c r="BL39" i="3"/>
  <c r="BL40" i="3"/>
  <c r="BA42" i="3"/>
  <c r="AZ42" i="3" s="1"/>
  <c r="BA43" i="3"/>
  <c r="AZ43" i="3" s="1"/>
  <c r="BL82" i="3"/>
  <c r="G94" i="3"/>
  <c r="BL106" i="3"/>
  <c r="B52" i="71"/>
  <c r="BA392" i="3"/>
  <c r="BL233" i="3"/>
  <c r="BL238" i="3"/>
  <c r="BL239" i="3"/>
  <c r="BL240" i="3"/>
  <c r="BL257" i="3"/>
  <c r="BL277" i="3"/>
  <c r="BA286" i="3"/>
  <c r="AZ286" i="3" s="1"/>
  <c r="BA292" i="3"/>
  <c r="BL296" i="3"/>
  <c r="AZ296" i="3" s="1"/>
  <c r="BA300" i="3"/>
  <c r="BL18" i="3"/>
  <c r="BA59" i="3"/>
  <c r="BL61" i="3"/>
  <c r="BA81" i="3"/>
  <c r="AZ81" i="3" s="1"/>
  <c r="BA82" i="3"/>
  <c r="AZ82" i="3" s="1"/>
  <c r="BA86" i="3"/>
  <c r="BL99" i="3"/>
  <c r="BL101" i="3"/>
  <c r="BA104" i="3"/>
  <c r="BA108" i="3"/>
  <c r="G415" i="3"/>
  <c r="BL421" i="3"/>
  <c r="BL426" i="3"/>
  <c r="BA427" i="3"/>
  <c r="AZ427" i="3" s="1"/>
  <c r="BL427" i="3"/>
  <c r="BA434" i="3"/>
  <c r="G441" i="3"/>
  <c r="BL448" i="3"/>
  <c r="G467" i="3"/>
  <c r="BA470" i="3"/>
  <c r="BL333" i="3"/>
  <c r="BA354" i="3"/>
  <c r="BL383" i="3"/>
  <c r="G209" i="3"/>
  <c r="G226" i="3"/>
  <c r="G228" i="3"/>
  <c r="BA231" i="3"/>
  <c r="BA236" i="3"/>
  <c r="AZ236" i="3" s="1"/>
  <c r="G251" i="3"/>
  <c r="BL276" i="3"/>
  <c r="BL282" i="3"/>
  <c r="BL115" i="3"/>
  <c r="AZ115" i="3" s="1"/>
  <c r="G122" i="3"/>
  <c r="BL125" i="3"/>
  <c r="BL127" i="3"/>
  <c r="AZ127" i="3" s="1"/>
  <c r="G135" i="3"/>
  <c r="BL139" i="3"/>
  <c r="AZ139" i="3" s="1"/>
  <c r="BA141" i="3"/>
  <c r="BL187" i="3"/>
  <c r="AZ187" i="3" s="1"/>
  <c r="BA190" i="3"/>
  <c r="AZ190" i="3" s="1"/>
  <c r="BL22" i="3"/>
  <c r="BA28" i="3"/>
  <c r="BL36" i="3"/>
  <c r="BA48" i="3"/>
  <c r="AZ48" i="3" s="1"/>
  <c r="BL57" i="3"/>
  <c r="BA61" i="3"/>
  <c r="AZ61" i="3" s="1"/>
  <c r="G69" i="3"/>
  <c r="BL77" i="3"/>
  <c r="BL79" i="3"/>
  <c r="BA88" i="3"/>
  <c r="AZ88" i="3" s="1"/>
  <c r="G92" i="3"/>
  <c r="BL95" i="3"/>
  <c r="BL97" i="3"/>
  <c r="C21" i="69"/>
  <c r="M37" i="43"/>
  <c r="BL398" i="3"/>
  <c r="G412" i="3"/>
  <c r="BL419" i="3"/>
  <c r="BL422" i="3"/>
  <c r="BA423" i="3"/>
  <c r="AZ423" i="3" s="1"/>
  <c r="BL423" i="3"/>
  <c r="BA426" i="3"/>
  <c r="G440" i="3"/>
  <c r="BA449" i="3"/>
  <c r="BL450" i="3"/>
  <c r="BA452" i="3"/>
  <c r="AZ452" i="3" s="1"/>
  <c r="BL473" i="3"/>
  <c r="BA481" i="3"/>
  <c r="G487" i="3"/>
  <c r="BL316" i="3"/>
  <c r="BA319" i="3"/>
  <c r="AZ319" i="3" s="1"/>
  <c r="BA335" i="3"/>
  <c r="AZ335" i="3" s="1"/>
  <c r="BL375" i="3"/>
  <c r="AZ375" i="3" s="1"/>
  <c r="G208" i="3"/>
  <c r="G225" i="3"/>
  <c r="BL231" i="3"/>
  <c r="BL232" i="3"/>
  <c r="BA233" i="3"/>
  <c r="AZ233" i="3" s="1"/>
  <c r="BA234" i="3"/>
  <c r="BA235" i="3"/>
  <c r="BA238" i="3"/>
  <c r="AZ238" i="3" s="1"/>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AZ581" i="3"/>
  <c r="AZ578" i="3"/>
  <c r="BA576" i="3"/>
  <c r="AZ576" i="3" s="1"/>
  <c r="BG5" i="3"/>
  <c r="AZ575" i="3"/>
  <c r="BA574" i="3"/>
  <c r="AZ574" i="3" s="1"/>
  <c r="BJ5" i="3"/>
  <c r="BL573" i="3"/>
  <c r="BS5" i="3"/>
  <c r="AZ573" i="3"/>
  <c r="BL572" i="3"/>
  <c r="AZ572" i="3" s="1"/>
  <c r="BN5" i="3"/>
  <c r="G572" i="3"/>
  <c r="AC5" i="3"/>
  <c r="BA570" i="3"/>
  <c r="BD5" i="3"/>
  <c r="BQ5" i="3"/>
  <c r="BE5" i="3"/>
  <c r="W10" i="33"/>
  <c r="AC10" i="33"/>
  <c r="D9" i="11"/>
  <c r="C9" i="11" s="1"/>
  <c r="D9" i="69"/>
  <c r="C9" i="69" s="1"/>
  <c r="D19" i="12"/>
  <c r="C19" i="12" s="1"/>
  <c r="AZ340" i="3"/>
  <c r="AB37" i="33"/>
  <c r="U37" i="33"/>
  <c r="AA26" i="21"/>
  <c r="AB25" i="39"/>
  <c r="U25" i="39"/>
  <c r="AA37" i="21"/>
  <c r="S37" i="21"/>
  <c r="AZ555" i="3"/>
  <c r="S10" i="33"/>
  <c r="AA10" i="33"/>
  <c r="AR6" i="1"/>
  <c r="AZ155" i="3"/>
  <c r="AA39" i="39"/>
  <c r="S23" i="37"/>
  <c r="AZ378" i="3"/>
  <c r="AB40" i="39"/>
  <c r="U40" i="39"/>
  <c r="W11" i="39"/>
  <c r="AC11" i="39"/>
  <c r="AB45" i="33"/>
  <c r="BA585" i="3"/>
  <c r="AZ585" i="3" s="1"/>
  <c r="F14" i="21"/>
  <c r="H14" i="21"/>
  <c r="J14" i="21"/>
  <c r="AA32" i="37"/>
  <c r="S32" i="37"/>
  <c r="AZ505" i="3"/>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AC29" i="33"/>
  <c r="W2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AZ212" i="3"/>
  <c r="BA402" i="3"/>
  <c r="AZ402" i="3" s="1"/>
  <c r="BA437" i="3"/>
  <c r="AZ437" i="3" s="1"/>
  <c r="BL454" i="3"/>
  <c r="AZ459" i="3"/>
  <c r="BA550" i="3"/>
  <c r="AZ550" i="3" s="1"/>
  <c r="AZ399" i="3"/>
  <c r="BA400" i="3"/>
  <c r="BA431" i="3"/>
  <c r="AZ431" i="3" s="1"/>
  <c r="P8" i="1"/>
  <c r="BA401" i="3"/>
  <c r="AZ401" i="3" s="1"/>
  <c r="BA409" i="3"/>
  <c r="AZ409" i="3" s="1"/>
  <c r="G414" i="3"/>
  <c r="AZ434" i="3"/>
  <c r="BA453" i="3"/>
  <c r="BA454" i="3"/>
  <c r="BA478" i="3"/>
  <c r="AZ478" i="3" s="1"/>
  <c r="AZ449" i="3"/>
  <c r="AZ481" i="3"/>
  <c r="AZ398" i="3"/>
  <c r="BL416" i="3"/>
  <c r="AZ416" i="3" s="1"/>
  <c r="BA420" i="3"/>
  <c r="AZ420" i="3" s="1"/>
  <c r="BA422" i="3"/>
  <c r="AZ422" i="3" s="1"/>
  <c r="AZ425" i="3"/>
  <c r="AZ276" i="3"/>
  <c r="BL444" i="3"/>
  <c r="AZ444" i="3" s="1"/>
  <c r="BA472" i="3"/>
  <c r="BL489" i="3"/>
  <c r="AZ489" i="3" s="1"/>
  <c r="BL346" i="3"/>
  <c r="AZ346" i="3" s="1"/>
  <c r="F40" i="40"/>
  <c r="G551" i="3"/>
  <c r="BL412" i="3"/>
  <c r="AZ412" i="3" s="1"/>
  <c r="BL440" i="3"/>
  <c r="AZ440" i="3" s="1"/>
  <c r="AZ445" i="3"/>
  <c r="AZ474" i="3"/>
  <c r="G401" i="3"/>
  <c r="BA414" i="3"/>
  <c r="BL414" i="3"/>
  <c r="AZ432" i="3"/>
  <c r="BA413" i="3"/>
  <c r="AZ413" i="3" s="1"/>
  <c r="BL457" i="3"/>
  <c r="AZ457" i="3" s="1"/>
  <c r="BL460" i="3"/>
  <c r="AZ462" i="3"/>
  <c r="AZ464" i="3"/>
  <c r="BL482" i="3"/>
  <c r="AZ482" i="3" s="1"/>
  <c r="BA492" i="3"/>
  <c r="BL403" i="3"/>
  <c r="BL406" i="3"/>
  <c r="BL407" i="3"/>
  <c r="BA411" i="3"/>
  <c r="AZ411" i="3" s="1"/>
  <c r="AZ415" i="3"/>
  <c r="BA418" i="3"/>
  <c r="AZ418" i="3" s="1"/>
  <c r="BL435" i="3"/>
  <c r="BA442" i="3"/>
  <c r="AZ442" i="3" s="1"/>
  <c r="AZ458" i="3"/>
  <c r="BA460" i="3"/>
  <c r="BA461" i="3"/>
  <c r="AZ461" i="3" s="1"/>
  <c r="BL447" i="3"/>
  <c r="AZ447" i="3" s="1"/>
  <c r="BA483" i="3"/>
  <c r="AZ483" i="3" s="1"/>
  <c r="BA307" i="3"/>
  <c r="AZ307" i="3" s="1"/>
  <c r="BA339" i="3"/>
  <c r="AZ339" i="3" s="1"/>
  <c r="BL234" i="3"/>
  <c r="BL235" i="3"/>
  <c r="AZ235" i="3" s="1"/>
  <c r="BA239" i="3"/>
  <c r="AZ239" i="3" s="1"/>
  <c r="BA240" i="3"/>
  <c r="AZ240" i="3" s="1"/>
  <c r="BL266" i="3"/>
  <c r="AZ266" i="3" s="1"/>
  <c r="BL270" i="3"/>
  <c r="AZ270" i="3" s="1"/>
  <c r="BA273" i="3"/>
  <c r="AZ273" i="3" s="1"/>
  <c r="AZ277" i="3"/>
  <c r="AZ278" i="3"/>
  <c r="BA129" i="3"/>
  <c r="G474" i="3"/>
  <c r="BA484" i="3"/>
  <c r="AZ484" i="3" s="1"/>
  <c r="BA232" i="3"/>
  <c r="AZ232" i="3" s="1"/>
  <c r="AC5" i="71"/>
  <c r="AC7" i="71"/>
  <c r="AC6" i="71"/>
  <c r="G445" i="3"/>
  <c r="BA463" i="3"/>
  <c r="AZ463" i="3" s="1"/>
  <c r="BL492" i="3"/>
  <c r="AZ230" i="3"/>
  <c r="BA267" i="3"/>
  <c r="AZ267" i="3" s="1"/>
  <c r="BA268" i="3"/>
  <c r="AZ268" i="3" s="1"/>
  <c r="AZ290" i="3"/>
  <c r="BL443" i="3"/>
  <c r="BL471" i="3"/>
  <c r="AZ471" i="3" s="1"/>
  <c r="G482" i="3"/>
  <c r="BA303" i="3"/>
  <c r="AZ303" i="3" s="1"/>
  <c r="BL354" i="3"/>
  <c r="AZ354" i="3" s="1"/>
  <c r="BA228" i="3"/>
  <c r="AZ228" i="3" s="1"/>
  <c r="BL259" i="3"/>
  <c r="AZ264" i="3"/>
  <c r="BL438" i="3"/>
  <c r="BA443" i="3"/>
  <c r="AZ443" i="3" s="1"/>
  <c r="G457" i="3"/>
  <c r="BL472" i="3"/>
  <c r="BL480" i="3"/>
  <c r="BA332" i="3"/>
  <c r="AZ332" i="3" s="1"/>
  <c r="BL353" i="3"/>
  <c r="BL213" i="3"/>
  <c r="BL214" i="3"/>
  <c r="BA218" i="3"/>
  <c r="AZ218" i="3" s="1"/>
  <c r="AZ220" i="3"/>
  <c r="BA223" i="3"/>
  <c r="AZ223" i="3" s="1"/>
  <c r="BA224" i="3"/>
  <c r="BA227" i="3"/>
  <c r="AZ227" i="3" s="1"/>
  <c r="BL258" i="3"/>
  <c r="BA263" i="3"/>
  <c r="AZ263" i="3" s="1"/>
  <c r="BL122" i="3"/>
  <c r="AZ36" i="3"/>
  <c r="BA438" i="3"/>
  <c r="BL455" i="3"/>
  <c r="BA479" i="3"/>
  <c r="AZ479" i="3" s="1"/>
  <c r="BL324" i="3"/>
  <c r="AZ324" i="3" s="1"/>
  <c r="BL350" i="3"/>
  <c r="BA353" i="3"/>
  <c r="AZ353" i="3" s="1"/>
  <c r="BL367" i="3"/>
  <c r="BL368" i="3"/>
  <c r="BA385" i="3"/>
  <c r="AZ385" i="3" s="1"/>
  <c r="BA386" i="3"/>
  <c r="AZ386" i="3" s="1"/>
  <c r="BL212" i="3"/>
  <c r="BL215" i="3"/>
  <c r="BA216" i="3"/>
  <c r="AZ216" i="3" s="1"/>
  <c r="BA219" i="3"/>
  <c r="AZ219" i="3" s="1"/>
  <c r="BA222" i="3"/>
  <c r="AZ222" i="3" s="1"/>
  <c r="BL256" i="3"/>
  <c r="AZ256" i="3" s="1"/>
  <c r="BA260" i="3"/>
  <c r="AZ260" i="3" s="1"/>
  <c r="AZ177" i="3"/>
  <c r="BA480" i="3"/>
  <c r="BA331" i="3"/>
  <c r="AZ331" i="3" s="1"/>
  <c r="BA352" i="3"/>
  <c r="AZ352" i="3" s="1"/>
  <c r="BA368" i="3"/>
  <c r="BA384" i="3"/>
  <c r="AZ384" i="3" s="1"/>
  <c r="BA213" i="3"/>
  <c r="BA214" i="3"/>
  <c r="BA215" i="3"/>
  <c r="BL254" i="3"/>
  <c r="BA258" i="3"/>
  <c r="AZ258" i="3" s="1"/>
  <c r="BA259" i="3"/>
  <c r="AZ259" i="3" s="1"/>
  <c r="BL285" i="3"/>
  <c r="AZ91" i="3"/>
  <c r="C83" i="71"/>
  <c r="D83" i="71" s="1"/>
  <c r="D84" i="71"/>
  <c r="BA455" i="3"/>
  <c r="BL488" i="3"/>
  <c r="BL395" i="3"/>
  <c r="AZ395" i="3" s="1"/>
  <c r="BL396" i="3"/>
  <c r="AZ396" i="3" s="1"/>
  <c r="BL397" i="3"/>
  <c r="AZ397" i="3" s="1"/>
  <c r="BL209" i="3"/>
  <c r="BL210" i="3"/>
  <c r="BA211" i="3"/>
  <c r="AZ211" i="3" s="1"/>
  <c r="BL251" i="3"/>
  <c r="BL253" i="3"/>
  <c r="BL255" i="3"/>
  <c r="BA283" i="3"/>
  <c r="AZ283" i="3" s="1"/>
  <c r="BA284" i="3"/>
  <c r="AZ284" i="3" s="1"/>
  <c r="G453" i="3"/>
  <c r="G470" i="3"/>
  <c r="G478" i="3"/>
  <c r="BA323" i="3"/>
  <c r="AZ323" i="3" s="1"/>
  <c r="BA348" i="3"/>
  <c r="AZ348" i="3" s="1"/>
  <c r="BA350" i="3"/>
  <c r="AZ350" i="3" s="1"/>
  <c r="BA367" i="3"/>
  <c r="AZ367" i="3" s="1"/>
  <c r="BL393" i="3"/>
  <c r="AZ393" i="3" s="1"/>
  <c r="BA210" i="3"/>
  <c r="BL248" i="3"/>
  <c r="AZ248" i="3" s="1"/>
  <c r="BA255" i="3"/>
  <c r="BL279" i="3"/>
  <c r="AZ279" i="3" s="1"/>
  <c r="BL113" i="3"/>
  <c r="BA117" i="3"/>
  <c r="AZ117" i="3" s="1"/>
  <c r="AZ38" i="3"/>
  <c r="G432" i="3"/>
  <c r="BL451" i="3"/>
  <c r="BL467" i="3"/>
  <c r="AZ467" i="3" s="1"/>
  <c r="BL476" i="3"/>
  <c r="BA488" i="3"/>
  <c r="BL340" i="3"/>
  <c r="BA349" i="3"/>
  <c r="AZ349" i="3" s="1"/>
  <c r="BL365" i="3"/>
  <c r="AZ365" i="3" s="1"/>
  <c r="BA366" i="3"/>
  <c r="AZ366" i="3" s="1"/>
  <c r="BA208" i="3"/>
  <c r="AZ208" i="3" s="1"/>
  <c r="BA209" i="3"/>
  <c r="BL241" i="3"/>
  <c r="AZ241" i="3" s="1"/>
  <c r="BL243" i="3"/>
  <c r="AZ243" i="3" s="1"/>
  <c r="BL244" i="3"/>
  <c r="AZ244" i="3" s="1"/>
  <c r="BL245" i="3"/>
  <c r="AZ245" i="3" s="1"/>
  <c r="BL249" i="3"/>
  <c r="AZ249" i="3" s="1"/>
  <c r="BL250" i="3"/>
  <c r="AZ250" i="3" s="1"/>
  <c r="BA253" i="3"/>
  <c r="BA254" i="3"/>
  <c r="BL278" i="3"/>
  <c r="BL280" i="3"/>
  <c r="BL301" i="3"/>
  <c r="BA118" i="3"/>
  <c r="BA146" i="3"/>
  <c r="BL430" i="3"/>
  <c r="AZ430" i="3" s="1"/>
  <c r="BA451" i="3"/>
  <c r="AZ451" i="3" s="1"/>
  <c r="BL468" i="3"/>
  <c r="AZ468" i="3" s="1"/>
  <c r="BA475" i="3"/>
  <c r="AZ475" i="3" s="1"/>
  <c r="G486" i="3"/>
  <c r="BL317" i="3"/>
  <c r="AZ317" i="3" s="1"/>
  <c r="BA280" i="3"/>
  <c r="AZ301" i="3"/>
  <c r="AZ113" i="3"/>
  <c r="AB21" i="34"/>
  <c r="U21" i="34"/>
  <c r="BL292" i="3"/>
  <c r="AZ292" i="3" s="1"/>
  <c r="BL114" i="3"/>
  <c r="AZ114" i="3" s="1"/>
  <c r="G126" i="3"/>
  <c r="G134" i="3"/>
  <c r="BL155" i="3"/>
  <c r="BL158" i="3"/>
  <c r="BA161" i="3"/>
  <c r="BA162" i="3"/>
  <c r="BL35" i="3"/>
  <c r="BL41" i="3"/>
  <c r="AZ41" i="3" s="1"/>
  <c r="BA47" i="3"/>
  <c r="AZ47" i="3" s="1"/>
  <c r="BA50" i="3"/>
  <c r="AZ50" i="3" s="1"/>
  <c r="BA52" i="3"/>
  <c r="AZ52" i="3" s="1"/>
  <c r="BA58" i="3"/>
  <c r="AZ58" i="3" s="1"/>
  <c r="G97" i="3"/>
  <c r="BL108" i="3"/>
  <c r="BL109" i="3"/>
  <c r="AD7" i="71"/>
  <c r="AD6" i="71"/>
  <c r="AD5" i="71"/>
  <c r="BA282" i="3"/>
  <c r="AZ282" i="3" s="1"/>
  <c r="BL118" i="3"/>
  <c r="BL121" i="3"/>
  <c r="BL153" i="3"/>
  <c r="BL154" i="3"/>
  <c r="BA189" i="3"/>
  <c r="AZ189" i="3" s="1"/>
  <c r="G202" i="3"/>
  <c r="BL31" i="3"/>
  <c r="BA37" i="3"/>
  <c r="AZ37" i="3" s="1"/>
  <c r="BA40" i="3"/>
  <c r="BL102" i="3"/>
  <c r="BL103" i="3"/>
  <c r="BA109" i="3"/>
  <c r="AZ109" i="3" s="1"/>
  <c r="BA112" i="3"/>
  <c r="AC29" i="39"/>
  <c r="F36" i="71"/>
  <c r="F37" i="71" s="1"/>
  <c r="V37" i="71" s="1"/>
  <c r="W69" i="71"/>
  <c r="R69" i="71"/>
  <c r="G68" i="71"/>
  <c r="BL284" i="3"/>
  <c r="BA293" i="3"/>
  <c r="AZ293" i="3" s="1"/>
  <c r="BL123" i="3"/>
  <c r="AZ123" i="3" s="1"/>
  <c r="BL137" i="3"/>
  <c r="BL141" i="3"/>
  <c r="AZ141" i="3" s="1"/>
  <c r="BL145" i="3"/>
  <c r="BA154" i="3"/>
  <c r="BA158" i="3"/>
  <c r="AZ158" i="3" s="1"/>
  <c r="BL182" i="3"/>
  <c r="AZ182" i="3" s="1"/>
  <c r="BA185" i="3"/>
  <c r="AZ185" i="3" s="1"/>
  <c r="BA186" i="3"/>
  <c r="AZ186" i="3" s="1"/>
  <c r="BA188" i="3"/>
  <c r="AZ188" i="3" s="1"/>
  <c r="BL27" i="3"/>
  <c r="BL29" i="3"/>
  <c r="AZ29" i="3" s="1"/>
  <c r="BL30" i="3"/>
  <c r="BA32" i="3"/>
  <c r="AZ32" i="3" s="1"/>
  <c r="BA33" i="3"/>
  <c r="AZ33" i="3" s="1"/>
  <c r="BA34" i="3"/>
  <c r="AZ34" i="3" s="1"/>
  <c r="BA35" i="3"/>
  <c r="BA39" i="3"/>
  <c r="AZ39" i="3" s="1"/>
  <c r="BL98" i="3"/>
  <c r="AZ104" i="3"/>
  <c r="BA106" i="3"/>
  <c r="AZ106" i="3" s="1"/>
  <c r="AZ108" i="3"/>
  <c r="BA111" i="3"/>
  <c r="AZ111" i="3" s="1"/>
  <c r="AC21" i="33"/>
  <c r="W21" i="33"/>
  <c r="R25" i="77"/>
  <c r="D7" i="77"/>
  <c r="C26" i="77" s="1"/>
  <c r="C32" i="77" s="1"/>
  <c r="C38" i="77" s="1"/>
  <c r="C39" i="77" s="1"/>
  <c r="C40" i="77" s="1"/>
  <c r="BA121" i="3"/>
  <c r="BL126" i="3"/>
  <c r="AZ126" i="3" s="1"/>
  <c r="BL129" i="3"/>
  <c r="BL134" i="3"/>
  <c r="AZ134" i="3" s="1"/>
  <c r="BL138" i="3"/>
  <c r="AZ138" i="3" s="1"/>
  <c r="BL142" i="3"/>
  <c r="AZ142" i="3" s="1"/>
  <c r="BL146" i="3"/>
  <c r="BA149" i="3"/>
  <c r="AZ149" i="3" s="1"/>
  <c r="BA150" i="3"/>
  <c r="AZ150" i="3" s="1"/>
  <c r="BA153" i="3"/>
  <c r="G168" i="3"/>
  <c r="BL181" i="3"/>
  <c r="G194" i="3"/>
  <c r="BL205" i="3"/>
  <c r="BL206" i="3"/>
  <c r="BL20" i="3"/>
  <c r="BL21" i="3"/>
  <c r="BL26" i="3"/>
  <c r="AZ26" i="3" s="1"/>
  <c r="BA30" i="3"/>
  <c r="G77" i="3"/>
  <c r="BL94" i="3"/>
  <c r="AZ94" i="3" s="1"/>
  <c r="BA99" i="3"/>
  <c r="BA103" i="3"/>
  <c r="BA107" i="3"/>
  <c r="AZ107" i="3" s="1"/>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AZ86" i="3" s="1"/>
  <c r="BL89" i="3"/>
  <c r="BL90" i="3"/>
  <c r="BA95" i="3"/>
  <c r="AZ95" i="3" s="1"/>
  <c r="BA97" i="3"/>
  <c r="AZ97" i="3" s="1"/>
  <c r="BL112" i="3"/>
  <c r="AA18" i="35"/>
  <c r="R24" i="77"/>
  <c r="R5" i="77" s="1"/>
  <c r="U5" i="77" s="1"/>
  <c r="BA285" i="3"/>
  <c r="BA128" i="3"/>
  <c r="AZ128" i="3" s="1"/>
  <c r="BA132" i="3"/>
  <c r="AZ132" i="3" s="1"/>
  <c r="BA136" i="3"/>
  <c r="AZ136" i="3" s="1"/>
  <c r="BA137" i="3"/>
  <c r="AZ137" i="3" s="1"/>
  <c r="BA144" i="3"/>
  <c r="AZ144" i="3" s="1"/>
  <c r="BA145" i="3"/>
  <c r="BL173" i="3"/>
  <c r="BL177" i="3"/>
  <c r="BA180" i="3"/>
  <c r="AZ180" i="3" s="1"/>
  <c r="BA206" i="3"/>
  <c r="AZ206" i="3" s="1"/>
  <c r="BA207" i="3"/>
  <c r="AZ207" i="3" s="1"/>
  <c r="BA21" i="3"/>
  <c r="AZ21" i="3" s="1"/>
  <c r="BA22" i="3"/>
  <c r="AZ22" i="3" s="1"/>
  <c r="BA25" i="3"/>
  <c r="BA27" i="3"/>
  <c r="AZ27" i="3" s="1"/>
  <c r="BL80" i="3"/>
  <c r="BL84" i="3"/>
  <c r="BL85" i="3"/>
  <c r="BA90" i="3"/>
  <c r="AZ90" i="3" s="1"/>
  <c r="BA101" i="3"/>
  <c r="AZ101" i="3" s="1"/>
  <c r="P27" i="6"/>
  <c r="BL297" i="3"/>
  <c r="AZ297" i="3" s="1"/>
  <c r="BL171" i="3"/>
  <c r="AZ171" i="3" s="1"/>
  <c r="BL178" i="3"/>
  <c r="BL197" i="3"/>
  <c r="BL198" i="3"/>
  <c r="AZ198" i="3" s="1"/>
  <c r="BA201" i="3"/>
  <c r="AZ201" i="3" s="1"/>
  <c r="BA202" i="3"/>
  <c r="AZ202" i="3" s="1"/>
  <c r="BA204" i="3"/>
  <c r="AZ204" i="3" s="1"/>
  <c r="BA205" i="3"/>
  <c r="BA19" i="3"/>
  <c r="BA20" i="3"/>
  <c r="BA24" i="3"/>
  <c r="AZ24" i="3" s="1"/>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AZ77" i="3" s="1"/>
  <c r="BA78" i="3"/>
  <c r="BA79" i="3"/>
  <c r="AZ79" i="3" s="1"/>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AZ84" i="3" s="1"/>
  <c r="BA102" i="3"/>
  <c r="C88" i="71"/>
  <c r="D24" i="67"/>
  <c r="C40" i="69"/>
  <c r="F80" i="71"/>
  <c r="F79" i="71" s="1"/>
  <c r="P74" i="67"/>
  <c r="C29" i="77"/>
  <c r="B101" i="43"/>
  <c r="C80" i="71"/>
  <c r="P61" i="15"/>
  <c r="E29" i="77"/>
  <c r="E32" i="77" s="1"/>
  <c r="F33" i="71"/>
  <c r="V33" i="71" s="1"/>
  <c r="G57" i="71"/>
  <c r="W57" i="71" s="1"/>
  <c r="G65" i="71"/>
  <c r="W65" i="71" s="1"/>
  <c r="F22" i="71"/>
  <c r="F21" i="71" s="1"/>
  <c r="F20" i="71" s="1"/>
  <c r="F19" i="71" s="1"/>
  <c r="F18" i="71" s="1"/>
  <c r="G33" i="71"/>
  <c r="W33" i="71" s="1"/>
  <c r="G12" i="1"/>
  <c r="F67" i="71"/>
  <c r="C36" i="71"/>
  <c r="B60" i="71"/>
  <c r="B61" i="71" s="1"/>
  <c r="T61" i="71" s="1"/>
  <c r="E38" i="77"/>
  <c r="E39" i="77" s="1"/>
  <c r="G11" i="1"/>
  <c r="U21" i="37"/>
  <c r="F44" i="71"/>
  <c r="F45" i="71" s="1"/>
  <c r="V45" i="71" s="1"/>
  <c r="B53" i="71"/>
  <c r="T53" i="71" s="1"/>
  <c r="C21" i="68"/>
  <c r="P37" i="43"/>
  <c r="W21" i="34"/>
  <c r="G44" i="71"/>
  <c r="G45" i="71" s="1"/>
  <c r="W45" i="71" s="1"/>
  <c r="F52" i="71"/>
  <c r="F53" i="71" s="1"/>
  <c r="V53" i="71" s="1"/>
  <c r="B23" i="71"/>
  <c r="B22" i="71" s="1"/>
  <c r="B21" i="71" s="1"/>
  <c r="P68" i="71"/>
  <c r="G37" i="71"/>
  <c r="W37" i="71" s="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12" i="52"/>
  <c r="D127" i="9"/>
  <c r="D13" i="52" s="1"/>
  <c r="D63" i="40"/>
  <c r="C65" i="40"/>
  <c r="J58" i="21"/>
  <c r="K58" i="21" s="1"/>
  <c r="L58" i="21" s="1"/>
  <c r="M58" i="21" s="1"/>
  <c r="N58" i="21" s="1"/>
  <c r="O58" i="21" s="1"/>
  <c r="H7" i="21"/>
  <c r="J7" i="21"/>
  <c r="I48" i="35"/>
  <c r="J48" i="35" s="1"/>
  <c r="K48" i="35" s="1"/>
  <c r="L48" i="35" s="1"/>
  <c r="M48" i="35" s="1"/>
  <c r="N48" i="35" s="1"/>
  <c r="O48" i="35" s="1"/>
  <c r="E59" i="34"/>
  <c r="F59" i="34" s="1"/>
  <c r="G59" i="34" s="1"/>
  <c r="H59" i="34" s="1"/>
  <c r="I59" i="34" s="1"/>
  <c r="J59" i="34" s="1"/>
  <c r="K59" i="34" s="1"/>
  <c r="L59" i="34" s="1"/>
  <c r="M59" i="34" s="1"/>
  <c r="N59" i="34" s="1"/>
  <c r="O59" i="34" s="1"/>
  <c r="F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C15" i="15"/>
  <c r="C18" i="15"/>
  <c r="C27" i="15"/>
  <c r="J20" i="15"/>
  <c r="C34" i="15"/>
  <c r="F63" i="15"/>
  <c r="C62" i="15" s="1"/>
  <c r="J53" i="67"/>
  <c r="I54" i="67"/>
  <c r="J57" i="67"/>
  <c r="J55" i="67" s="1"/>
  <c r="J58" i="67" s="1"/>
  <c r="Q50" i="67" s="1"/>
  <c r="L56" i="67"/>
  <c r="F31" i="15"/>
  <c r="C6" i="15"/>
  <c r="B9" i="70"/>
  <c r="F31" i="67"/>
  <c r="J20" i="67"/>
  <c r="F66" i="15"/>
  <c r="J53" i="15"/>
  <c r="L56" i="15" s="1"/>
  <c r="J57" i="15"/>
  <c r="J55" i="15" s="1"/>
  <c r="J58" i="15" s="1"/>
  <c r="Q50" i="15" s="1"/>
  <c r="I54" i="15"/>
  <c r="B11" i="70"/>
  <c r="Q71" i="67"/>
  <c r="K1" i="73"/>
  <c r="F71" i="67"/>
  <c r="F68" i="15"/>
  <c r="F51" i="15"/>
  <c r="B6" i="70"/>
  <c r="F64" i="15"/>
  <c r="D102" i="9"/>
  <c r="C103" i="9"/>
  <c r="G20" i="9"/>
  <c r="C32" i="9" s="1"/>
  <c r="F51" i="67"/>
  <c r="B13" i="70"/>
  <c r="B20" i="31"/>
  <c r="B21" i="31" s="1"/>
  <c r="D103" i="9"/>
  <c r="C27" i="67"/>
  <c r="F65" i="15"/>
  <c r="F69" i="15"/>
  <c r="M7" i="15"/>
  <c r="M17" i="15" s="1"/>
  <c r="F50" i="15"/>
  <c r="B12" i="70"/>
  <c r="F65" i="67"/>
  <c r="I1" i="73"/>
  <c r="B39" i="1" s="1"/>
  <c r="B7" i="70"/>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F42" i="67"/>
  <c r="C14" i="67"/>
  <c r="C17" i="67"/>
  <c r="L47" i="67"/>
  <c r="C17" i="15"/>
  <c r="F40" i="67"/>
  <c r="C16" i="67"/>
  <c r="F7" i="67"/>
  <c r="F6" i="67"/>
  <c r="F41" i="67"/>
  <c r="G1" i="73"/>
  <c r="C6" i="67" l="1"/>
  <c r="C32" i="67" s="1"/>
  <c r="M7" i="67"/>
  <c r="M17" i="67" s="1"/>
  <c r="F50" i="67"/>
  <c r="C49" i="67" s="1"/>
  <c r="F68" i="67"/>
  <c r="L59" i="67"/>
  <c r="Q74" i="67" s="1"/>
  <c r="N59" i="67"/>
  <c r="M59" i="67"/>
  <c r="L58" i="67"/>
  <c r="Q60" i="67" s="1"/>
  <c r="F69" i="67"/>
  <c r="F70" i="67"/>
  <c r="AZ492" i="3"/>
  <c r="W27" i="21"/>
  <c r="AC27" i="21"/>
  <c r="AA46" i="21"/>
  <c r="S46" i="21"/>
  <c r="W45" i="21"/>
  <c r="AC45" i="21"/>
  <c r="AZ433" i="3"/>
  <c r="AA34" i="35"/>
  <c r="S34" i="35"/>
  <c r="AC46" i="21"/>
  <c r="W46" i="21"/>
  <c r="F7" i="2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E28" i="6" s="1"/>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AZ55" i="3"/>
  <c r="AZ193" i="3"/>
  <c r="AZ18" i="3"/>
  <c r="AZ247" i="3"/>
  <c r="AZ473" i="3"/>
  <c r="AZ333" i="3"/>
  <c r="AB27" i="21"/>
  <c r="U27" i="21"/>
  <c r="D20" i="53"/>
  <c r="B40" i="72" s="1"/>
  <c r="B38" i="72"/>
  <c r="AA45" i="21"/>
  <c r="S45" i="21"/>
  <c r="H7" i="36"/>
  <c r="J7" i="34"/>
  <c r="W7" i="34" s="1"/>
  <c r="H7" i="34"/>
  <c r="AB7" i="34" s="1"/>
  <c r="T49" i="34" s="1"/>
  <c r="G49"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E13" i="6"/>
  <c r="E14" i="6"/>
  <c r="E12" i="6"/>
  <c r="E15" i="6"/>
  <c r="E10" i="6"/>
  <c r="AZ173" i="3"/>
  <c r="AB24" i="36"/>
  <c r="U24" i="36"/>
  <c r="AA9" i="33"/>
  <c r="S9" i="33"/>
  <c r="AC36" i="35"/>
  <c r="W36" i="35"/>
  <c r="AB28" i="21"/>
  <c r="U28" i="21"/>
  <c r="O7" i="1"/>
  <c r="P7" i="1"/>
  <c r="BL5" i="3"/>
  <c r="AZ129" i="3"/>
  <c r="AC24" i="36"/>
  <c r="W24" i="36"/>
  <c r="AB9" i="33"/>
  <c r="U9" i="33"/>
  <c r="F30" i="6"/>
  <c r="F31" i="6" s="1"/>
  <c r="P26" i="43"/>
  <c r="F7" i="36"/>
  <c r="AA7" i="36" s="1"/>
  <c r="R36" i="36" s="1"/>
  <c r="Q66" i="71"/>
  <c r="Q67" i="71"/>
  <c r="AZ69" i="3"/>
  <c r="AZ170" i="3"/>
  <c r="AZ20" i="3"/>
  <c r="AZ414" i="3"/>
  <c r="AA25" i="37"/>
  <c r="S25" i="37"/>
  <c r="AC9" i="33"/>
  <c r="W9" i="33"/>
  <c r="AZ542" i="3"/>
  <c r="AZ209" i="3"/>
  <c r="AA44" i="39"/>
  <c r="S44" i="39"/>
  <c r="C41" i="77"/>
  <c r="B2" i="77"/>
  <c r="B3" i="77" s="1"/>
  <c r="G12" i="71"/>
  <c r="G11" i="71" s="1"/>
  <c r="G10" i="71" s="1"/>
  <c r="G9" i="71" s="1"/>
  <c r="G8" i="71" s="1"/>
  <c r="G7" i="71" s="1"/>
  <c r="G6" i="71" s="1"/>
  <c r="G5" i="71" s="1"/>
  <c r="M23" i="43"/>
  <c r="J7" i="36"/>
  <c r="W7" i="36" s="1"/>
  <c r="G16" i="1"/>
  <c r="F10" i="39" s="1"/>
  <c r="S10" i="39" s="1"/>
  <c r="E84" i="43"/>
  <c r="B82" i="43" s="1"/>
  <c r="AZ299" i="3"/>
  <c r="AZ162" i="3"/>
  <c r="E470"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G30" i="6" s="1"/>
  <c r="G31" i="6" s="1"/>
  <c r="H14" i="74"/>
  <c r="B7" i="74" s="1"/>
  <c r="D10" i="52"/>
  <c r="D125" i="9"/>
  <c r="D11" i="52" s="1"/>
  <c r="AZ85" i="3"/>
  <c r="AZ30" i="3"/>
  <c r="AZ253" i="3"/>
  <c r="AZ368" i="3"/>
  <c r="AZ403" i="3"/>
  <c r="AB12" i="35"/>
  <c r="U12" i="35"/>
  <c r="AZ545" i="3"/>
  <c r="AZ543" i="3"/>
  <c r="C23" i="43"/>
  <c r="AZ74" i="3"/>
  <c r="AZ285" i="3"/>
  <c r="G67" i="71"/>
  <c r="R68" i="71"/>
  <c r="E457" i="3"/>
  <c r="AA40" i="40"/>
  <c r="S40" i="40"/>
  <c r="AC27" i="37"/>
  <c r="W27" i="37"/>
  <c r="W12" i="35"/>
  <c r="AC12" i="35"/>
  <c r="AC28" i="21"/>
  <c r="W28" i="21"/>
  <c r="E51" i="43"/>
  <c r="B49" i="43" s="1"/>
  <c r="C28" i="43" s="1"/>
  <c r="F7" i="33"/>
  <c r="AA7" i="33" s="1"/>
  <c r="R48" i="33" s="1"/>
  <c r="D65" i="40"/>
  <c r="E63" i="40"/>
  <c r="F52" i="37"/>
  <c r="H7" i="33"/>
  <c r="U7" i="34"/>
  <c r="W7" i="35"/>
  <c r="AC7" i="35"/>
  <c r="V38" i="35" s="1"/>
  <c r="I38" i="35" s="1"/>
  <c r="F7" i="35"/>
  <c r="AC7" i="21"/>
  <c r="V48" i="21" s="1"/>
  <c r="I48" i="21" s="1"/>
  <c r="W7" i="21"/>
  <c r="U7" i="21"/>
  <c r="AB7" i="21"/>
  <c r="T48" i="21" s="1"/>
  <c r="G48" i="21" s="1"/>
  <c r="U7" i="36"/>
  <c r="AB7" i="36"/>
  <c r="T36" i="36" s="1"/>
  <c r="G36" i="36" s="1"/>
  <c r="AC7" i="33"/>
  <c r="V48" i="33" s="1"/>
  <c r="I48" i="33" s="1"/>
  <c r="W7" i="33"/>
  <c r="D70" i="39"/>
  <c r="E68" i="39"/>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49" i="15"/>
  <c r="C19" i="15"/>
  <c r="C15" i="67"/>
  <c r="C18" i="67"/>
  <c r="B40" i="1"/>
  <c r="Q74" i="15"/>
  <c r="Q61" i="15"/>
  <c r="F59" i="15"/>
  <c r="C35" i="9"/>
  <c r="C34" i="9" s="1"/>
  <c r="J6" i="15"/>
  <c r="Q73" i="15"/>
  <c r="Q60" i="15"/>
  <c r="F11" i="15"/>
  <c r="F11" i="67"/>
  <c r="M11" i="67"/>
  <c r="J10" i="67" s="1"/>
  <c r="M11" i="15"/>
  <c r="B2" i="70"/>
  <c r="B3" i="70" s="1"/>
  <c r="Q52" i="15"/>
  <c r="F1" i="15"/>
  <c r="C32" i="15"/>
  <c r="Q52" i="67"/>
  <c r="F1" i="67"/>
  <c r="F59" i="67"/>
  <c r="Q73" i="67" l="1"/>
  <c r="J6" i="67"/>
  <c r="J18" i="67" s="1"/>
  <c r="Q61" i="67"/>
  <c r="P66" i="71"/>
  <c r="P67" i="71"/>
  <c r="D67" i="71"/>
  <c r="E97" i="3"/>
  <c r="E77" i="3"/>
  <c r="AZ5" i="3"/>
  <c r="E299" i="3"/>
  <c r="J10" i="39"/>
  <c r="AC10" i="39" s="1"/>
  <c r="H10" i="40"/>
  <c r="AB10" i="40" s="1"/>
  <c r="F10" i="40"/>
  <c r="S10" i="40" s="1"/>
  <c r="AA10" i="39"/>
  <c r="S7" i="36"/>
  <c r="AC7" i="34"/>
  <c r="V49" i="34" s="1"/>
  <c r="I49" i="34" s="1"/>
  <c r="J10" i="40"/>
  <c r="AY6" i="3"/>
  <c r="E3" i="6"/>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W10" i="39"/>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J5" i="67" l="1"/>
  <c r="J24" i="67" s="1"/>
  <c r="U10" i="40"/>
  <c r="E30" i="6"/>
  <c r="E31" i="6" s="1"/>
  <c r="AA10" i="40"/>
  <c r="W10" i="40"/>
  <c r="AC10" i="40"/>
  <c r="E6" i="3"/>
  <c r="E66" i="39"/>
  <c r="AB10" i="39"/>
  <c r="U10" i="39"/>
  <c r="M14" i="1"/>
  <c r="C34" i="69"/>
  <c r="K16" i="1"/>
  <c r="D3" i="33"/>
  <c r="D37" i="11"/>
  <c r="C37" i="11" s="1"/>
  <c r="E6" i="6"/>
  <c r="C17" i="4"/>
  <c r="B4" i="52" s="1"/>
  <c r="B43" i="72" s="1"/>
  <c r="D3" i="37"/>
  <c r="M18" i="9"/>
  <c r="B118" i="9" s="1"/>
  <c r="B14" i="74" s="1"/>
  <c r="B1" i="74" s="1"/>
  <c r="L18" i="9"/>
  <c r="D3" i="34"/>
  <c r="D3" i="21"/>
  <c r="D19" i="11"/>
  <c r="C19" i="11" s="1"/>
  <c r="D14" i="12"/>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J26" i="67" l="1"/>
  <c r="J29" i="67" s="1"/>
  <c r="D10" i="69"/>
  <c r="D20" i="12"/>
  <c r="C20" i="12" s="1"/>
  <c r="C18" i="12" s="1"/>
  <c r="D10" i="68"/>
  <c r="D10" i="11"/>
  <c r="C10" i="11" s="1"/>
  <c r="I19" i="6"/>
  <c r="H19" i="6" s="1"/>
  <c r="H27" i="6" s="1"/>
  <c r="M27" i="6"/>
  <c r="D17" i="12"/>
  <c r="C17" i="12" s="1"/>
  <c r="C14" i="12"/>
  <c r="D14" i="6"/>
  <c r="D28" i="6"/>
  <c r="D30" i="6" s="1"/>
  <c r="D21" i="6"/>
  <c r="D13" i="6"/>
  <c r="D23" i="6"/>
  <c r="L19" i="9"/>
  <c r="M19" i="9"/>
  <c r="C118" i="9" s="1"/>
  <c r="C14" i="74" s="1"/>
  <c r="B2" i="74" s="1"/>
  <c r="D24" i="6"/>
  <c r="D29" i="6"/>
  <c r="H25" i="6"/>
  <c r="H20" i="6"/>
  <c r="D15" i="6"/>
  <c r="D12" i="6"/>
  <c r="H21" i="6"/>
  <c r="D26" i="6"/>
  <c r="R26" i="6" s="1"/>
  <c r="C18" i="4"/>
  <c r="H22" i="6"/>
  <c r="D22" i="6"/>
  <c r="R22" i="6" s="1"/>
  <c r="H23" i="6"/>
  <c r="D20" i="6"/>
  <c r="R20" i="6" s="1"/>
  <c r="H24" i="6"/>
  <c r="H26" i="6"/>
  <c r="D5" i="6"/>
  <c r="D6" i="6"/>
  <c r="D19" i="6"/>
  <c r="D10" i="6"/>
  <c r="D25" i="6"/>
  <c r="E61" i="40"/>
  <c r="D9" i="6"/>
  <c r="D11" i="6"/>
  <c r="D8" i="6"/>
  <c r="D16" i="6" s="1"/>
  <c r="C20" i="11"/>
  <c r="C25" i="11" s="1"/>
  <c r="C35" i="69"/>
  <c r="C38" i="69"/>
  <c r="O14" i="1"/>
  <c r="O16" i="1" s="1"/>
  <c r="T16" i="1"/>
  <c r="M16" i="1"/>
  <c r="C8" i="74"/>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R24" i="6" l="1"/>
  <c r="C28" i="11"/>
  <c r="C27" i="11" s="1"/>
  <c r="P14" i="1"/>
  <c r="P16" i="1" s="1"/>
  <c r="C11" i="12" s="1"/>
  <c r="R21" i="6"/>
  <c r="D27" i="6"/>
  <c r="D31" i="6" s="1"/>
  <c r="R19" i="6"/>
  <c r="R27" i="6" s="1"/>
  <c r="C10" i="68"/>
  <c r="D19" i="68"/>
  <c r="I27" i="6"/>
  <c r="S19" i="6"/>
  <c r="S27" i="6" s="1"/>
  <c r="D8" i="74"/>
  <c r="D7" i="74"/>
  <c r="C21" i="9"/>
  <c r="D21" i="9"/>
  <c r="G21" i="9"/>
  <c r="C31" i="11"/>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23" i="69" l="1"/>
  <c r="C22" i="69" s="1"/>
  <c r="C38" i="11"/>
  <c r="C35" i="11"/>
  <c r="C19" i="68"/>
  <c r="D37" i="68"/>
  <c r="C37" i="68" s="1"/>
  <c r="C38" i="68"/>
  <c r="C35" i="68"/>
  <c r="F50" i="68"/>
  <c r="F50" i="11"/>
  <c r="F50" i="69"/>
  <c r="I6" i="6"/>
  <c r="I5" i="6"/>
  <c r="C19" i="69"/>
  <c r="D37" i="69"/>
  <c r="C37" i="69" s="1"/>
  <c r="C33" i="69" s="1"/>
  <c r="C15" i="12"/>
  <c r="C12" i="12"/>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L57" i="67" l="1"/>
  <c r="L60" i="67" s="1"/>
  <c r="Q66" i="67" s="1"/>
  <c r="Q67" i="67"/>
  <c r="C16" i="12"/>
  <c r="C21" i="12" s="1"/>
  <c r="C22" i="12" s="1"/>
  <c r="C30" i="12" s="1"/>
  <c r="C28" i="12" s="1"/>
  <c r="C33" i="11"/>
  <c r="C42" i="11" s="1"/>
  <c r="C41" i="11" s="1"/>
  <c r="C33" i="68"/>
  <c r="C20" i="68"/>
  <c r="C24" i="68"/>
  <c r="C39" i="69"/>
  <c r="C42" i="69"/>
  <c r="C41" i="69" s="1"/>
  <c r="C20" i="69"/>
  <c r="C25" i="69" s="1"/>
  <c r="C24"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39" i="11"/>
  <c r="C27" i="12"/>
  <c r="C25" i="12" s="1"/>
  <c r="C32" i="12" s="1"/>
  <c r="B2" i="12" s="1"/>
  <c r="B3" i="12" s="1"/>
  <c r="C28" i="68"/>
  <c r="C27" i="68" s="1"/>
  <c r="C31" i="68" s="1"/>
  <c r="C25" i="68"/>
  <c r="C46" i="69"/>
  <c r="C45" i="69" s="1"/>
  <c r="C49" i="69" s="1"/>
  <c r="C51" i="69" s="1"/>
  <c r="C43" i="69"/>
  <c r="C39" i="68"/>
  <c r="C43" i="68" s="1"/>
  <c r="C42" i="68"/>
  <c r="C41" i="68" s="1"/>
  <c r="C46" i="11"/>
  <c r="C45" i="11" s="1"/>
  <c r="C49" i="11" s="1"/>
  <c r="C51" i="11" s="1"/>
  <c r="C43" i="11"/>
  <c r="E7" i="71"/>
  <c r="B6" i="71"/>
  <c r="C28" i="69"/>
  <c r="C27" i="69" s="1"/>
  <c r="C31" i="69" s="1"/>
  <c r="L63" i="40"/>
  <c r="K65" i="40"/>
  <c r="L68" i="39"/>
  <c r="K70" i="39"/>
  <c r="M52" i="37"/>
  <c r="U17" i="71"/>
  <c r="D17" i="71"/>
  <c r="V17" i="71" s="1"/>
  <c r="C16" i="71"/>
  <c r="C46" i="15"/>
  <c r="B2" i="67"/>
  <c r="Q56" i="15"/>
  <c r="Q75" i="67"/>
  <c r="Q57" i="15"/>
  <c r="B2" i="15"/>
  <c r="B3" i="15" s="1"/>
  <c r="Q47" i="15"/>
  <c r="Q53" i="15" s="1"/>
  <c r="Q65" i="15"/>
  <c r="Q75" i="15" s="1"/>
  <c r="C43" i="15"/>
  <c r="C83" i="15"/>
  <c r="C82" i="15" s="1"/>
  <c r="C52" i="11" l="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E33" i="43"/>
  <c r="H42" i="43"/>
  <c r="I42" i="43" s="1"/>
  <c r="C31" i="43" s="1"/>
  <c r="E42" i="43"/>
  <c r="C30" i="43" l="1"/>
  <c r="E6" i="76"/>
  <c r="E2" i="76" l="1"/>
  <c r="B2" i="43"/>
  <c r="B6" i="76"/>
  <c r="B2" i="76" l="1"/>
  <c r="B3" i="76" s="1"/>
  <c r="B3" i="43"/>
  <c r="C5" i="74"/>
  <c r="D5" i="74"/>
  <c r="F14" i="74"/>
  <c r="B5" i="74"/>
  <c r="E14" i="74"/>
  <c r="D14" i="74"/>
  <c r="H4" i="52"/>
  <c r="C104" i="9"/>
  <c r="B31" i="72"/>
  <c r="D52" i="9"/>
  <c r="D53" i="9"/>
  <c r="M48" i="9"/>
  <c r="D9" i="52"/>
  <c r="B22" i="72"/>
  <c r="B47" i="72"/>
  <c r="N58" i="9"/>
  <c r="P57" i="9"/>
  <c r="C105" i="9"/>
  <c r="I4" i="52"/>
  <c r="B32" i="72"/>
  <c r="N69" i="9"/>
  <c r="C96" i="9"/>
  <c r="E96" i="9"/>
  <c r="E97" i="9"/>
  <c r="D6" i="74"/>
  <c r="C6" i="74"/>
  <c r="B20" i="72"/>
  <c r="D5" i="53"/>
  <c r="D6" i="53"/>
  <c r="H108" i="9"/>
  <c r="D15" i="53"/>
  <c r="N60" i="9"/>
  <c r="N59" i="9"/>
  <c r="N61" i="9"/>
  <c r="B49" i="72"/>
  <c r="C78" i="9"/>
  <c r="C73" i="9"/>
  <c r="C81" i="9"/>
  <c r="D55" i="9"/>
  <c r="M53" i="9"/>
  <c r="N57" i="9"/>
  <c r="C93" i="9"/>
  <c r="C86" i="9"/>
  <c r="L65" i="9"/>
  <c r="M65" i="9"/>
  <c r="D8" i="52"/>
  <c r="D123" i="9"/>
  <c r="B30" i="72"/>
  <c r="D13" i="53"/>
  <c r="D14" i="53"/>
  <c r="C68" i="9"/>
  <c r="D54" i="9"/>
  <c r="D59" i="9"/>
  <c r="M55" i="9"/>
  <c r="H119" i="9"/>
  <c r="H5" i="52"/>
  <c r="D4" i="52"/>
  <c r="L66" i="9"/>
  <c r="M66" i="9"/>
  <c r="L68" i="9"/>
  <c r="M68" i="9"/>
  <c r="L64" i="9"/>
  <c r="M64" i="9"/>
  <c r="D122" i="9"/>
  <c r="G14" i="74"/>
  <c r="B6" i="74"/>
  <c r="L67" i="9"/>
  <c r="M67" i="9"/>
  <c r="C85" i="9"/>
  <c r="C95" i="9"/>
  <c r="C97" i="9"/>
  <c r="D58" i="9"/>
  <c r="D56" i="9"/>
  <c r="M54" i="9"/>
  <c r="D118" i="9"/>
  <c r="D119" i="9"/>
  <c r="D5" i="52"/>
  <c r="E118" i="9"/>
  <c r="E4" i="52"/>
  <c r="B48" i="72"/>
  <c r="C64" i="9"/>
  <c r="C63" i="9"/>
  <c r="C67" i="9"/>
  <c r="H102" i="9"/>
  <c r="D7" i="53"/>
  <c r="B21" i="72"/>
  <c r="B53" i="72"/>
  <c r="F4" i="52"/>
  <c r="B51" i="72"/>
  <c r="H107" i="9"/>
  <c r="M49" i="9"/>
  <c r="L63" i="9"/>
  <c r="M63" i="9"/>
  <c r="M69" i="9"/>
  <c r="E81" i="9"/>
  <c r="I118" i="9"/>
  <c r="H118" i="9"/>
  <c r="H101" i="9"/>
  <c r="D45" i="9"/>
  <c r="C72" i="9"/>
  <c r="C79" i="9"/>
  <c r="C80" i="9"/>
  <c r="E80" i="9"/>
  <c r="G4" i="52"/>
  <c r="B52" i="72"/>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<sst xmlns="http://schemas.openxmlformats.org/spreadsheetml/2006/main" count="7699" uniqueCount="3133">
  <si>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</si>
  <si>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</si>
  <si>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</si>
  <si>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</si>
  <si>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</si>
  <si>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</si>
  <si>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</si>
  <si>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</si>
  <si>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</si>
  <si>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</si>
  <si>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</si>
  <si>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</si>
  <si>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</si>
  <si>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</si>
  <si>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</si>
  <si>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</si>
  <si>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</si>
  <si>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</si>
  <si>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</si>
  <si>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</si>
  <si>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</si>
  <si>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</si>
  <si>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</si>
  <si>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</si>
  <si>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</si>
  <si>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</si>
  <si>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</si>
  <si>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</si>
  <si>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</si>
  <si>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</si>
  <si>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</si>
  <si>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</si>
  <si>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</si>
  <si>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</si>
  <si>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</si>
  <si>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</si>
  <si>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</si>
  <si>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</si>
  <si>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</si>
  <si>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</si>
  <si>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</si>
  <si>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</si>
  <si>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</si>
  <si>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</si>
  <si>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</si>
  <si>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</si>
  <si>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</si>
  <si>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</si>
  <si>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</si>
  <si>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</si>
  <si>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</si>
  <si>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</si>
  <si>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</si>
  <si>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</si>
  <si>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</si>
  <si>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</si>
  <si>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</si>
  <si>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</si>
  <si>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</si>
  <si>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</si>
  <si>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</si>
  <si>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</si>
  <si>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</si>
  <si>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</si>
  <si>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</si>
  <si>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</si>
  <si>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</si>
  <si>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</si>
  <si>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</si>
  <si>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</si>
  <si>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</si>
  <si>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</si>
  <si>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</si>
  <si>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</si>
  <si>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</si>
  <si>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</si>
  <si>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</si>
  <si>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</si>
  <si>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</si>
  <si>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</si>
  <si>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</si>
  <si>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</si>
  <si>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</si>
  <si>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</si>
  <si>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</si>
  <si>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</si>
  <si>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</si>
  <si>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</si>
  <si>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</si>
  <si>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</si>
  <si>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</si>
  <si>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</si>
  <si>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</si>
  <si>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</si>
  <si>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</si>
  <si>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</si>
  <si>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</si>
  <si>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</si>
  <si>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</si>
  <si>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</si>
  <si>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</si>
  <si>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</si>
  <si>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</si>
  <si>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</si>
  <si>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</si>
  <si>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</si>
  <si>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</si>
  <si>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</si>
  <si>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</si>
  <si>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</si>
  <si>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</si>
  <si>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</si>
  <si>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</si>
  <si>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</si>
  <si>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</si>
  <si>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</si>
  <si>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</si>
  <si>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</si>
  <si>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</si>
  <si>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</si>
  <si>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</si>
  <si>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</si>
  <si>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</si>
  <si>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</si>
  <si>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</si>
  <si>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</si>
  <si>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</si>
  <si>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</si>
  <si>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</si>
  <si>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</si>
  <si>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</si>
  <si>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</si>
  <si>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</si>
  <si>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</si>
  <si>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</si>
  <si>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</si>
  <si>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</si>
  <si>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</si>
  <si>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</si>
  <si>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</si>
  <si>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</si>
  <si>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</si>
  <si>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</si>
  <si>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</si>
  <si>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</si>
  <si>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</si>
  <si>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</si>
  <si>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</si>
  <si>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</si>
  <si>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</si>
  <si>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</si>
  <si>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</si>
  <si>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</si>
  <si>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</si>
  <si>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</si>
  <si>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</si>
  <si>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</si>
  <si>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</si>
  <si>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</si>
  <si>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</si>
  <si>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</si>
  <si>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</si>
  <si>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</si>
  <si>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</si>
  <si>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</si>
  <si>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</si>
  <si>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</si>
  <si>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</si>
  <si>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</si>
  <si>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</si>
  <si>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</si>
  <si>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</si>
  <si>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</si>
  <si>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</si>
  <si>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</si>
  <si>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</si>
  <si>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</si>
  <si>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</si>
  <si>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</si>
  <si>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</si>
  <si>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</si>
  <si>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</si>
  <si>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</si>
  <si>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</si>
  <si>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</si>
  <si>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</si>
  <si>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</si>
  <si>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</si>
  <si>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</si>
  <si>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</si>
  <si>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</si>
  <si>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</si>
  <si>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</si>
  <si>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</si>
  <si>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</si>
  <si>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</si>
  <si>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</si>
  <si>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</si>
  <si>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</si>
  <si>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</si>
  <si>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</si>
  <si>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</si>
  <si>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</si>
  <si>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</si>
  <si>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</si>
  <si>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</si>
  <si>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</si>
  <si>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</si>
  <si>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</si>
  <si>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</si>
  <si>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</si>
  <si>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</si>
  <si>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</si>
  <si>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</si>
  <si>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</si>
  <si>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</si>
  <si>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</si>
  <si>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</si>
  <si>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</si>
  <si>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</si>
  <si>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</si>
  <si>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</si>
  <si>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</si>
  <si>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</si>
  <si>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</si>
  <si>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</si>
  <si>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</si>
  <si>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</si>
  <si>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</si>
  <si>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</si>
  <si>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</si>
  <si>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</si>
  <si>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</si>
  <si>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</si>
  <si>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</si>
  <si>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</si>
  <si>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</si>
  <si>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</si>
  <si>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</si>
  <si>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</si>
  <si>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</si>
  <si>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</si>
  <si>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</si>
  <si>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</si>
  <si>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</si>
  <si>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</si>
  <si>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</si>
  <si>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</si>
  <si>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</si>
  <si>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</si>
  <si>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</si>
  <si>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</si>
  <si>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</si>
  <si>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</si>
  <si>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</si>
  <si>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</si>
  <si>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</si>
  <si>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</si>
  <si>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</si>
  <si>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</si>
  <si>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</si>
  <si>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</si>
  <si>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</si>
  <si>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</si>
  <si>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</si>
  <si>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</si>
  <si>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</si>
  <si>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</si>
  <si>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</si>
  <si>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</si>
  <si>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</si>
  <si>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</si>
  <si>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</si>
  <si>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</si>
  <si>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</si>
  <si>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</si>
  <si>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</si>
  <si>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</si>
  <si>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</si>
  <si>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</si>
  <si>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</si>
  <si>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</si>
  <si>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</si>
  <si>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</si>
  <si>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</si>
  <si>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</si>
  <si>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</si>
  <si>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</si>
  <si>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</si>
  <si>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</si>
  <si>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</si>
  <si>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</si>
  <si>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</si>
  <si>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</si>
  <si>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</si>
  <si>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</si>
  <si>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</si>
  <si>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</si>
  <si>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</si>
  <si>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</si>
  <si>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</si>
  <si>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</si>
  <si>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</si>
  <si>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</si>
  <si>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</si>
  <si>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</si>
  <si>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</si>
  <si>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</si>
  <si>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</si>
  <si>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</si>
  <si>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</si>
  <si>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</si>
  <si>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</si>
  <si>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</si>
  <si>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</si>
  <si>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</si>
  <si>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</si>
  <si>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</si>
  <si>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</si>
  <si>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</si>
  <si>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</si>
  <si>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</si>
  <si>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</si>
  <si>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</si>
  <si>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</si>
  <si>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</si>
  <si>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</si>
  <si>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</si>
  <si>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</si>
  <si>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</si>
  <si>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</si>
  <si>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</si>
  <si>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</si>
  <si>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</si>
  <si>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</si>
  <si>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</si>
  <si>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</si>
  <si>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</si>
  <si>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</si>
  <si>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</si>
  <si>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</si>
  <si>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</si>
  <si>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</si>
  <si>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</si>
  <si>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</si>
  <si>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</si>
  <si>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</si>
  <si>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</si>
  <si>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</si>
  <si>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</si>
  <si>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</si>
  <si>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</si>
  <si>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</si>
  <si>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</si>
  <si>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</si>
  <si>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</si>
  <si>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</si>
  <si>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</si>
  <si>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</si>
  <si>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</si>
  <si>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</si>
  <si>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</si>
  <si>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</si>
  <si>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</si>
  <si>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</si>
  <si>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</si>
  <si>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</si>
  <si>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</si>
  <si>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</si>
  <si>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</si>
  <si>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</si>
  <si>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</si>
  <si>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</si>
  <si>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</si>
  <si>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</si>
  <si>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</si>
  <si>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</si>
  <si>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</si>
  <si>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</si>
  <si>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</si>
  <si>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</si>
  <si>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</si>
  <si>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</si>
  <si>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</si>
  <si>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</si>
  <si>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</si>
  <si>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</si>
  <si>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</si>
  <si>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</si>
  <si>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</si>
  <si>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</si>
  <si>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</si>
  <si>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</si>
  <si>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</si>
  <si>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</si>
  <si>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</si>
  <si>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</si>
  <si>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</si>
  <si>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</si>
  <si>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</si>
  <si>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</si>
  <si>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</si>
  <si>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</si>
  <si>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</si>
  <si>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</si>
  <si>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</si>
  <si>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</si>
  <si>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</si>
  <si>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</si>
  <si>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</si>
  <si>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</si>
  <si>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</si>
  <si>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</si>
  <si>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</si>
  <si>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</si>
  <si>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</si>
  <si>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</si>
  <si>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</si>
  <si>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</si>
  <si>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</si>
  <si>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</si>
  <si>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</si>
  <si>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</si>
  <si>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</si>
  <si>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</si>
  <si>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</si>
  <si>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</si>
  <si>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</si>
  <si>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</si>
  <si>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</si>
  <si>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</si>
  <si>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</si>
  <si>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</si>
  <si>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</si>
  <si>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</si>
  <si>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</si>
  <si>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</si>
  <si>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</si>
  <si>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</si>
  <si>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</si>
  <si>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</si>
  <si>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</si>
  <si>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</si>
  <si>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</si>
  <si>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</si>
  <si>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</si>
  <si>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</si>
  <si>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</si>
  <si>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</si>
  <si>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</si>
  <si>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</si>
  <si>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</si>
  <si>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</si>
  <si>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</si>
  <si>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</si>
  <si>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</si>
  <si>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</si>
  <si>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</si>
  <si>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</si>
  <si>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</si>
  <si>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</si>
  <si>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</si>
  <si>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</si>
  <si>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</si>
  <si>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</si>
  <si>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</si>
  <si>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</si>
  <si>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</si>
  <si>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</si>
  <si>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</si>
  <si>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</si>
  <si>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</si>
  <si>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</si>
  <si>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</si>
  <si>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</si>
  <si>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</si>
  <si>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</si>
  <si>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</si>
  <si>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</si>
  <si>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</si>
  <si>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</si>
  <si>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</si>
  <si>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</si>
  <si>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</si>
  <si>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</si>
  <si>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</si>
  <si>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</si>
  <si>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</si>
  <si>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</si>
  <si>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</si>
  <si>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</si>
  <si>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</si>
  <si>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</si>
  <si>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</si>
  <si>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</si>
  <si>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</si>
  <si>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</si>
  <si>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</si>
  <si>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</si>
  <si>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</si>
  <si>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</si>
  <si>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</si>
  <si>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</si>
  <si>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</si>
  <si>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</si>
  <si>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</si>
  <si>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</si>
  <si>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</si>
  <si>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</si>
  <si>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</si>
  <si>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</si>
  <si>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</si>
  <si>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</si>
  <si>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</si>
  <si>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</si>
  <si>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</si>
  <si>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</si>
  <si>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</si>
  <si>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</si>
  <si>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</si>
  <si>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</si>
  <si>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</si>
  <si>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</si>
  <si>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</si>
  <si>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</si>
  <si>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</si>
  <si>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</si>
  <si>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</si>
  <si>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</si>
  <si>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</si>
  <si>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</si>
  <si>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</si>
  <si>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</si>
  <si>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</si>
  <si>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</si>
  <si>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</si>
  <si>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</si>
  <si>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</si>
  <si>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</si>
  <si>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</si>
  <si>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</si>
  <si>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</si>
  <si>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</si>
  <si>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</si>
  <si>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</si>
  <si>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</si>
  <si>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</si>
  <si>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</si>
  <si>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</si>
  <si>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</si>
  <si>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</si>
  <si>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</si>
  <si>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</si>
  <si>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</si>
  <si>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</si>
  <si>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</si>
  <si>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</si>
  <si>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</si>
  <si>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</si>
  <si>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</si>
  <si>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</si>
  <si>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</si>
  <si>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</si>
  <si>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</si>
  <si>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</si>
  <si>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</si>
  <si>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</si>
  <si>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</si>
  <si>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</si>
  <si>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</si>
  <si>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</si>
  <si>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</si>
  <si>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</si>
  <si>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</si>
  <si>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</si>
  <si>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</si>
  <si>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</si>
  <si>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</si>
  <si>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</si>
  <si>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</si>
  <si>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</si>
  <si>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</si>
  <si>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</si>
  <si>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</si>
  <si>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</si>
  <si>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</si>
  <si>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</si>
  <si>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</si>
  <si>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</si>
  <si>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</si>
  <si>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</si>
  <si>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</si>
  <si>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</si>
  <si>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</si>
  <si>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</si>
  <si>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</si>
  <si>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</si>
  <si>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</si>
  <si>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</si>
  <si>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</si>
  <si>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</si>
  <si>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</si>
  <si>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</si>
  <si>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</si>
  <si>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</si>
  <si>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</si>
  <si>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</si>
  <si>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</si>
  <si>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</si>
  <si>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</si>
  <si>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</si>
  <si>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</si>
  <si>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</si>
  <si>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</si>
  <si>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</si>
  <si>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</si>
  <si>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</si>
  <si>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</si>
  <si>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</si>
  <si>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</si>
  <si>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</si>
  <si>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</si>
  <si>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</si>
  <si>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</si>
  <si>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</si>
  <si>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</si>
  <si>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</si>
  <si>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</si>
  <si>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</si>
  <si>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</si>
  <si>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</si>
  <si>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</si>
  <si>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</si>
  <si>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</si>
  <si>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</si>
  <si>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</si>
  <si>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</si>
  <si>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</si>
  <si>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</si>
  <si>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</si>
  <si>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</si>
  <si>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</si>
  <si>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</si>
  <si>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</si>
  <si>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</si>
  <si>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</si>
  <si>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</si>
  <si>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</si>
  <si>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</si>
  <si>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</si>
  <si>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</si>
  <si>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</si>
  <si>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</si>
  <si>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</si>
  <si>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</si>
  <si>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</si>
  <si>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</si>
  <si>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</si>
  <si>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</si>
  <si>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</si>
  <si>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</si>
  <si>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</si>
  <si>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</si>
  <si>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</si>
  <si>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</si>
  <si>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</si>
  <si>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</si>
  <si>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</si>
  <si>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</si>
  <si>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</si>
  <si>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</si>
  <si>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</si>
  <si>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</si>
  <si>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</si>
  <si>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</si>
  <si>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</si>
  <si>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</si>
  <si>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</si>
  <si>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</si>
  <si>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</si>
  <si>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</si>
  <si>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</si>
  <si>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</si>
  <si>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</si>
  <si>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</si>
  <si>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</si>
  <si>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</si>
  <si>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</si>
  <si>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</si>
  <si>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</si>
  <si>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</si>
  <si>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</si>
  <si>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</si>
  <si>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</si>
  <si>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</si>
  <si>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</si>
  <si>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</si>
  <si>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</si>
  <si>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</si>
  <si>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</si>
  <si>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</si>
  <si>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</si>
  <si>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</si>
  <si>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</si>
  <si>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</si>
  <si>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</si>
  <si>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</si>
  <si>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</si>
  <si>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</si>
  <si>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</si>
  <si>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</si>
  <si>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</si>
  <si>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</si>
  <si>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</si>
  <si>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</si>
  <si>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</si>
  <si>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</si>
  <si>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</si>
  <si>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</si>
  <si>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</si>
  <si>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</si>
  <si>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</si>
  <si>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</si>
  <si>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</si>
  <si>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</si>
  <si>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</si>
  <si>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</si>
  <si>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</si>
  <si>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</si>
  <si>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</si>
  <si>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</si>
  <si>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</si>
  <si>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</si>
  <si>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</si>
  <si>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</si>
  <si>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</si>
  <si>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</si>
  <si>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</si>
  <si>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</si>
  <si>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</si>
  <si>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</si>
  <si>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</si>
  <si>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</si>
  <si>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</si>
  <si>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</si>
  <si>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</si>
  <si>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</si>
  <si>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</si>
  <si>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</si>
  <si>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</si>
  <si>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</si>
  <si>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</si>
  <si>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</si>
  <si>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</si>
  <si>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</si>
  <si>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</si>
  <si>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</si>
  <si>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</si>
  <si>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</si>
  <si>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</si>
  <si>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</si>
  <si>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</si>
  <si>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</si>
  <si>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</si>
  <si>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</si>
  <si>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</si>
  <si>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</si>
  <si>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</si>
  <si>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</si>
  <si>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</si>
  <si>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</si>
  <si>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</si>
  <si>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</si>
  <si>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</si>
  <si>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</si>
  <si>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</si>
  <si>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</si>
  <si>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</si>
  <si>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</si>
  <si>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</si>
  <si>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</si>
  <si>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</si>
  <si>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</si>
  <si>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</si>
  <si>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</si>
  <si>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</si>
  <si>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</si>
  <si>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</si>
  <si>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</si>
  <si>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</si>
  <si>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</si>
  <si>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</si>
  <si>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</si>
  <si>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</si>
  <si>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</si>
  <si>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</si>
  <si>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</si>
  <si>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</si>
  <si>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</si>
  <si>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</si>
  <si>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</si>
  <si>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</si>
  <si>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</si>
  <si>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</si>
  <si>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</si>
  <si>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</si>
  <si>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</si>
  <si>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</si>
  <si>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</si>
  <si>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</si>
  <si>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</si>
  <si>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</si>
  <si>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</si>
  <si>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</si>
  <si>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</si>
  <si>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</si>
  <si>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</si>
  <si>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</si>
  <si>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</si>
  <si>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</si>
  <si>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</si>
  <si>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</si>
  <si>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</si>
  <si>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</si>
  <si>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</si>
  <si>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</si>
  <si>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</si>
  <si>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</si>
  <si>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</si>
  <si>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</si>
  <si>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</si>
  <si>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</si>
  <si>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</si>
  <si>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</si>
  <si>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</si>
  <si>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</si>
  <si>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</si>
  <si>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</si>
  <si>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</si>
  <si>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</si>
  <si>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</si>
  <si>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</si>
  <si>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</si>
  <si>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</si>
  <si>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</si>
  <si>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</si>
  <si>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</si>
  <si>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</si>
  <si>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</si>
  <si>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</si>
  <si>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</si>
  <si>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</si>
  <si>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</si>
  <si>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</si>
  <si>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</si>
  <si>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</si>
  <si>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</si>
  <si>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</si>
  <si>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</si>
  <si>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</si>
  <si>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</si>
  <si>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</si>
  <si>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</si>
  <si>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</si>
  <si>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</si>
  <si>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</si>
  <si>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</si>
  <si>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</si>
  <si>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</si>
  <si>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</si>
  <si>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</si>
  <si>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</si>
  <si>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</si>
  <si>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</si>
  <si>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</si>
  <si>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</si>
  <si>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</si>
  <si>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</si>
  <si>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</si>
  <si>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</si>
  <si>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</si>
  <si>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</si>
  <si>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</si>
  <si>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</si>
  <si>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</si>
  <si>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</si>
  <si>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</si>
  <si>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</si>
  <si>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</si>
  <si>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</si>
  <si>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</si>
  <si>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</si>
  <si>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</si>
  <si>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</si>
  <si>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</si>
  <si>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</si>
  <si>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</si>
  <si>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</si>
  <si>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</si>
  <si>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</si>
  <si>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</si>
  <si>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</si>
  <si>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</si>
  <si>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</si>
  <si>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</si>
  <si>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</si>
  <si>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</si>
  <si>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</si>
  <si>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</si>
  <si>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</si>
  <si>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</si>
  <si>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</si>
  <si>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</si>
  <si>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</si>
  <si>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</si>
  <si>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</si>
  <si>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</si>
  <si>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</si>
  <si>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</si>
  <si>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</si>
  <si>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</si>
  <si>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</si>
  <si>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</si>
  <si>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</si>
  <si>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</si>
  <si>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</si>
  <si>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</si>
  <si>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</si>
  <si>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</si>
  <si>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</si>
  <si>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</si>
  <si>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</si>
  <si>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</si>
  <si>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</si>
  <si>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</si>
  <si>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</si>
  <si>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</si>
  <si>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</si>
  <si>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</si>
  <si>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</si>
  <si>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</si>
  <si>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</si>
  <si>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</si>
  <si>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</si>
  <si>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</si>
  <si>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</si>
  <si>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</si>
  <si>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</si>
  <si>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</si>
  <si>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</si>
  <si>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</si>
  <si>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</si>
  <si>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</si>
  <si>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</si>
  <si>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</si>
  <si>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</si>
  <si>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</si>
  <si>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</si>
  <si>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</si>
  <si>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</si>
  <si>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</si>
  <si>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</si>
  <si>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</si>
  <si>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</si>
  <si>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</si>
  <si>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</si>
  <si>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</si>
  <si>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</si>
  <si>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</si>
  <si>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</si>
  <si>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</si>
  <si>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</si>
  <si>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</si>
  <si>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</si>
  <si>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</si>
  <si>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</si>
  <si>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</si>
  <si>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</si>
  <si>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</si>
  <si>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</si>
  <si>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</si>
  <si>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</si>
  <si>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</si>
  <si>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</si>
  <si>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</si>
  <si>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</si>
  <si>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</si>
  <si>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</si>
  <si>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</si>
  <si>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</si>
  <si>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</si>
  <si>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</si>
  <si>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</si>
  <si>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</si>
  <si>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</si>
  <si>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</si>
  <si>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</si>
  <si>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</si>
  <si>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</si>
  <si>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</si>
  <si>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</si>
  <si>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</si>
  <si>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</si>
  <si>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</si>
  <si>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</si>
  <si>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</si>
  <si>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</si>
  <si>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</si>
  <si>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</si>
  <si>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</si>
  <si>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</si>
  <si>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</si>
  <si>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</si>
  <si>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</si>
  <si>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</si>
  <si>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</si>
  <si>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</si>
  <si>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</si>
  <si>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</si>
  <si>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</si>
  <si>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</si>
  <si>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</si>
  <si>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</si>
  <si>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</si>
  <si>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</si>
  <si>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</si>
  <si>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</si>
  <si>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</si>
  <si>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</si>
  <si>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</si>
  <si>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</si>
  <si>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</si>
  <si>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</si>
  <si>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</si>
  <si>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</si>
  <si>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</si>
  <si>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</si>
  <si>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</si>
  <si>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</si>
  <si>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</si>
  <si>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</si>
  <si>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</si>
  <si>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</si>
  <si>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</si>
  <si>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</si>
  <si>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</si>
  <si>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</si>
  <si>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</si>
  <si>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</si>
  <si>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</si>
  <si>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</si>
  <si>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</si>
  <si>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</si>
  <si>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</si>
  <si>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</si>
  <si>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</si>
  <si>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</si>
  <si>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</si>
  <si>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</si>
  <si>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</si>
  <si>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</si>
  <si>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</si>
  <si>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</si>
  <si>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</si>
  <si>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</si>
  <si>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</si>
  <si>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</si>
  <si>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</si>
  <si>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</si>
  <si>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</si>
  <si>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</si>
  <si>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</si>
  <si>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</si>
  <si>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</si>
  <si>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</si>
  <si>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</si>
  <si>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</si>
  <si>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</si>
  <si>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</si>
  <si>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</si>
  <si>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</si>
  <si>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</si>
  <si>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</si>
  <si>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</si>
  <si>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</si>
  <si>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</si>
  <si>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</si>
  <si>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</si>
  <si>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</si>
  <si>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</si>
  <si>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</si>
  <si>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</si>
  <si>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</si>
  <si>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</si>
  <si>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</si>
  <si>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</si>
  <si>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</si>
  <si>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</si>
  <si>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</si>
  <si>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</si>
  <si>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</si>
  <si>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</si>
  <si>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</si>
  <si>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</si>
  <si>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</si>
  <si>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</si>
  <si>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</si>
  <si>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</si>
  <si>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</si>
  <si>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</si>
  <si>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</si>
  <si>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</si>
  <si>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</si>
  <si>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</si>
  <si>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</si>
  <si>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</si>
  <si>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</si>
  <si>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</si>
  <si>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</si>
  <si>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</si>
  <si>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</si>
  <si>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</si>
  <si>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</si>
  <si>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</si>
  <si>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</si>
  <si>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</si>
  <si>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</si>
  <si>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</si>
  <si>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</si>
  <si>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</si>
  <si>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</si>
  <si>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</si>
  <si>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</si>
  <si>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</si>
  <si>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</si>
  <si>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</si>
  <si>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</si>
  <si>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</si>
  <si>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</si>
  <si>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</si>
  <si>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</si>
  <si>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</si>
  <si>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</si>
  <si>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</si>
  <si>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</si>
  <si>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</si>
  <si>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</si>
  <si>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</si>
  <si>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</si>
  <si>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</si>
  <si>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</si>
  <si>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</si>
  <si>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</si>
  <si>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</si>
  <si>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</si>
  <si>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</si>
  <si>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</si>
  <si>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</si>
  <si>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</si>
  <si>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</si>
  <si>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</si>
  <si>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</si>
  <si>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</si>
  <si>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</si>
  <si>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</si>
  <si>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</si>
  <si>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</si>
  <si>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</si>
  <si>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</si>
  <si>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</si>
  <si>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</si>
  <si>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</si>
  <si>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</si>
  <si>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</si>
  <si>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</si>
  <si>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</si>
  <si>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</si>
  <si>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</si>
  <si>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</si>
  <si>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</si>
  <si>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</si>
  <si>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</si>
  <si>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</si>
  <si>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</si>
  <si>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</si>
  <si>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</si>
  <si>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</si>
  <si>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</si>
  <si>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</si>
  <si>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</si>
  <si>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</si>
  <si>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</si>
  <si>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</si>
  <si>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</si>
  <si>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</si>
  <si>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</si>
  <si>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</si>
  <si>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</si>
  <si>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</si>
  <si>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</si>
  <si>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</si>
  <si>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</si>
  <si>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</si>
  <si>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</si>
  <si>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</si>
  <si>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</si>
  <si>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</si>
  <si>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</si>
  <si>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</si>
  <si>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</si>
  <si>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</si>
  <si>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</si>
  <si>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</si>
  <si>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</si>
  <si>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</si>
  <si>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</si>
  <si>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</si>
  <si>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</si>
  <si>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</si>
  <si>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</si>
  <si>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</si>
  <si>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</si>
  <si>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</si>
  <si>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</si>
  <si>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</si>
  <si>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</si>
  <si>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</si>
  <si>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</si>
  <si>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</si>
  <si>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</si>
  <si>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</si>
  <si>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</si>
  <si>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</si>
  <si>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</si>
  <si>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</si>
  <si>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</si>
  <si>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</si>
  <si>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</si>
  <si>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</si>
  <si>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</si>
  <si>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</si>
  <si>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</si>
  <si>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</si>
  <si>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</si>
  <si>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</si>
  <si>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</si>
  <si>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</si>
  <si>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</si>
  <si>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</si>
  <si>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</si>
  <si>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</si>
  <si>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</si>
  <si>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</si>
  <si>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</si>
  <si>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</si>
  <si>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</si>
  <si>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</si>
  <si>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</si>
  <si>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</si>
  <si>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</si>
  <si>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</si>
  <si>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</si>
  <si>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</si>
  <si>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</si>
  <si>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</si>
  <si>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</si>
  <si>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</si>
  <si>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</si>
  <si>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</si>
  <si>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</si>
  <si>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</si>
  <si>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</si>
  <si>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</si>
  <si>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</si>
  <si>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</si>
  <si>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</si>
  <si>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</si>
  <si>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</si>
  <si>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</si>
  <si>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</si>
  <si>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</si>
  <si>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</si>
  <si>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</si>
  <si>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</si>
  <si>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</si>
  <si>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</si>
  <si>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</si>
  <si>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</si>
  <si>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</si>
  <si>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</si>
  <si>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</si>
  <si>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</si>
  <si>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</si>
  <si>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</si>
  <si>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</si>
  <si>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</si>
  <si>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</si>
  <si>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</si>
  <si>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</si>
  <si>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</si>
  <si>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</si>
  <si>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</si>
  <si>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</si>
  <si>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</si>
  <si>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</si>
  <si>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</si>
  <si>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</si>
  <si>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</si>
  <si>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</si>
  <si>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</si>
  <si>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</si>
  <si>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</si>
  <si>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</si>
  <si>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</si>
  <si>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</si>
  <si>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</si>
  <si>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</si>
  <si>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</si>
  <si>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</si>
  <si>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</si>
  <si>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</si>
  <si>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</si>
  <si>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</si>
  <si>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</si>
  <si>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</si>
  <si>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</si>
  <si>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</si>
  <si>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</si>
  <si>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</si>
  <si>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</si>
  <si>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</si>
  <si>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</si>
  <si>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</si>
  <si>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</si>
  <si>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</si>
  <si>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</si>
  <si>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</si>
  <si>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</si>
  <si>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</si>
  <si>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</si>
  <si>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</si>
  <si>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</si>
  <si>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</si>
  <si>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</si>
  <si>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</si>
  <si>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</si>
  <si>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</si>
  <si>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</si>
  <si>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</si>
  <si>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</si>
  <si>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</si>
  <si>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</si>
  <si>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</si>
  <si>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</si>
  <si>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</si>
  <si>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</si>
  <si>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</si>
  <si>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</si>
  <si>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</si>
  <si>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</si>
  <si>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</si>
  <si>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</si>
  <si>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</si>
  <si>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</si>
  <si>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</si>
  <si>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</si>
  <si>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</si>
  <si>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</si>
  <si>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</si>
  <si>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</si>
  <si>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</si>
  <si>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</si>
  <si>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</si>
  <si>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</si>
  <si>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</si>
  <si>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</si>
  <si>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</si>
  <si>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</si>
  <si>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</si>
  <si>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</si>
  <si>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</si>
  <si>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</si>
  <si>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</si>
  <si>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</si>
  <si>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</si>
  <si>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</si>
  <si>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</si>
  <si>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</si>
  <si>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</si>
  <si>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</si>
  <si>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</si>
  <si>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</si>
  <si>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</si>
  <si>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</si>
  <si>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</si>
  <si>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</si>
  <si>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</si>
  <si>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</si>
  <si>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</si>
  <si>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</si>
  <si>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</si>
  <si>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</si>
  <si>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</si>
  <si>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</si>
  <si>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</si>
  <si>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</si>
  <si>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</si>
  <si>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</si>
  <si>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</si>
  <si>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</si>
  <si>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</si>
  <si>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</si>
  <si>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</si>
  <si>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</si>
  <si>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</si>
  <si>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</si>
  <si>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</si>
  <si>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</si>
  <si>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</si>
  <si>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</si>
  <si>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</si>
  <si>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</si>
  <si>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</si>
  <si>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</si>
  <si>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</si>
  <si>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</si>
  <si>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</si>
  <si>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</si>
  <si>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</si>
  <si>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</si>
  <si>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</si>
  <si>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</si>
  <si>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</si>
  <si>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</si>
  <si>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</si>
  <si>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</si>
  <si>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</si>
  <si>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</si>
  <si>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</si>
  <si>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</si>
  <si>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</si>
  <si>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</si>
  <si>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</si>
  <si>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</si>
  <si>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</si>
  <si>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</si>
  <si>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</si>
  <si>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</si>
  <si>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</si>
  <si>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</si>
  <si>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</si>
  <si>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</si>
  <si>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</si>
  <si>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</si>
  <si>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</si>
  <si>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</si>
  <si>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</si>
  <si>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</si>
  <si>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</si>
  <si>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</si>
  <si>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</si>
  <si>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</si>
  <si>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</si>
  <si>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</si>
  <si>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</si>
  <si>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</si>
  <si>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</si>
  <si>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</si>
  <si>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</si>
  <si>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</si>
  <si>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</si>
  <si>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</si>
  <si>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</si>
  <si>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</si>
  <si>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</si>
  <si>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</si>
  <si>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</si>
  <si>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</si>
  <si>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</si>
  <si>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</si>
  <si>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</si>
  <si>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</si>
  <si>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</si>
  <si>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</si>
  <si>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</si>
  <si>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</si>
  <si>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</si>
  <si>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</si>
  <si>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</si>
  <si>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</si>
  <si>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</si>
  <si>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</si>
  <si>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</si>
  <si>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</si>
  <si>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</si>
  <si>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</si>
  <si>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</si>
  <si>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</si>
  <si>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</si>
  <si>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</si>
  <si>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</si>
  <si>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</si>
  <si>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</si>
  <si>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</si>
  <si>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</si>
  <si>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</si>
  <si>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</si>
  <si>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</si>
  <si>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</si>
  <si>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</si>
  <si>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</si>
  <si>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</si>
  <si>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</si>
  <si>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</si>
  <si>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</si>
  <si>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</si>
  <si>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</si>
  <si>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</si>
  <si>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</si>
  <si>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</si>
  <si>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</si>
  <si>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</si>
  <si>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</si>
  <si>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</si>
  <si>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</si>
  <si>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</si>
  <si>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</si>
  <si>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</si>
  <si>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</si>
  <si>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</si>
  <si>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</si>
  <si>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</si>
  <si>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</si>
  <si>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</si>
  <si>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</si>
  <si>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</si>
  <si>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</si>
  <si>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</si>
  <si>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</si>
  <si>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</si>
  <si>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</si>
  <si>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</si>
  <si>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</si>
  <si>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</si>
  <si>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</si>
  <si>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</si>
  <si>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</si>
  <si>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</si>
  <si>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</si>
  <si>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</si>
  <si>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</si>
  <si>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</si>
  <si>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</si>
  <si>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</si>
  <si>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</si>
  <si>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</si>
  <si>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</si>
  <si>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</si>
  <si>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</si>
  <si>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</si>
  <si>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</si>
  <si>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</si>
  <si>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</si>
  <si>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</si>
  <si>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</si>
  <si>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</si>
  <si>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</si>
  <si>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</si>
  <si>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</si>
  <si>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</si>
  <si>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</si>
  <si>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</si>
  <si>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</si>
  <si>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</si>
  <si>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</si>
  <si>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</si>
  <si>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</si>
  <si>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</si>
  <si>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</si>
  <si>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</si>
  <si>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</si>
  <si>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</si>
  <si>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</si>
  <si>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</si>
  <si>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</si>
  <si>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</si>
  <si>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</si>
  <si>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</si>
  <si>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</si>
  <si>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</si>
  <si>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</si>
  <si>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</si>
  <si>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</si>
  <si>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</si>
  <si>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</si>
  <si>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</si>
  <si>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</si>
  <si>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</si>
  <si>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</si>
  <si>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</si>
  <si>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</si>
  <si>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</si>
  <si>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</si>
  <si>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</si>
  <si>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</si>
  <si>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</si>
  <si>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</si>
  <si>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</si>
  <si>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</si>
  <si>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</si>
  <si>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</si>
  <si>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</si>
  <si>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</si>
  <si>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</si>
  <si>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</si>
  <si>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</si>
  <si>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</si>
  <si>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</si>
  <si>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</si>
  <si>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</si>
  <si>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</si>
  <si>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</si>
  <si>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</si>
  <si>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</si>
  <si>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</si>
  <si>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</si>
  <si>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</si>
  <si>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</si>
  <si>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</si>
  <si>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</si>
  <si>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</si>
  <si>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</si>
  <si>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</si>
  <si>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</si>
  <si>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</si>
  <si>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</si>
  <si>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</si>
  <si>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</si>
  <si>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</si>
  <si>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</si>
  <si>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</si>
  <si>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</si>
  <si>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</si>
  <si>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</si>
  <si>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</si>
  <si>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</si>
  <si>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</si>
  <si>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</si>
  <si>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</si>
  <si>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</si>
  <si>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</si>
  <si>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</si>
  <si>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</si>
  <si>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</si>
  <si>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</si>
  <si>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</si>
  <si>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</si>
  <si>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</si>
  <si>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</si>
  <si>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</si>
  <si>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</si>
  <si>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</si>
  <si>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</si>
  <si>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</si>
  <si>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</si>
  <si>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</si>
  <si>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</si>
  <si>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</si>
  <si>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</si>
  <si>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</si>
  <si>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</si>
  <si>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</si>
  <si>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</si>
  <si>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</si>
  <si>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</si>
  <si>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</si>
  <si>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</si>
  <si>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</si>
  <si>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</si>
  <si>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</si>
  <si>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</si>
  <si>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</si>
  <si>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</si>
  <si>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</si>
  <si>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</si>
  <si>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</si>
  <si>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</si>
  <si>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</si>
  <si>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</si>
  <si>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</si>
  <si>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</si>
  <si>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</si>
  <si>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</si>
  <si>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</si>
  <si>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</si>
  <si>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</si>
  <si>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</si>
  <si>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</si>
  <si>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</si>
  <si>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</si>
  <si>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</si>
  <si>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</si>
  <si>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</si>
  <si>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</si>
  <si>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</si>
  <si>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</si>
  <si>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</si>
  <si>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</si>
  <si>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</si>
  <si>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</si>
  <si>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</si>
  <si>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</si>
  <si>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</si>
  <si>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</si>
  <si>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</si>
  <si>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</si>
  <si>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</si>
  <si>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</si>
  <si>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</si>
  <si>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</si>
  <si>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</si>
  <si>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</si>
  <si>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</si>
  <si>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</si>
  <si>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</si>
  <si>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</si>
  <si>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</si>
  <si>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</si>
  <si>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</si>
  <si>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</si>
  <si>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</si>
  <si>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</si>
  <si>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</si>
  <si>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</si>
  <si>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</si>
  <si>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</si>
  <si>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</si>
  <si>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</si>
  <si>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</si>
  <si>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</si>
  <si>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</si>
  <si>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</si>
  <si>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</si>
  <si>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</si>
  <si>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</si>
  <si>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</si>
  <si>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</si>
  <si>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</si>
  <si>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</si>
  <si>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</si>
  <si>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</si>
  <si>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</si>
  <si>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</si>
  <si>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</si>
  <si>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</si>
  <si>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</si>
  <si>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</si>
  <si>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</si>
  <si>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</si>
  <si>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</si>
  <si>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</si>
  <si>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</si>
  <si>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</si>
  <si>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</si>
  <si>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</si>
  <si>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</si>
  <si>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</si>
  <si>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</si>
  <si>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</si>
  <si>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</si>
  <si>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</si>
  <si>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</si>
  <si>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</si>
  <si>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</si>
  <si>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</si>
  <si>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</si>
  <si>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</si>
  <si>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</si>
  <si>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</si>
  <si>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</si>
  <si>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</si>
  <si>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</si>
  <si>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</si>
  <si>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</si>
  <si>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</si>
  <si>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</si>
  <si>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</si>
  <si>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</si>
  <si>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</si>
  <si>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</si>
  <si>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</si>
  <si>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</si>
  <si>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</si>
  <si>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</si>
  <si>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</si>
  <si>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</si>
  <si>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</si>
  <si>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</si>
  <si>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</si>
  <si>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</si>
  <si>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</si>
  <si>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</si>
  <si>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</si>
  <si>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</si>
  <si>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</si>
  <si>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</si>
  <si>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</si>
  <si>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</si>
  <si>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</si>
  <si>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</si>
  <si>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</si>
  <si>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</si>
  <si>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</si>
  <si>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</si>
  <si>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</si>
  <si>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</si>
  <si>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</si>
  <si>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</si>
  <si>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</si>
  <si>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</si>
  <si>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</si>
  <si>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</si>
  <si>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</si>
  <si>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</si>
  <si>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</si>
  <si>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</si>
  <si>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</si>
  <si>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</si>
  <si>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</si>
  <si>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</si>
  <si>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</si>
  <si>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</si>
  <si>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</si>
  <si>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</si>
  <si>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</si>
  <si>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</si>
  <si>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</si>
  <si>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</si>
  <si>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</si>
  <si>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</si>
  <si>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</si>
  <si>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</si>
  <si>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</si>
  <si>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</si>
  <si>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</si>
  <si>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</si>
  <si>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</si>
  <si>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</si>
  <si>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</si>
  <si>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</si>
  <si>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</si>
  <si>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</si>
  <si>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</si>
  <si>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</si>
  <si>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</si>
  <si>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</si>
  <si>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</si>
  <si>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</si>
  <si>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</si>
  <si>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</si>
  <si>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</si>
  <si>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</si>
  <si>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</si>
  <si>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</si>
  <si>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</si>
  <si>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</si>
  <si>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</si>
  <si>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</si>
  <si>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</si>
  <si>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</si>
  <si>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</si>
  <si>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</si>
  <si>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</si>
  <si>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</si>
  <si>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</si>
  <si>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</si>
  <si>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</si>
  <si>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</si>
  <si>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</si>
  <si>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</si>
  <si>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</si>
  <si>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</si>
  <si>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</si>
  <si>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</si>
  <si>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</si>
  <si>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</si>
  <si>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</si>
  <si>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</si>
  <si>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</si>
  <si>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</si>
  <si>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</si>
  <si>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</si>
  <si>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</si>
  <si>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</si>
  <si>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</si>
  <si>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</si>
  <si>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</si>
  <si>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</si>
  <si>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</si>
  <si>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</si>
  <si>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</si>
  <si>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</si>
  <si>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</si>
  <si>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</si>
  <si>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</si>
  <si>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</si>
  <si>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</si>
  <si>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</si>
  <si>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</si>
  <si>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</si>
  <si>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</si>
  <si>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</si>
  <si>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</si>
  <si>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</si>
  <si>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</si>
  <si>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</si>
  <si>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</si>
  <si>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</si>
  <si>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</si>
  <si>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</si>
  <si>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</si>
  <si>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</si>
  <si>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</si>
  <si>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</si>
  <si>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</si>
  <si>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</si>
  <si>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</si>
  <si>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</si>
  <si>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</si>
  <si>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</si>
  <si>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</si>
  <si>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</si>
  <si>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</si>
  <si>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</si>
  <si>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</si>
  <si>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</si>
  <si>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</si>
  <si>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</si>
  <si>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</si>
  <si>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</si>
  <si>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</si>
  <si>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</si>
  <si>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</si>
  <si>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</si>
  <si>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</si>
  <si>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</si>
  <si>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</si>
  <si>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</si>
  <si>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</si>
  <si>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</si>
  <si>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</si>
  <si>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</si>
  <si>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</si>
  <si>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</si>
  <si>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</si>
  <si>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</si>
  <si>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</si>
  <si>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</si>
  <si>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</si>
  <si>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</si>
  <si>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</si>
  <si>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</si>
  <si>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</si>
  <si>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</si>
  <si>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</si>
  <si>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</si>
  <si>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</si>
  <si>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</si>
  <si>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</si>
  <si>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</si>
  <si>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</si>
  <si>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</si>
  <si>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</si>
  <si>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</si>
  <si>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</si>
  <si>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</si>
  <si>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</si>
  <si>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</si>
  <si>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</si>
  <si>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</si>
  <si>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</si>
  <si>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</si>
  <si>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</si>
  <si>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</si>
  <si>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</si>
  <si>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</si>
  <si>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</si>
  <si>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</si>
  <si>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</si>
  <si>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</si>
  <si>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</si>
  <si>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</si>
  <si>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</si>
  <si>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</si>
  <si>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</si>
  <si>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</si>
  <si>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</si>
  <si>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</si>
  <si>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</si>
  <si>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</si>
  <si>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</si>
  <si>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</si>
  <si>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</si>
  <si>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</si>
  <si>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</si>
  <si>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</si>
  <si>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</si>
  <si>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</si>
  <si>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</si>
  <si>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</si>
  <si>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</si>
  <si>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</si>
  <si>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</si>
  <si>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</si>
  <si>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</si>
  <si>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</si>
  <si>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</si>
  <si>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</si>
  <si>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</si>
  <si>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</si>
  <si>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</si>
  <si>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</si>
  <si>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</si>
  <si>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</si>
  <si>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</si>
  <si>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</si>
  <si>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</si>
  <si>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</si>
  <si>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</si>
  <si>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</si>
  <si>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</si>
  <si>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</si>
  <si>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</si>
  <si>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</si>
  <si>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</si>
  <si>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</si>
  <si>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</si>
  <si>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</si>
  <si>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</si>
  <si>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</si>
  <si>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</si>
  <si>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</si>
  <si>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</si>
  <si>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</si>
  <si>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</si>
  <si>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</si>
  <si>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</si>
  <si>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</si>
  <si>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</si>
  <si>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</si>
  <si>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</si>
  <si>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</si>
  <si>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</si>
  <si>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</si>
  <si>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</si>
  <si>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</si>
  <si>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</si>
  <si>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</si>
  <si>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</si>
  <si>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</si>
  <si>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</si>
  <si>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</si>
  <si>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</si>
  <si>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</si>
  <si>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</si>
  <si>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</si>
  <si>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</si>
  <si>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</si>
  <si>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</si>
  <si>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</si>
  <si>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</si>
  <si>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</si>
  <si>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</si>
  <si>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</si>
  <si>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</si>
  <si>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</si>
  <si>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</si>
  <si>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</si>
  <si>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</si>
  <si>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</si>
  <si>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</si>
  <si>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</si>
  <si>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</si>
  <si>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</si>
  <si>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</si>
  <si>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</si>
  <si>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</si>
  <si>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</si>
  <si>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</si>
  <si>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</si>
  <si>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</si>
  <si>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</si>
  <si>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</si>
  <si>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</si>
  <si>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</si>
  <si>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</si>
  <si>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</si>
  <si>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</si>
  <si>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</si>
  <si>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</si>
  <si>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</si>
  <si>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</si>
  <si>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</si>
  <si>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</si>
  <si>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</si>
  <si>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</si>
  <si>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</si>
  <si>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</si>
  <si>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</si>
  <si>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</si>
  <si>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</si>
  <si>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</si>
  <si>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</si>
  <si>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</si>
  <si>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</si>
  <si>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</si>
  <si>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</si>
  <si>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</si>
  <si>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</si>
  <si>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</si>
  <si>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</si>
  <si>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</si>
  <si>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</si>
  <si>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</si>
  <si>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</si>
  <si>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</si>
  <si>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</si>
  <si>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</si>
  <si>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</si>
  <si>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</si>
  <si>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</si>
  <si>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</si>
  <si>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</si>
  <si>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</si>
  <si>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</si>
  <si>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</si>
  <si>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</si>
  <si>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</si>
  <si>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</si>
  <si>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</si>
  <si>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</si>
  <si>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</si>
  <si>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</si>
  <si>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</si>
  <si>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</si>
  <si>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</si>
  <si>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</si>
  <si>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</si>
  <si>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</si>
  <si>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</si>
  <si>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</si>
  <si>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</si>
  <si>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</si>
  <si>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</si>
  <si>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</si>
  <si>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</si>
  <si>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</si>
  <si>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</si>
  <si>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</si>
  <si>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</si>
  <si>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</si>
  <si>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</si>
  <si>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</si>
  <si>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</si>
  <si>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</si>
  <si>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</si>
  <si>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</si>
  <si>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</si>
  <si>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</si>
  <si>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</si>
  <si>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</si>
  <si>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</si>
  <si>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</si>
  <si>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</si>
  <si>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</si>
  <si>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</si>
  <si>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</si>
  <si>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</si>
  <si>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</si>
  <si>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</si>
  <si>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</si>
  <si>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</si>
  <si>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</si>
  <si>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</si>
  <si>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</si>
  <si>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</si>
  <si>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</si>
  <si>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</si>
  <si>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</si>
  <si>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</si>
  <si>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</si>
  <si>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</si>
  <si>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</si>
  <si>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</si>
  <si>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</si>
  <si>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</si>
  <si>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</si>
  <si>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</si>
  <si>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</si>
  <si>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</si>
  <si>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</si>
  <si>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</si>
  <si>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</si>
  <si>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</si>
  <si>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</si>
  <si>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</si>
  <si>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</si>
  <si>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</si>
  <si>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</si>
  <si>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</si>
  <si>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</si>
  <si>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</si>
  <si>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</si>
  <si>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</si>
  <si>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</si>
  <si>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</si>
  <si>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</si>
  <si>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</si>
  <si>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</si>
  <si>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</si>
  <si>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</si>
  <si>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</si>
  <si>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</si>
  <si>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</si>
  <si>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</si>
  <si>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</si>
  <si>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</si>
  <si>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</si>
  <si>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</si>
  <si>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</si>
  <si>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</si>
  <si>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</si>
  <si>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</si>
  <si>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</si>
  <si>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</si>
  <si>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</si>
  <si>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</si>
  <si>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</si>
  <si>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</si>
  <si>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</si>
  <si>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</si>
  <si>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</si>
  <si>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</si>
  <si>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</si>
  <si>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</si>
  <si>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</si>
  <si>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</si>
  <si>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</si>
  <si>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</si>
  <si>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</si>
  <si>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</si>
  <si>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</si>
  <si>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</si>
  <si>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</si>
  <si>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</si>
  <si>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</si>
  <si>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</si>
  <si>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</si>
  <si>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</si>
  <si>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</si>
  <si>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</si>
  <si>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</si>
  <si>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</si>
  <si>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</si>
  <si>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</si>
  <si>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</si>
  <si>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</si>
  <si>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</si>
  <si>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</si>
  <si>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</si>
  <si>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</si>
  <si>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</si>
  <si>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</si>
  <si>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</si>
  <si>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</si>
  <si>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</si>
  <si>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</si>
  <si>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</si>
  <si>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</si>
  <si>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</si>
  <si>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</si>
  <si>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</si>
  <si>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</si>
  <si>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</si>
  <si>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</si>
  <si>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</si>
  <si>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</si>
  <si>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</si>
  <si>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</si>
  <si>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</si>
  <si>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</si>
  <si>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</si>
  <si>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</si>
  <si>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</si>
  <si>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</si>
  <si>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</si>
  <si>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</si>
  <si>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</si>
  <si>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</si>
  <si>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</si>
  <si>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</si>
  <si>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</si>
  <si>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</si>
  <si>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</si>
  <si>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</si>
  <si>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</si>
  <si>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</si>
  <si>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</si>
  <si>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</si>
  <si>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</si>
  <si>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</si>
  <si>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</si>
  <si>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</si>
  <si>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</si>
  <si>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</si>
  <si>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</si>
  <si>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</si>
  <si>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</si>
  <si>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</si>
  <si>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</si>
  <si>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</si>
  <si>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</si>
  <si>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</si>
  <si>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</si>
  <si>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</si>
  <si>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</si>
  <si>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</si>
  <si>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</si>
  <si>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</si>
  <si>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</si>
  <si>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</si>
  <si>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</si>
  <si>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</si>
  <si>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</si>
  <si>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</si>
  <si>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</si>
  <si>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</si>
  <si>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</si>
  <si>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</si>
  <si>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</si>
  <si>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</si>
  <si>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</si>
  <si>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</si>
  <si>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</si>
  <si>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</si>
  <si>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</si>
  <si>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</si>
  <si>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</si>
  <si>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</si>
  <si>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</si>
  <si>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</si>
  <si>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</si>
  <si>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</si>
  <si>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</si>
  <si>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</si>
  <si>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</si>
  <si>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</si>
  <si>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</si>
  <si>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</si>
  <si>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</si>
  <si>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</si>
  <si>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</si>
  <si>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</si>
  <si>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</si>
  <si>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</si>
  <si>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</si>
  <si>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</si>
  <si>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</si>
  <si>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</si>
  <si>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</si>
  <si>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</si>
  <si>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</si>
  <si>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</si>
  <si>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</si>
  <si>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</si>
  <si>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</si>
  <si>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</si>
  <si>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</si>
  <si>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</si>
  <si>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</si>
  <si>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</si>
  <si>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</si>
  <si>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</si>
  <si>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</si>
  <si>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</si>
  <si>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</si>
  <si>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</si>
  <si>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</si>
  <si>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</si>
  <si>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</si>
  <si>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</si>
  <si>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</si>
  <si>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</si>
  <si>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</si>
  <si>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</si>
  <si>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</si>
  <si>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</si>
  <si>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</si>
  <si>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</si>
  <si>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</si>
  <si>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</si>
  <si>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</si>
  <si>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</si>
  <si>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</si>
  <si>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</si>
  <si>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</si>
  <si>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</si>
  <si>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</si>
  <si>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</si>
  <si>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</si>
  <si>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</si>
  <si>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</si>
  <si>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</si>
  <si>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</si>
  <si>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</si>
  <si>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</si>
  <si>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</si>
  <si>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</si>
  <si>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</si>
  <si>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</si>
  <si>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</si>
  <si>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</si>
  <si>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</si>
  <si>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</si>
  <si>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</si>
  <si>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</si>
  <si>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</si>
  <si>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</si>
  <si>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</si>
  <si>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</si>
  <si>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</si>
  <si>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</si>
  <si>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</si>
  <si>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</si>
  <si>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</si>
  <si>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</si>
  <si>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</si>
  <si>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</si>
  <si>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</si>
  <si>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</si>
  <si>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</si>
  <si>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</si>
  <si>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</si>
  <si>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</si>
  <si>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</si>
  <si>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</si>
  <si>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</si>
  <si>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</si>
  <si>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</si>
  <si>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</si>
  <si>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</si>
  <si>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</si>
  <si>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</si>
  <si>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</si>
  <si>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</si>
  <si>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</si>
  <si>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</si>
  <si>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</si>
  <si>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</si>
  <si>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</si>
  <si>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</si>
  <si>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</si>
  <si>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</si>
  <si>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</si>
  <si>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</si>
  <si>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</si>
  <si>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</si>
  <si>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</si>
  <si>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</si>
  <si>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</si>
  <si>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</si>
  <si>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</si>
  <si>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</si>
  <si>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</si>
  <si>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</si>
  <si>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</si>
  <si>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</si>
  <si>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</si>
  <si>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</si>
  <si>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</si>
  <si>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</si>
  <si>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</si>
  <si>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</si>
  <si>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</si>
  <si>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</si>
  <si>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</si>
  <si>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</si>
  <si>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</si>
  <si>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</si>
  <si>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</si>
  <si>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</si>
  <si>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</si>
  <si>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</si>
  <si>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</si>
  <si>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</si>
  <si>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</si>
  <si>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</si>
  <si>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</si>
  <si>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</si>
  <si>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</si>
  <si>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</si>
  <si>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</si>
  <si>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</si>
  <si>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</si>
  <si>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</si>
  <si>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</si>
  <si>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</si>
  <si>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</si>
  <si>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</si>
  <si>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</si>
  <si>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</si>
  <si>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</si>
  <si>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</si>
  <si>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</si>
  <si>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</si>
  <si>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</si>
  <si>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</si>
  <si>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</si>
  <si>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</si>
  <si>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</si>
  <si>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</si>
  <si>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</si>
  <si>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</si>
  <si>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</si>
  <si>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</si>
  <si>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</si>
  <si>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</si>
  <si>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</si>
  <si>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</si>
  <si>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</si>
  <si>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</si>
  <si>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</si>
  <si>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</si>
  <si>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</si>
  <si>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</si>
  <si>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</si>
  <si>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</si>
  <si>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</si>
  <si>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</si>
  <si>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</si>
  <si>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</si>
  <si>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</si>
  <si>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</si>
  <si>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</si>
  <si>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</si>
  <si>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</si>
  <si>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</si>
  <si>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</si>
  <si>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</si>
  <si>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</si>
  <si>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</si>
  <si>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</si>
  <si>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</si>
  <si>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</si>
  <si>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</si>
  <si>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</si>
  <si>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</si>
  <si>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</si>
  <si>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</si>
  <si>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</si>
  <si>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</si>
  <si>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</si>
  <si>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</si>
  <si>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</si>
  <si>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</si>
  <si>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</si>
  <si>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</si>
  <si>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</si>
  <si>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</si>
  <si>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</si>
  <si>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</si>
  <si>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</si>
  <si>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</si>
  <si>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</si>
  <si>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</si>
  <si>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</si>
  <si>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</si>
  <si>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</si>
  <si>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</si>
  <si>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</si>
  <si>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</si>
  <si>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</si>
  <si>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</si>
  <si>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</si>
  <si>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</si>
  <si>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</si>
  <si>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</si>
  <si>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</si>
  <si>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</si>
  <si>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</si>
  <si>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</si>
  <si>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</si>
  <si>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</si>
  <si>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</si>
  <si>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</si>
  <si>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</si>
  <si>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</si>
  <si>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</si>
  <si>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</si>
  <si>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</si>
  <si>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</si>
  <si>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</si>
  <si>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</si>
  <si>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</si>
  <si>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</si>
  <si>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</si>
  <si>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</si>
  <si>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</si>
  <si>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</si>
  <si>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</si>
  <si>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</si>
  <si>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</si>
  <si>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</si>
  <si>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</si>
  <si>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</si>
  <si>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</si>
  <si>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</si>
  <si>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</si>
  <si>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</si>
  <si>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</si>
  <si>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</si>
  <si>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</si>
  <si>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</si>
  <si>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</si>
  <si>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</si>
  <si>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</si>
  <si>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</si>
  <si>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</si>
  <si>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</si>
  <si>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</si>
  <si>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</si>
  <si>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</si>
  <si>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</si>
  <si>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</si>
  <si>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</si>
  <si>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</si>
  <si>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</si>
  <si>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</si>
  <si>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</si>
  <si>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</si>
  <si>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</si>
  <si>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</si>
  <si>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</si>
  <si>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</si>
  <si>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</si>
  <si>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</si>
  <si>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</si>
  <si>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</si>
  <si>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</si>
  <si>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</si>
  <si>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</si>
  <si>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</si>
  <si>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</si>
  <si>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</si>
  <si>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</si>
  <si>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</si>
  <si>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</si>
  <si>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</si>
  <si>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</si>
  <si>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</si>
  <si>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</si>
  <si>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</si>
  <si>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</si>
  <si>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</si>
  <si>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</si>
  <si>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</si>
  <si>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</si>
  <si>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</si>
  <si>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</si>
  <si>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</si>
  <si>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</si>
  <si>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</si>
  <si>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</si>
  <si>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</si>
  <si>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</si>
  <si>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</si>
  <si>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</si>
  <si>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</si>
  <si>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</si>
  <si>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</si>
  <si>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</si>
  <si>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</si>
  <si>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</si>
  <si>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</si>
  <si>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</si>
  <si>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</si>
  <si>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</si>
  <si>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</si>
  <si>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</si>
  <si>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</si>
  <si>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</si>
  <si>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</si>
  <si>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</si>
  <si>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</si>
  <si>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</si>
  <si>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</si>
  <si>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</si>
  <si>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</si>
  <si>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</si>
  <si>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</si>
  <si>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</si>
  <si>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</si>
  <si>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</si>
  <si>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</si>
  <si>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</si>
  <si>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</si>
  <si>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</si>
  <si>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</si>
  <si>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</si>
  <si>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</si>
  <si>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</si>
  <si>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</si>
  <si>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</si>
  <si>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</si>
  <si>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</si>
  <si>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</si>
  <si>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</si>
  <si>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</si>
  <si>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</si>
  <si>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</si>
  <si>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</si>
  <si>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</si>
  <si>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</si>
  <si>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</si>
  <si>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</si>
  <si>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</si>
  <si>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</si>
  <si>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</si>
  <si>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</si>
  <si>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</si>
  <si>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</si>
  <si>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</si>
  <si>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</si>
  <si>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</si>
  <si>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</si>
  <si>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</si>
  <si>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</si>
  <si>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</si>
  <si>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</si>
  <si>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</si>
  <si>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</si>
  <si>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</si>
  <si>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</si>
  <si>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</si>
  <si>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</si>
  <si>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</si>
  <si>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</si>
  <si>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</si>
  <si>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</si>
  <si>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</si>
  <si>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</si>
  <si>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</si>
  <si>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</si>
  <si>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</si>
  <si>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</si>
  <si>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</si>
  <si>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</si>
  <si>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</si>
  <si>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</si>
  <si>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</si>
  <si>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</si>
  <si>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</si>
  <si>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</si>
  <si>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</si>
  <si>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</si>
  <si>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</si>
  <si>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</si>
  <si>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</si>
  <si>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</si>
  <si>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</si>
  <si>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</si>
  <si>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</si>
  <si>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</si>
  <si>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</si>
  <si>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</si>
  <si>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</si>
  <si>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</si>
  <si>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</si>
  <si>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</si>
  <si>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</si>
  <si>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</si>
  <si>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</si>
  <si>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</si>
  <si>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</si>
  <si>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</si>
  <si>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</si>
  <si>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</si>
  <si>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</si>
  <si>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</si>
  <si>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</si>
  <si>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</si>
  <si>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</si>
  <si>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</si>
  <si>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</si>
  <si>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</si>
  <si>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</si>
  <si>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</si>
  <si>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</si>
  <si>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</si>
  <si>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</si>
  <si>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</si>
  <si>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</si>
  <si>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</si>
  <si>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</si>
  <si>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</si>
  <si>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</si>
  <si>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</si>
  <si>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</si>
  <si>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</si>
  <si>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</si>
  <si>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</si>
  <si>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</si>
  <si>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</si>
  <si>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</si>
  <si>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</si>
  <si>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</si>
  <si>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</si>
  <si>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</si>
  <si>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</si>
  <si>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</si>
  <si>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</si>
  <si>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</si>
  <si>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</si>
  <si>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</si>
  <si>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</si>
  <si>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</si>
  <si>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</si>
  <si>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</si>
  <si>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</si>
  <si>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</si>
  <si>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</si>
  <si>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</si>
  <si>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</si>
  <si>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</si>
  <si>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</si>
  <si>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</si>
  <si>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</si>
  <si>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</si>
  <si>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</si>
  <si>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</si>
  <si>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</si>
  <si>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</si>
  <si>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</si>
  <si>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</si>
  <si>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</si>
  <si>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</si>
  <si>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</si>
  <si>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</si>
  <si>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</si>
  <si>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</si>
  <si>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</si>
  <si>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</si>
  <si>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</si>
  <si>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</si>
  <si>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</si>
  <si>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</si>
  <si>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</si>
  <si>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</si>
  <si>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</si>
  <si>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</si>
  <si>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</si>
  <si>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</si>
  <si>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</si>
  <si>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</si>
  <si>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</si>
  <si>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</si>
  <si>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</si>
  <si>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</si>
  <si>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</si>
  <si>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</si>
  <si>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</si>
  <si>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</si>
  <si>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</si>
  <si>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</si>
  <si>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</si>
  <si>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</si>
  <si>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</si>
  <si>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</si>
  <si>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</si>
  <si>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</si>
  <si>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</si>
  <si>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</si>
  <si>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</si>
  <si>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</si>
  <si>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</si>
  <si>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</si>
  <si>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</si>
  <si>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</si>
  <si>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</si>
  <si>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</si>
  <si>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</si>
  <si>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</si>
  <si>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</si>
  <si>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</si>
  <si>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</si>
  <si>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</si>
  <si>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</si>
  <si>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</si>
  <si>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</si>
  <si>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</si>
  <si>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</si>
  <si>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</si>
  <si>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</si>
  <si>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</si>
  <si>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</si>
  <si>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</si>
  <si>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</si>
  <si>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</si>
  <si>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</si>
  <si>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</si>
  <si>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</si>
  <si>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</si>
  <si>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</si>
  <si>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</si>
  <si>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</si>
  <si>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</si>
  <si>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</si>
  <si>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</si>
  <si>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</si>
  <si>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</si>
  <si>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</si>
  <si>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</si>
  <si>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</si>
  <si>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</si>
  <si>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</si>
  <si>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</si>
  <si>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</si>
  <si>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</si>
  <si>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</si>
  <si>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</si>
  <si>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</si>
  <si>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</si>
  <si>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</si>
  <si>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</si>
  <si>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</si>
  <si>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</si>
  <si>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</si>
  <si>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</si>
  <si>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</si>
  <si>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</si>
  <si>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</si>
  <si>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</si>
  <si>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</si>
  <si>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</si>
  <si>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</si>
  <si>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</si>
  <si>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</si>
  <si>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</si>
  <si>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</si>
  <si>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</si>
  <si>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</si>
  <si>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</si>
  <si>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</si>
  <si>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</si>
  <si>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</si>
  <si>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</si>
  <si>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</si>
  <si>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</si>
  <si>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</si>
  <si>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</si>
  <si>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</si>
  <si>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</si>
  <si>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</si>
  <si>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</si>
  <si>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</si>
  <si>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</si>
  <si>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</si>
  <si>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</si>
  <si>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</si>
  <si>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</si>
  <si>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</si>
  <si>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</si>
  <si>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</si>
  <si>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</si>
  <si>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</si>
  <si>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</si>
  <si>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</si>
  <si>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</si>
  <si>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</si>
  <si>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</si>
  <si>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</si>
  <si>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</si>
  <si>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</si>
  <si>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</si>
  <si>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</si>
  <si>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</si>
  <si>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</si>
  <si>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</si>
  <si>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</si>
  <si>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</si>
  <si>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</si>
  <si>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</si>
  <si>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</si>
  <si>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</si>
  <si>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</si>
  <si>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</si>
  <si>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</si>
  <si>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</si>
  <si>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</si>
  <si>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</si>
  <si>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</si>
  <si>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</si>
  <si>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</si>
  <si>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</si>
  <si>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</si>
  <si>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</si>
  <si>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</si>
  <si>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</si>
  <si>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</si>
  <si>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</si>
  <si>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</si>
  <si>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</si>
  <si>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</si>
  <si>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</si>
  <si>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</si>
  <si>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</si>
  <si>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</si>
  <si>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</si>
  <si>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</si>
  <si>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</si>
  <si>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</si>
  <si>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</si>
  <si>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</si>
  <si>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</si>
  <si>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</si>
  <si>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</si>
  <si>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</si>
  <si>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</si>
  <si>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</si>
  <si>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</si>
  <si>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</si>
  <si>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</si>
  <si>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</si>
  <si>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</si>
  <si>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</si>
  <si>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</si>
  <si>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</si>
  <si>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</si>
  <si>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</si>
  <si>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</si>
  <si>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</si>
  <si>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</si>
  <si>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</si>
  <si>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</si>
  <si>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</si>
  <si>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</si>
  <si>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</si>
  <si>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</si>
  <si>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</si>
  <si>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</si>
  <si>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</si>
  <si>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</si>
  <si>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</si>
  <si>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</si>
  <si>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</si>
  <si>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</si>
  <si>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</si>
  <si>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</si>
  <si>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</si>
  <si>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</si>
  <si>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</si>
  <si>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</si>
  <si>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</si>
  <si>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</si>
  <si>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</si>
  <si>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</si>
  <si>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</si>
  <si>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</si>
  <si>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</si>
  <si>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</si>
  <si>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</si>
  <si>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</si>
  <si>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</si>
  <si>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</si>
  <si>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</si>
  <si>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</si>
  <si>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</si>
  <si>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</si>
  <si>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</si>
  <si>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</si>
  <si>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</si>
  <si>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</si>
  <si>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</si>
  <si>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</si>
  <si>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</si>
  <si>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</si>
  <si>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</si>
  <si>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</si>
  <si>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</si>
  <si>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</si>
  <si>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</si>
  <si>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</si>
  <si>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</si>
  <si>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</si>
  <si>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</si>
  <si>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</si>
  <si>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</si>
  <si>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</si>
  <si>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</si>
  <si>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</si>
  <si>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</si>
  <si>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</si>
  <si>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</si>
  <si>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</si>
  <si>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</si>
  <si>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</si>
  <si>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</si>
  <si>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</si>
  <si>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</si>
  <si>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</si>
  <si>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</si>
  <si>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</si>
  <si>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</si>
  <si>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</si>
  <si>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</si>
  <si>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</si>
  <si>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</si>
  <si>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</si>
  <si>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</si>
  <si>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</si>
  <si>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</si>
  <si>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估价对象容积率</t>
  </si>
  <si>
    <t>不临65条商业街</t>
  </si>
  <si>
    <t>与级别开发程度不一致</t>
  </si>
  <si>
    <t>平整</t>
  </si>
  <si>
    <t>较好</t>
  </si>
  <si>
    <t>燃气</t>
  </si>
  <si>
    <t>容积率修正</t>
  </si>
  <si>
    <t>工业项目</t>
  </si>
  <si>
    <t>无</t>
  </si>
  <si>
    <t>较差</t>
  </si>
  <si>
    <t>好</t>
  </si>
  <si>
    <t>Ⅵ-BDA核心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</si>
</sst>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2\&#35810;&#20215;\&#26032;&#24314;&#25991;&#20214;&#22841;\&#35745;&#31639;&#34920;-&#40857;&#26071;&#24191;&#22330;&#22797;&#20272;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2\&#35810;&#20215;\&#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土地比较法-住宅、综合"/>
      <sheetName val="收益法（汇总）"/>
      <sheetName val="收益法-地上商业"/>
      <sheetName val="收益法-地下商业"/>
      <sheetName val="收益法 (元)"/>
      <sheetName val="收益法-酒店模型"/>
      <sheetName val="收益法-地下车库"/>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G15">
            <v>36.43</v>
          </cell>
        </row>
      </sheetData>
      <sheetData sheetId="11">
        <row r="5">
          <cell r="K5">
            <v>14121.230000000001</v>
          </cell>
        </row>
        <row r="13">
          <cell r="I13">
            <v>11810.92</v>
          </cell>
        </row>
        <row r="14">
          <cell r="I14">
            <v>12045.64</v>
          </cell>
        </row>
        <row r="15">
          <cell r="I15">
            <v>12019.87</v>
          </cell>
        </row>
        <row r="16">
          <cell r="I16">
            <v>2751.25</v>
          </cell>
        </row>
      </sheetData>
      <sheetData sheetId="12" refreshError="1"/>
      <sheetData sheetId="13">
        <row r="6">
          <cell r="I6">
            <v>2.29</v>
          </cell>
        </row>
      </sheetData>
      <sheetData sheetId="14">
        <row r="6">
          <cell r="F6">
            <v>26.42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I15">
            <v>28.65</v>
          </cell>
        </row>
      </sheetData>
      <sheetData sheetId="11">
        <row r="5">
          <cell r="I5">
            <v>20126.390000000003</v>
          </cell>
        </row>
        <row r="15">
          <cell r="G15">
            <v>20.010000000000002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2022年4月29日</v>
      </c>
    </row>
    <row r="13" spans="1:2" s="1207" customFormat="1">
      <c r="A13" s="1205" t="s">
        <v>767</v>
      </c>
      <c r="B13" s="1206"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6"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1547" t="s">
        <v>619</v>
      </c>
      <c r="C54" s="1544" t="s">
        <v>821</v>
      </c>
    </row>
    <row r="55" spans="1:4">
      <c r="A55" s="3416"/>
      <c r="B55" s="1547" t="s">
        <v>620</v>
      </c>
      <c r="C55" s="1544" t="s">
        <v>822</v>
      </c>
    </row>
    <row r="56" spans="1:4">
      <c r="A56" s="3416"/>
      <c r="B56" s="1547" t="s">
        <v>621</v>
      </c>
      <c r="C56" s="1544" t="s">
        <v>826</v>
      </c>
    </row>
    <row r="57" spans="1:4">
      <c r="A57" s="3416"/>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40" sqref="F40"/>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5" t="str">
        <f>IF(B10="北京市","北京市",C10)&amp;F10&amp;IF(结果表!G1="在建","出让国有建设用地使用权及在建建筑物",IF(结果表!G1="土地","出让国有建设用地使用权",))&amp;B9&amp;"预评估"</f>
        <v>北京市房地产抵押价值预评估</v>
      </c>
      <c r="C1" s="3426"/>
      <c r="D1" s="3426"/>
      <c r="E1" s="3426"/>
      <c r="F1" s="3426"/>
      <c r="G1" s="3426"/>
      <c r="H1" s="3426"/>
      <c r="I1" s="3427"/>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44680</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8"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9"/>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v>55140</v>
      </c>
      <c r="J13" s="2265"/>
      <c r="K13" s="2442"/>
      <c r="L13" s="2439"/>
      <c r="M13" s="2439"/>
      <c r="N13" s="2265"/>
      <c r="O13" s="2276"/>
      <c r="P13" s="2265"/>
      <c r="Q13" s="2265"/>
      <c r="R13" s="2265"/>
    </row>
    <row r="14" spans="1:28">
      <c r="A14" s="1088"/>
      <c r="B14" s="2231"/>
      <c r="C14" s="2232" t="s">
        <v>2479</v>
      </c>
      <c r="D14" s="2233"/>
      <c r="E14" s="2233"/>
      <c r="F14" s="2233"/>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28.65</v>
      </c>
      <c r="J15" s="2265"/>
      <c r="K15" s="2444"/>
      <c r="L15" s="2277"/>
      <c r="M15" s="2277"/>
      <c r="N15" s="2335"/>
      <c r="O15" s="2277"/>
      <c r="P15" s="2335"/>
      <c r="Q15" s="2265"/>
      <c r="R15" s="2265"/>
    </row>
    <row r="16" spans="1:28">
      <c r="A16" s="2224" t="s">
        <v>2481</v>
      </c>
      <c r="B16" s="3435"/>
      <c r="C16" s="3436"/>
      <c r="D16" s="3437"/>
      <c r="E16" s="2239" t="s">
        <v>2482</v>
      </c>
      <c r="F16" s="3438"/>
      <c r="G16" s="3439"/>
      <c r="H16" s="3439"/>
      <c r="I16" s="3440"/>
      <c r="J16" s="2265"/>
      <c r="K16" s="2444"/>
      <c r="L16" s="2277"/>
      <c r="M16" s="2277"/>
      <c r="N16" s="2335"/>
      <c r="O16" s="2277"/>
      <c r="P16" s="2335"/>
      <c r="Q16" s="2265"/>
      <c r="R16" s="2265"/>
    </row>
    <row r="17" spans="1:28">
      <c r="A17" s="315" t="s">
        <v>2483</v>
      </c>
      <c r="B17" s="304" t="s">
        <v>2484</v>
      </c>
      <c r="C17" s="10">
        <f>'数据-汇总表'!E3</f>
        <v>0</v>
      </c>
      <c r="D17" s="2145" t="s">
        <v>2485</v>
      </c>
      <c r="E17" s="3441" t="s">
        <v>2486</v>
      </c>
      <c r="F17" s="3442"/>
      <c r="G17" s="3442"/>
      <c r="H17" s="3442"/>
      <c r="I17" s="3443"/>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44" t="s">
        <v>2490</v>
      </c>
      <c r="F18" s="3445"/>
      <c r="G18" s="3445"/>
      <c r="H18" s="3445"/>
      <c r="I18" s="3446"/>
      <c r="J18" s="2265"/>
      <c r="K18" s="2445"/>
      <c r="L18" s="2277"/>
      <c r="M18" s="2277"/>
      <c r="N18" s="2335"/>
      <c r="O18" s="2277"/>
      <c r="P18" s="2335"/>
      <c r="Q18" s="2265"/>
      <c r="R18" s="2265"/>
      <c r="S18" s="2265"/>
      <c r="T18" s="2265"/>
      <c r="U18" s="2265"/>
      <c r="V18" s="2265"/>
    </row>
    <row r="19" spans="1:28" ht="39.75"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1"/>
      <c r="I19" s="2491"/>
      <c r="J19" s="2265"/>
      <c r="K19" s="2442"/>
      <c r="L19" s="2439"/>
      <c r="M19" s="2439"/>
      <c r="N19" s="2335"/>
      <c r="O19" s="2277"/>
      <c r="P19" s="2335"/>
      <c r="Q19" s="2265"/>
      <c r="R19" s="2265"/>
      <c r="S19" s="2265"/>
      <c r="T19" s="2265"/>
      <c r="U19" s="2265"/>
      <c r="V19" s="2265"/>
    </row>
    <row r="20" spans="1:28">
      <c r="A20" s="2459" t="s">
        <v>2493</v>
      </c>
      <c r="B20" s="3431" t="s">
        <v>2494</v>
      </c>
      <c r="C20" s="3432"/>
      <c r="D20" s="3433" t="s">
        <v>2495</v>
      </c>
      <c r="E20" s="3434"/>
      <c r="F20" s="2474" t="s">
        <v>1305</v>
      </c>
      <c r="G20" s="2491"/>
      <c r="H20" s="2491"/>
      <c r="I20" s="2491"/>
      <c r="J20" s="2265"/>
      <c r="K20" s="3430"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3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3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8" t="s">
        <v>2502</v>
      </c>
      <c r="B27" s="322" t="s">
        <v>2503</v>
      </c>
      <c r="C27" s="2242" t="s">
        <v>3128</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8"/>
      <c r="B28" s="304" t="s">
        <v>2504</v>
      </c>
      <c r="C28" s="2244" t="s">
        <v>3129</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8"/>
      <c r="B29" s="304" t="s">
        <v>2505</v>
      </c>
      <c r="C29" s="2246" t="s">
        <v>3114</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9"/>
      <c r="B30" s="304" t="s">
        <v>2506</v>
      </c>
      <c r="C30" s="3420"/>
      <c r="D30" s="3421"/>
      <c r="E30" s="2491"/>
      <c r="F30" s="2491"/>
      <c r="G30" s="2491"/>
      <c r="H30" s="2491"/>
      <c r="I30" s="2491"/>
      <c r="J30" s="2265"/>
      <c r="K30" s="2442"/>
      <c r="L30" s="2439"/>
      <c r="M30" s="2439"/>
      <c r="N30" s="2265"/>
      <c r="O30" s="2276"/>
      <c r="P30" s="2265"/>
      <c r="Q30" s="2265"/>
      <c r="R30" s="2265"/>
      <c r="S30" s="2265"/>
      <c r="T30" s="2265"/>
      <c r="U30" s="2265"/>
      <c r="V30" s="2265"/>
    </row>
    <row r="31" spans="1:28">
      <c r="A31" s="3422" t="s">
        <v>2507</v>
      </c>
      <c r="B31" s="2248" t="s">
        <v>3115</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3"/>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3"/>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t="s">
        <v>3116</v>
      </c>
      <c r="C34" s="1996" t="s">
        <v>3117</v>
      </c>
      <c r="D34" s="1996" t="s">
        <v>3118</v>
      </c>
      <c r="E34" s="1996" t="s">
        <v>3119</v>
      </c>
      <c r="F34" s="1996" t="s">
        <v>3120</v>
      </c>
      <c r="G34" s="1996" t="s">
        <v>3126</v>
      </c>
      <c r="H34" s="1996"/>
      <c r="I34" s="2491"/>
      <c r="J34" s="2265"/>
      <c r="K34" s="2253">
        <f>COUNTIF(B34:H34,"——")</f>
        <v>0</v>
      </c>
      <c r="L34" s="325" t="s">
        <v>2509</v>
      </c>
      <c r="M34" s="325" t="s">
        <v>2510</v>
      </c>
      <c r="N34" s="325" t="s">
        <v>2511</v>
      </c>
      <c r="O34" s="325" t="s">
        <v>2512</v>
      </c>
      <c r="P34" s="325" t="s">
        <v>2513</v>
      </c>
      <c r="Q34" s="325" t="s">
        <v>2514</v>
      </c>
      <c r="R34" s="325" t="s">
        <v>2515</v>
      </c>
      <c r="S34" s="3417" t="s">
        <v>2516</v>
      </c>
      <c r="T34" s="2254" t="str">
        <f>NUMBERSTRING(7-K34,1)&amp;"通"</f>
        <v>七通</v>
      </c>
      <c r="U34" s="2265"/>
      <c r="V34" s="2265"/>
    </row>
    <row r="35" spans="1:30">
      <c r="A35" s="2255"/>
      <c r="B35" s="3424" t="s">
        <v>2517</v>
      </c>
      <c r="C35" s="3424"/>
      <c r="D35" s="3424"/>
      <c r="E35" s="3424"/>
      <c r="F35" s="668">
        <f>C10</f>
        <v>0</v>
      </c>
      <c r="G35" s="2491"/>
      <c r="H35" s="2491"/>
      <c r="I35" s="2491"/>
      <c r="J35" s="2265"/>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通路、通电、通讯、通上水、通下水、燃气</v>
      </c>
      <c r="R35" s="331" t="str">
        <f>B34&amp;"、"&amp;C34&amp;"、"&amp;D34&amp;"、"&amp;E34&amp;"、"&amp;F34&amp;"、"&amp;G34&amp;"、"&amp;H34</f>
        <v>通路、通电、通讯、通上水、通下水、燃气、</v>
      </c>
      <c r="S35" s="3417"/>
      <c r="T35" s="331" t="str">
        <f>IF(T34="一通",L35,IF(T34="二通",M35,IF(T34="三通",N35,IF(T34="四通",O35,IF(T34="五通",P35,IF(T34="六通",Q35,R35))))))</f>
        <v>通路、通电、通讯、通上水、通下水、燃气、</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56</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3132</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7" t="s">
        <v>0</v>
      </c>
      <c r="B1" s="3447" t="s">
        <v>4</v>
      </c>
      <c r="C1" s="3447" t="s">
        <v>5</v>
      </c>
      <c r="D1" s="3448" t="s">
        <v>53</v>
      </c>
      <c r="E1" s="3448" t="s">
        <v>54</v>
      </c>
      <c r="F1" s="3448"/>
      <c r="G1" s="3448"/>
      <c r="H1" s="3448"/>
      <c r="I1" s="3448"/>
      <c r="J1" s="3448"/>
      <c r="K1" s="3448"/>
      <c r="L1" s="3448"/>
      <c r="M1" s="3448"/>
    </row>
    <row r="2" spans="1:13" ht="27" customHeight="1">
      <c r="A2" s="3447"/>
      <c r="B2" s="3447"/>
      <c r="C2" s="3447"/>
      <c r="D2" s="3448"/>
      <c r="E2" s="3448" t="s">
        <v>37</v>
      </c>
      <c r="F2" s="3448" t="s">
        <v>38</v>
      </c>
      <c r="G2" s="3448"/>
      <c r="H2" s="3448"/>
      <c r="I2" s="3448"/>
      <c r="J2" s="3448" t="s">
        <v>39</v>
      </c>
      <c r="K2" s="3448"/>
      <c r="L2" s="3448"/>
      <c r="M2" s="3448"/>
    </row>
    <row r="3" spans="1:13" ht="28.5">
      <c r="A3" s="3447"/>
      <c r="B3" s="3447"/>
      <c r="C3" s="3447"/>
      <c r="D3" s="3448"/>
      <c r="E3" s="34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8" t="s">
        <v>55</v>
      </c>
      <c r="B9" s="3448"/>
      <c r="C9" s="34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8" t="s">
        <v>1380</v>
      </c>
      <c r="B2" s="3458"/>
      <c r="C2" s="3458"/>
      <c r="D2" s="810" t="s">
        <v>1356</v>
      </c>
      <c r="E2" s="1632" t="s">
        <v>1357</v>
      </c>
      <c r="F2" s="2486"/>
      <c r="G2" s="2477"/>
      <c r="H2" s="2478"/>
      <c r="I2" s="2148" t="s">
        <v>1381</v>
      </c>
      <c r="J2" s="2486"/>
      <c r="K2" s="2486"/>
      <c r="L2" s="2486"/>
      <c r="M2" s="2486"/>
      <c r="N2" s="2488"/>
      <c r="O2" s="2486"/>
      <c r="P2" s="2486"/>
    </row>
    <row r="3" spans="1:16" ht="15.75" thickBot="1">
      <c r="A3" s="3459" t="s">
        <v>1354</v>
      </c>
      <c r="B3" s="3459"/>
      <c r="C3" s="3459"/>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60"/>
      <c r="B4" s="3461"/>
      <c r="C4" s="3462"/>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3" t="s">
        <v>1359</v>
      </c>
      <c r="C5" s="3463"/>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3" t="s">
        <v>1360</v>
      </c>
      <c r="C6" s="3463"/>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5"/>
      <c r="B7" s="3456"/>
      <c r="C7" s="3457"/>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2" t="s">
        <v>1384</v>
      </c>
      <c r="L16" s="3453"/>
      <c r="M16" s="3453"/>
      <c r="N16" s="3453"/>
      <c r="O16" s="3453"/>
      <c r="P16" s="3454"/>
    </row>
    <row r="17" spans="1:19" ht="15">
      <c r="A17" s="1643" t="s">
        <v>1385</v>
      </c>
      <c r="B17" s="1644" t="s">
        <v>1386</v>
      </c>
      <c r="C17" s="1645" t="s">
        <v>1387</v>
      </c>
      <c r="D17" s="1646" t="s">
        <v>1375</v>
      </c>
      <c r="E17" s="1647" t="s">
        <v>1376</v>
      </c>
      <c r="F17" s="1648"/>
      <c r="G17" s="1649"/>
      <c r="H17" s="1650" t="s">
        <v>1388</v>
      </c>
      <c r="I17" s="1651" t="s">
        <v>1373</v>
      </c>
      <c r="J17" s="1145"/>
      <c r="K17" s="3449" t="s">
        <v>1389</v>
      </c>
      <c r="L17" s="3450"/>
      <c r="M17" s="3451"/>
      <c r="N17" s="3449" t="s">
        <v>1390</v>
      </c>
      <c r="O17" s="3450"/>
      <c r="P17" s="3451"/>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44680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4" t="s">
        <v>2574</v>
      </c>
      <c r="B1" s="3465"/>
      <c r="C1" s="3465"/>
      <c r="D1" s="3465"/>
      <c r="E1" s="3465"/>
      <c r="F1" s="3465"/>
      <c r="G1" s="3465"/>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44680</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00" t="str">
        <f>项目基本情况!S2</f>
        <v>北京市房地产</v>
      </c>
      <c r="B2" s="3501"/>
      <c r="C2" s="3501"/>
      <c r="D2" s="3501"/>
      <c r="E2" s="3501"/>
      <c r="F2" s="3501"/>
      <c r="G2" s="3501"/>
      <c r="H2" s="3501"/>
      <c r="I2" s="3502"/>
    </row>
    <row r="3" spans="1:12" ht="12.75">
      <c r="A3" s="3504" t="s">
        <v>1514</v>
      </c>
      <c r="B3" s="3505"/>
      <c r="C3" s="3505"/>
      <c r="D3" s="3505"/>
      <c r="E3" s="3505"/>
      <c r="F3" s="3505"/>
      <c r="G3" s="3505"/>
      <c r="H3" s="3505"/>
      <c r="I3" s="3505"/>
    </row>
    <row r="4" spans="1:12" ht="14.25">
      <c r="A4" s="1748" t="s">
        <v>1515</v>
      </c>
      <c r="B4" s="1749" t="s">
        <v>1516</v>
      </c>
      <c r="C4" s="1750"/>
      <c r="D4" s="1750"/>
      <c r="E4" s="3506" t="s">
        <v>1517</v>
      </c>
      <c r="F4" s="3507"/>
      <c r="G4" s="3507"/>
      <c r="H4" s="3507"/>
      <c r="I4" s="3508"/>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0" t="s">
        <v>1518</v>
      </c>
      <c r="B5" s="3467">
        <v>25</v>
      </c>
      <c r="C5" s="3483"/>
      <c r="D5" s="3503"/>
      <c r="E5" s="135" t="s">
        <v>1519</v>
      </c>
      <c r="F5" s="1751"/>
      <c r="G5" s="1751"/>
      <c r="H5" s="1751"/>
      <c r="I5" s="1365"/>
    </row>
    <row r="6" spans="1:12" ht="12.75">
      <c r="A6" s="3480"/>
      <c r="B6" s="3467"/>
      <c r="C6" s="3484"/>
      <c r="D6" s="3503"/>
      <c r="E6" s="135" t="s">
        <v>1520</v>
      </c>
      <c r="F6" s="1751"/>
      <c r="G6" s="1751"/>
      <c r="H6" s="1751"/>
      <c r="I6" s="1365"/>
    </row>
    <row r="7" spans="1:12" ht="12.75">
      <c r="A7" s="3480"/>
      <c r="B7" s="3467"/>
      <c r="C7" s="3485"/>
      <c r="D7" s="3503"/>
      <c r="E7" s="135" t="s">
        <v>1521</v>
      </c>
      <c r="F7" s="1751"/>
      <c r="G7" s="1751"/>
      <c r="H7" s="1751"/>
      <c r="I7" s="1365"/>
    </row>
    <row r="8" spans="1:12" ht="12.75">
      <c r="A8" s="3480" t="s">
        <v>1522</v>
      </c>
      <c r="B8" s="3467">
        <v>15</v>
      </c>
      <c r="C8" s="3483"/>
      <c r="D8" s="3503"/>
      <c r="E8" s="135" t="s">
        <v>1523</v>
      </c>
      <c r="F8" s="1751"/>
      <c r="G8" s="1751"/>
      <c r="H8" s="1751"/>
      <c r="I8" s="1365"/>
    </row>
    <row r="9" spans="1:12" ht="12.75">
      <c r="A9" s="3480"/>
      <c r="B9" s="3467"/>
      <c r="C9" s="3485"/>
      <c r="D9" s="3503"/>
      <c r="E9" s="135" t="s">
        <v>1524</v>
      </c>
      <c r="F9" s="1751"/>
      <c r="G9" s="1751"/>
      <c r="H9" s="1751"/>
      <c r="I9" s="1365"/>
    </row>
    <row r="10" spans="1:12" ht="12.75">
      <c r="A10" s="3480" t="s">
        <v>1525</v>
      </c>
      <c r="B10" s="3467">
        <v>15</v>
      </c>
      <c r="C10" s="3483"/>
      <c r="D10" s="3503"/>
      <c r="E10" s="135" t="s">
        <v>1526</v>
      </c>
      <c r="F10" s="1751"/>
      <c r="G10" s="1751"/>
      <c r="H10" s="1751"/>
      <c r="I10" s="1365"/>
    </row>
    <row r="11" spans="1:12" ht="12.75">
      <c r="A11" s="3480"/>
      <c r="B11" s="3467"/>
      <c r="C11" s="3485"/>
      <c r="D11" s="3503"/>
      <c r="E11" s="135" t="s">
        <v>1527</v>
      </c>
      <c r="F11" s="1751"/>
      <c r="G11" s="1751"/>
      <c r="H11" s="1751"/>
      <c r="I11" s="1365"/>
    </row>
    <row r="12" spans="1:12" ht="12.75">
      <c r="A12" s="3480" t="s">
        <v>1528</v>
      </c>
      <c r="B12" s="3467">
        <v>15</v>
      </c>
      <c r="C12" s="3483"/>
      <c r="D12" s="3503"/>
      <c r="E12" s="135" t="s">
        <v>1529</v>
      </c>
      <c r="F12" s="1751"/>
      <c r="G12" s="1751"/>
      <c r="H12" s="1751"/>
      <c r="I12" s="1365"/>
    </row>
    <row r="13" spans="1:12" ht="12.75">
      <c r="A13" s="3480"/>
      <c r="B13" s="3467"/>
      <c r="C13" s="3485"/>
      <c r="D13" s="3503"/>
      <c r="E13" s="135" t="s">
        <v>1530</v>
      </c>
      <c r="F13" s="1751"/>
      <c r="G13" s="1751"/>
      <c r="H13" s="1751"/>
      <c r="I13" s="1365"/>
    </row>
    <row r="14" spans="1:12" ht="12.75">
      <c r="A14" s="3480" t="s">
        <v>1531</v>
      </c>
      <c r="B14" s="3467">
        <v>30</v>
      </c>
      <c r="C14" s="3483"/>
      <c r="D14" s="3503"/>
      <c r="E14" s="135" t="s">
        <v>1532</v>
      </c>
      <c r="F14" s="1751"/>
      <c r="G14" s="1751"/>
      <c r="H14" s="1751"/>
      <c r="I14" s="1365"/>
    </row>
    <row r="15" spans="1:12" ht="12.75">
      <c r="A15" s="3480"/>
      <c r="B15" s="3467"/>
      <c r="C15" s="3484"/>
      <c r="D15" s="3503"/>
      <c r="E15" s="135" t="s">
        <v>1533</v>
      </c>
      <c r="F15" s="1751"/>
      <c r="G15" s="1751"/>
      <c r="H15" s="1751"/>
      <c r="I15" s="1365"/>
    </row>
    <row r="16" spans="1:12" ht="12.75">
      <c r="A16" s="3480"/>
      <c r="B16" s="3467"/>
      <c r="C16" s="3485"/>
      <c r="D16" s="3503"/>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90" t="s">
        <v>2415</v>
      </c>
      <c r="F18" s="3491"/>
      <c r="G18" s="3491"/>
      <c r="H18" s="3491"/>
      <c r="I18" s="3491"/>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4" t="s">
        <v>1549</v>
      </c>
      <c r="B24" s="1756" t="s">
        <v>1541</v>
      </c>
      <c r="C24" s="140">
        <f>IF(B30=0,0,D30)</f>
        <v>0</v>
      </c>
      <c r="D24" s="1763"/>
      <c r="E24" s="133"/>
      <c r="F24" s="133"/>
      <c r="G24" s="133"/>
      <c r="H24" s="133"/>
      <c r="I24" s="133"/>
    </row>
    <row r="25" spans="1:36" ht="14.25">
      <c r="A25" s="3475"/>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4" t="s">
        <v>1562</v>
      </c>
      <c r="B36" s="1781" t="s">
        <v>1563</v>
      </c>
      <c r="C36" s="149"/>
      <c r="D36" s="1782"/>
      <c r="E36" s="1783"/>
      <c r="F36" s="1784"/>
      <c r="G36" s="133"/>
      <c r="H36" s="133"/>
      <c r="I36" s="133"/>
    </row>
    <row r="37" spans="1:15" ht="15.75" thickBot="1">
      <c r="A37" s="3495"/>
      <c r="B37" s="1668" t="s">
        <v>1564</v>
      </c>
      <c r="C37" s="151"/>
      <c r="D37" s="1145"/>
      <c r="E37" s="1145"/>
      <c r="F37" s="1784"/>
      <c r="G37" s="133"/>
      <c r="H37" s="133"/>
      <c r="I37" s="133"/>
    </row>
    <row r="38" spans="1:15" ht="15.75" thickBot="1">
      <c r="A38" s="3496"/>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71" t="s">
        <v>1576</v>
      </c>
      <c r="B45" s="3472"/>
      <c r="C45" s="3473"/>
      <c r="D45" s="159" t="e">
        <f ca="1">ROUND(H101*F45,0)</f>
        <v>#REF!</v>
      </c>
      <c r="E45" s="160" t="s">
        <v>1577</v>
      </c>
      <c r="F45" s="161">
        <v>1</v>
      </c>
      <c r="G45" s="162" t="s">
        <v>1578</v>
      </c>
      <c r="H45" s="133"/>
      <c r="I45" s="133"/>
      <c r="J45" s="3552" t="s">
        <v>1579</v>
      </c>
      <c r="K45" s="3552"/>
      <c r="L45" s="3552"/>
      <c r="M45" s="3552"/>
      <c r="N45" s="3552"/>
      <c r="O45" s="3552"/>
    </row>
    <row r="46" spans="1:15" ht="14.25" customHeight="1">
      <c r="A46" s="3468" t="s">
        <v>1580</v>
      </c>
      <c r="B46" s="3469"/>
      <c r="C46" s="3469"/>
      <c r="D46" s="3469"/>
      <c r="E46" s="3469"/>
      <c r="F46" s="3469"/>
      <c r="G46" s="3470"/>
      <c r="H46" s="1800"/>
      <c r="I46" s="163"/>
      <c r="J46" s="2349">
        <v>1</v>
      </c>
      <c r="K46" s="3533" t="s">
        <v>1581</v>
      </c>
      <c r="L46" s="3533"/>
      <c r="M46" s="3553"/>
      <c r="N46" s="3553"/>
      <c r="O46" s="3553"/>
    </row>
    <row r="47" spans="1:15" ht="12" customHeight="1">
      <c r="A47" s="164" t="s">
        <v>1582</v>
      </c>
      <c r="B47" s="165"/>
      <c r="C47" s="166"/>
      <c r="D47" s="1094" t="s">
        <v>1583</v>
      </c>
      <c r="E47" s="304" t="s">
        <v>1584</v>
      </c>
      <c r="F47" s="167" t="s">
        <v>1585</v>
      </c>
      <c r="G47" s="2372" t="s">
        <v>1586</v>
      </c>
      <c r="H47" s="2373"/>
      <c r="I47" s="163"/>
      <c r="J47" s="2349">
        <v>2</v>
      </c>
      <c r="K47" s="3533" t="s">
        <v>1587</v>
      </c>
      <c r="L47" s="3533"/>
      <c r="M47" s="3554">
        <f>'数据-取费表'!B2</f>
        <v>44680</v>
      </c>
      <c r="N47" s="3554"/>
      <c r="O47" s="3554"/>
    </row>
    <row r="48" spans="1:15" ht="25.5">
      <c r="A48" s="3499" t="s">
        <v>1588</v>
      </c>
      <c r="B48" s="3482"/>
      <c r="C48" s="3482"/>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3" t="s">
        <v>1590</v>
      </c>
      <c r="L48" s="3533"/>
      <c r="M48" s="3555" t="e">
        <f ca="1">H101</f>
        <v>#REF!</v>
      </c>
      <c r="N48" s="3555"/>
      <c r="O48" s="3555"/>
    </row>
    <row r="49" spans="1:35" ht="25.5" customHeight="1">
      <c r="A49" s="2156" t="s">
        <v>1591</v>
      </c>
      <c r="B49" s="3466" t="s">
        <v>1592</v>
      </c>
      <c r="C49" s="3466"/>
      <c r="D49" s="1583">
        <v>0</v>
      </c>
      <c r="E49" s="326" t="s">
        <v>1593</v>
      </c>
      <c r="F49" s="2250" t="s">
        <v>34</v>
      </c>
      <c r="G49" s="3539"/>
      <c r="H49" s="2129" t="s">
        <v>2418</v>
      </c>
      <c r="I49" s="2130"/>
      <c r="J49" s="2349">
        <v>4</v>
      </c>
      <c r="K49" s="3533" t="str">
        <f>IF(项目基本情况!E8="房地产抵押价值","房地产抵押价值","抵押担保权已注销时的房地产抵押价值")</f>
        <v>房地产抵押价值</v>
      </c>
      <c r="L49" s="3533"/>
      <c r="M49" s="3555" t="str">
        <f ca="1">IF(项目基本情况!E8="房地产抵押价值",H107,H109)</f>
        <v>——</v>
      </c>
      <c r="N49" s="3555"/>
      <c r="O49" s="3555"/>
    </row>
    <row r="50" spans="1:35" ht="25.5" customHeight="1">
      <c r="A50" s="2377"/>
      <c r="B50" s="3466" t="s">
        <v>1594</v>
      </c>
      <c r="C50" s="3466"/>
      <c r="D50" s="2378"/>
      <c r="E50" s="334"/>
      <c r="F50" s="2250"/>
      <c r="G50" s="3540"/>
      <c r="H50" s="2131" t="s">
        <v>2419</v>
      </c>
      <c r="I50" s="2130"/>
      <c r="J50" s="3552" t="s">
        <v>1595</v>
      </c>
      <c r="K50" s="3552"/>
      <c r="L50" s="3552"/>
      <c r="M50" s="3552"/>
      <c r="N50" s="3552"/>
      <c r="O50" s="3552"/>
    </row>
    <row r="51" spans="1:35" ht="20.45" customHeight="1">
      <c r="A51" s="2379"/>
      <c r="B51" s="3466" t="s">
        <v>1596</v>
      </c>
      <c r="C51" s="3466"/>
      <c r="D51" s="1094"/>
      <c r="E51" s="329"/>
      <c r="F51" s="2250"/>
      <c r="G51" s="3541"/>
      <c r="H51" s="2131" t="s">
        <v>2420</v>
      </c>
      <c r="I51" s="2130"/>
      <c r="J51" s="2350" t="s">
        <v>1597</v>
      </c>
      <c r="K51" s="3533" t="s">
        <v>1598</v>
      </c>
      <c r="L51" s="3533"/>
      <c r="M51" s="2350" t="s">
        <v>1599</v>
      </c>
      <c r="N51" s="2350" t="s">
        <v>1600</v>
      </c>
      <c r="O51" s="2350" t="s">
        <v>1601</v>
      </c>
    </row>
    <row r="52" spans="1:35" ht="24" customHeight="1">
      <c r="A52" s="2158" t="s">
        <v>1602</v>
      </c>
      <c r="B52" s="3466" t="s">
        <v>1603</v>
      </c>
      <c r="C52" s="3466"/>
      <c r="D52" s="1094" t="e">
        <f ca="1">ROUND(D45*'数据-取费表'!B41/(1+'数据-取费表'!C42),0)</f>
        <v>#REF!</v>
      </c>
      <c r="E52" s="2157" t="s">
        <v>1604</v>
      </c>
      <c r="F52" s="2380">
        <f>'数据-取费表'!B41</f>
        <v>0</v>
      </c>
      <c r="G52" s="2381"/>
      <c r="H52" s="2370"/>
      <c r="I52" s="1801"/>
      <c r="J52" s="2349">
        <v>1</v>
      </c>
      <c r="K52" s="3534" t="s">
        <v>1605</v>
      </c>
      <c r="L52" s="3534"/>
      <c r="M52" s="2351" t="b">
        <f>D48</f>
        <v>0</v>
      </c>
      <c r="N52" s="2349" t="str">
        <f>E48</f>
        <v>销售额×税（费）率</v>
      </c>
      <c r="O52" s="2352">
        <f>F48</f>
        <v>0</v>
      </c>
    </row>
    <row r="53" spans="1:35" ht="12" customHeight="1">
      <c r="A53" s="2158" t="s">
        <v>1606</v>
      </c>
      <c r="B53" s="3492" t="s">
        <v>2579</v>
      </c>
      <c r="C53" s="3493"/>
      <c r="D53" s="1094" t="e">
        <f ca="1">ROUND(D45*'数据-取费表'!B41/(1+'数据-取费表'!C42),0)</f>
        <v>#REF!</v>
      </c>
      <c r="E53" s="2157" t="s">
        <v>1604</v>
      </c>
      <c r="F53" s="2380">
        <f>'数据-取费表'!B41</f>
        <v>0</v>
      </c>
      <c r="G53" s="2381"/>
      <c r="H53" s="2370"/>
      <c r="I53" s="1801"/>
      <c r="J53" s="2349">
        <v>2</v>
      </c>
      <c r="K53" s="3534" t="s">
        <v>1607</v>
      </c>
      <c r="L53" s="3534"/>
      <c r="M53" s="2351" t="e">
        <f t="shared" ref="M53:O54" ca="1" si="0">D55</f>
        <v>#REF!</v>
      </c>
      <c r="N53" s="2349" t="str">
        <f t="shared" si="0"/>
        <v>销售额×税（费）率</v>
      </c>
      <c r="O53" s="2352" t="str">
        <f t="shared" si="0"/>
        <v>免征</v>
      </c>
    </row>
    <row r="54" spans="1:35" ht="12" customHeight="1">
      <c r="A54" s="2158" t="s">
        <v>1608</v>
      </c>
      <c r="B54" s="3492" t="s">
        <v>2580</v>
      </c>
      <c r="C54" s="3493"/>
      <c r="D54" s="1094" t="e">
        <f ca="1">C68</f>
        <v>#REF!</v>
      </c>
      <c r="E54" s="329" t="s">
        <v>1609</v>
      </c>
      <c r="F54" s="2380">
        <f>'数据-取费表'!B41</f>
        <v>0</v>
      </c>
      <c r="G54" s="2381"/>
      <c r="H54" s="2382"/>
      <c r="I54" s="1801"/>
      <c r="J54" s="2349">
        <v>3</v>
      </c>
      <c r="K54" s="3534" t="s">
        <v>1610</v>
      </c>
      <c r="L54" s="3534"/>
      <c r="M54" s="2351" t="e">
        <f t="shared" ca="1" si="0"/>
        <v>#REF!</v>
      </c>
      <c r="N54" s="2349" t="str">
        <f t="shared" si="0"/>
        <v>增值额×税（费）率</v>
      </c>
      <c r="O54" s="2353" t="str">
        <f t="shared" si="0"/>
        <v>免征</v>
      </c>
    </row>
    <row r="55" spans="1:35" ht="24" customHeight="1">
      <c r="A55" s="3481" t="s">
        <v>1611</v>
      </c>
      <c r="B55" s="3482"/>
      <c r="C55" s="3482"/>
      <c r="D55" s="2147" t="e">
        <f ca="1">IF(H55="个人住宅",0,ROUND(D45*I55,0))</f>
        <v>#REF!</v>
      </c>
      <c r="E55" s="2157" t="s">
        <v>1612</v>
      </c>
      <c r="F55" s="2380" t="str">
        <f>IF(H55="正常",I55,"免征")</f>
        <v>免征</v>
      </c>
      <c r="G55" s="2381"/>
      <c r="H55" s="2376"/>
      <c r="I55" s="169">
        <f>'数据-取费表'!B49</f>
        <v>0</v>
      </c>
      <c r="J55" s="2349">
        <f>IF(H59="非个人房产","",4)</f>
        <v>4</v>
      </c>
      <c r="K55" s="3534" t="str">
        <f>IF(H59="非个人房产","——","个人所得税")</f>
        <v>个人所得税</v>
      </c>
      <c r="L55" s="3534"/>
      <c r="M55" s="2354" t="e">
        <f ca="1">D59</f>
        <v>#REF!</v>
      </c>
      <c r="N55" s="1997" t="str">
        <f>E59</f>
        <v>差额计税</v>
      </c>
      <c r="O55" s="2355">
        <f>F59</f>
        <v>0.01</v>
      </c>
    </row>
    <row r="56" spans="1:35" ht="24.75">
      <c r="A56" s="3481" t="s">
        <v>1613</v>
      </c>
      <c r="B56" s="3482"/>
      <c r="C56" s="3482"/>
      <c r="D56" s="2147" t="e">
        <f ca="1">IF(H56="个人住宅",D57,D58)</f>
        <v>#REF!</v>
      </c>
      <c r="E56" s="2157" t="s">
        <v>1614</v>
      </c>
      <c r="F56" s="2380" t="str">
        <f>IF(H56="正常",F58,"免征")</f>
        <v>免征</v>
      </c>
      <c r="G56" s="2383" t="s">
        <v>1615</v>
      </c>
      <c r="H56" s="2384"/>
      <c r="I56" s="1802"/>
      <c r="J56" s="2349" t="str">
        <f>IF(项目基本情况!K6="上海银行",IF(J55="",4,J55+1),"")</f>
        <v/>
      </c>
      <c r="K56" s="3557" t="str">
        <f>IF(项目基本情况!K6="上海银行","其他处置费用","")</f>
        <v/>
      </c>
      <c r="L56" s="3558"/>
      <c r="M56" s="2351" t="str">
        <f>IF(项目基本情况!K6="上海银行",M69,"")</f>
        <v/>
      </c>
      <c r="N56" s="3557" t="str">
        <f>IF(项目基本情况!K6="上海银行","包含处置中涉及的律师、诉讼、拍卖、评估等费用","")</f>
        <v/>
      </c>
      <c r="O56" s="3560"/>
    </row>
    <row r="57" spans="1:35" ht="12.75">
      <c r="A57" s="2158" t="s">
        <v>1591</v>
      </c>
      <c r="B57" s="3492" t="s">
        <v>1616</v>
      </c>
      <c r="C57" s="3493"/>
      <c r="D57" s="1583">
        <v>0</v>
      </c>
      <c r="E57" s="326" t="s">
        <v>1593</v>
      </c>
      <c r="F57" s="304"/>
      <c r="G57" s="2381"/>
      <c r="H57" s="2385"/>
      <c r="I57" s="1802"/>
      <c r="J57" s="3534">
        <f>IF(AND(J55="",J56=""),4,IF(项目基本情况!K6="上海银行",结果表!J56+1,结果表!J55+1))</f>
        <v>5</v>
      </c>
      <c r="K57" s="3534" t="s">
        <v>1617</v>
      </c>
      <c r="L57" s="2356" t="s">
        <v>1618</v>
      </c>
      <c r="M57" s="2357"/>
      <c r="N57" s="2358">
        <f ca="1">SUMIF(M52:M56,"&lt;9e307")</f>
        <v>0</v>
      </c>
      <c r="O57" s="2359"/>
      <c r="P57" s="2517" t="e">
        <f ca="1">N57/M49</f>
        <v>#VALUE!</v>
      </c>
    </row>
    <row r="58" spans="1:35" ht="24.75">
      <c r="A58" s="2158" t="s">
        <v>1602</v>
      </c>
      <c r="B58" s="3492" t="s">
        <v>1619</v>
      </c>
      <c r="C58" s="3466"/>
      <c r="D58" s="2147" t="e">
        <f ca="1">IF(H58="转让取得",C81,C97)</f>
        <v>#REF!</v>
      </c>
      <c r="E58" s="2157" t="s">
        <v>1614</v>
      </c>
      <c r="F58" s="304" t="s">
        <v>34</v>
      </c>
      <c r="G58" s="2381"/>
      <c r="H58" s="2384"/>
      <c r="I58" s="1802"/>
      <c r="J58" s="3534"/>
      <c r="K58" s="3534"/>
      <c r="L58" s="2356" t="s">
        <v>1620</v>
      </c>
      <c r="M58" s="2360"/>
      <c r="N58" s="2361" t="str">
        <f ca="1">NUMBERSTRING(INT(N57*10000),2)&amp;"元整"</f>
        <v>零元整</v>
      </c>
      <c r="O58" s="2362"/>
    </row>
    <row r="59" spans="1:35" ht="24.75" thickBot="1">
      <c r="A59" s="3537" t="s">
        <v>1621</v>
      </c>
      <c r="B59" s="3538"/>
      <c r="C59" s="3538"/>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5">
        <f>J57+1</f>
        <v>6</v>
      </c>
      <c r="K59" s="3534" t="s">
        <v>1622</v>
      </c>
      <c r="L59" s="2349" t="s">
        <v>1618</v>
      </c>
      <c r="M59" s="2363"/>
      <c r="N59" s="2364" t="e">
        <f ca="1">M49-N57</f>
        <v>#VALUE!</v>
      </c>
      <c r="O59" s="2365"/>
    </row>
    <row r="60" spans="1:35" ht="12" customHeight="1">
      <c r="A60" s="1803"/>
      <c r="B60" s="1741"/>
      <c r="C60" s="1741"/>
      <c r="D60" s="1741"/>
      <c r="E60" s="1571"/>
      <c r="F60" s="1802"/>
      <c r="G60" s="1802"/>
      <c r="H60" s="1804"/>
      <c r="I60" s="133"/>
      <c r="J60" s="3536"/>
      <c r="K60" s="3534"/>
      <c r="L60" s="2356" t="s">
        <v>1620</v>
      </c>
      <c r="M60" s="2360"/>
      <c r="N60" s="2361" t="e">
        <f ca="1">NUMBERSTRING(INT(N59*10000),2)&amp;"元整"</f>
        <v>#VALUE!</v>
      </c>
      <c r="O60" s="2362"/>
    </row>
    <row r="61" spans="1:35" ht="13.5" thickBot="1">
      <c r="A61" s="3479" t="s">
        <v>1623</v>
      </c>
      <c r="B61" s="3479"/>
      <c r="C61" s="3479"/>
      <c r="D61" s="3479"/>
      <c r="E61" s="3479"/>
      <c r="F61" s="1802"/>
      <c r="G61" s="1802"/>
      <c r="H61" s="1804"/>
      <c r="I61" s="133"/>
      <c r="J61" s="2349">
        <f>J59+1</f>
        <v>7</v>
      </c>
      <c r="K61" s="3534" t="s">
        <v>1624</v>
      </c>
      <c r="L61" s="3534"/>
      <c r="M61" s="2366"/>
      <c r="N61" s="2367" t="e">
        <f ca="1">ROUND(N59*10000/'数据-汇总表'!E3,0)</f>
        <v>#VALUE!</v>
      </c>
      <c r="O61" s="2368"/>
    </row>
    <row r="62" spans="1:35" ht="12.75">
      <c r="A62" s="3497" t="s">
        <v>1625</v>
      </c>
      <c r="B62" s="3498"/>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9"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9"/>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559"/>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559"/>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9"/>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9"/>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559"/>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8" t="s">
        <v>1644</v>
      </c>
      <c r="B70" s="3519"/>
      <c r="C70" s="3519"/>
      <c r="D70" s="3519"/>
      <c r="E70" s="3519"/>
      <c r="F70" s="3519"/>
      <c r="G70" s="3519"/>
      <c r="H70" s="3519"/>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7" t="s">
        <v>1625</v>
      </c>
      <c r="B71" s="3498"/>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2" t="s">
        <v>1652</v>
      </c>
      <c r="F76" s="3466"/>
      <c r="G76" s="3466"/>
      <c r="H76" s="3517"/>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6" t="s">
        <v>1656</v>
      </c>
      <c r="F78" s="3477"/>
      <c r="G78" s="3477"/>
      <c r="H78" s="3486"/>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8" t="s">
        <v>1660</v>
      </c>
      <c r="B83" s="3519"/>
      <c r="C83" s="3519"/>
      <c r="D83" s="3519"/>
      <c r="E83" s="3519"/>
      <c r="F83" s="3519"/>
      <c r="G83" s="3519"/>
      <c r="H83" s="3519"/>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7" t="s">
        <v>1625</v>
      </c>
      <c r="B84" s="3498"/>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61" t="s">
        <v>2413</v>
      </c>
      <c r="H90" s="3562"/>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6" t="s">
        <v>1669</v>
      </c>
      <c r="F91" s="3477"/>
      <c r="G91" s="3477"/>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6" t="s">
        <v>1672</v>
      </c>
      <c r="F92" s="3477"/>
      <c r="G92" s="3477"/>
      <c r="H92" s="3486"/>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6" t="s">
        <v>1656</v>
      </c>
      <c r="F93" s="3477"/>
      <c r="G93" s="3477"/>
      <c r="H93" s="3486"/>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7" t="s">
        <v>1676</v>
      </c>
      <c r="F94" s="3488"/>
      <c r="G94" s="3488"/>
      <c r="H94" s="3489"/>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0" t="s">
        <v>1678</v>
      </c>
      <c r="B100" s="3461"/>
      <c r="C100" s="3461"/>
      <c r="D100" s="3478"/>
      <c r="E100" s="3461" t="s">
        <v>1679</v>
      </c>
      <c r="F100" s="3461"/>
      <c r="G100" s="3461"/>
      <c r="H100" s="3478"/>
      <c r="I100" s="133"/>
    </row>
    <row r="101" spans="1:35" ht="18.75" customHeight="1">
      <c r="A101" s="3542" t="s">
        <v>1680</v>
      </c>
      <c r="B101" s="3543"/>
      <c r="C101" s="2411">
        <f>C4</f>
        <v>0</v>
      </c>
      <c r="D101" s="2412">
        <f>D4</f>
        <v>0</v>
      </c>
      <c r="E101" s="3556" t="s">
        <v>1681</v>
      </c>
      <c r="F101" s="3510"/>
      <c r="G101" s="1821" t="s">
        <v>1682</v>
      </c>
      <c r="H101" s="2421" t="e">
        <f ca="1">H118</f>
        <v>#REF!</v>
      </c>
      <c r="I101" s="133"/>
    </row>
    <row r="102" spans="1:35" ht="18.75" customHeight="1">
      <c r="A102" s="3512" t="s">
        <v>1683</v>
      </c>
      <c r="B102" s="2410" t="s">
        <v>1682</v>
      </c>
      <c r="C102" s="2411" t="e">
        <f ca="1">C19</f>
        <v>#REF!</v>
      </c>
      <c r="D102" s="2412" t="e">
        <f ca="1">D19</f>
        <v>#REF!</v>
      </c>
      <c r="E102" s="3556"/>
      <c r="F102" s="3510"/>
      <c r="G102" s="1821" t="s">
        <v>1684</v>
      </c>
      <c r="H102" s="2381" t="e">
        <f ca="1">I118</f>
        <v>#REF!</v>
      </c>
      <c r="I102" s="133"/>
    </row>
    <row r="103" spans="1:35" ht="42.75" customHeight="1">
      <c r="A103" s="3512"/>
      <c r="B103" s="2410" t="s">
        <v>1684</v>
      </c>
      <c r="C103" s="2413" t="e">
        <f ca="1">C20</f>
        <v>#REF!</v>
      </c>
      <c r="D103" s="2414" t="e">
        <f ca="1">D20</f>
        <v>#REF!</v>
      </c>
      <c r="E103" s="3550" t="s">
        <v>1685</v>
      </c>
      <c r="F103" s="3551"/>
      <c r="G103" s="1822" t="s">
        <v>1686</v>
      </c>
      <c r="H103" s="2421">
        <f>IF(D36="正常操作",H104+H105+H106,H105+H106)</f>
        <v>0</v>
      </c>
      <c r="I103" s="133"/>
    </row>
    <row r="104" spans="1:35" ht="18.75" customHeight="1">
      <c r="A104" s="3512"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3"/>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9" t="str">
        <f>IF(项目基本情况!E8="已注销","——","3.房地产抵押价值")</f>
        <v>3.房地产抵押价值</v>
      </c>
      <c r="F107" s="3510"/>
      <c r="G107" s="1821" t="s">
        <v>1682</v>
      </c>
      <c r="H107" s="2421" t="e">
        <f ca="1">IF(E107="——","——",H101-H103)</f>
        <v>#REF!</v>
      </c>
      <c r="I107" s="133"/>
    </row>
    <row r="108" spans="1:35" ht="18.75" customHeight="1">
      <c r="A108" s="133"/>
      <c r="B108" s="133"/>
      <c r="C108" s="133"/>
      <c r="D108" s="133"/>
      <c r="E108" s="3509"/>
      <c r="F108" s="3510"/>
      <c r="G108" s="1821" t="s">
        <v>1684</v>
      </c>
      <c r="H108" s="2381" t="e">
        <f ca="1">ROUND(H107*10000/'数据-汇总表'!E3,0)</f>
        <v>#REF!</v>
      </c>
      <c r="I108" s="133"/>
    </row>
    <row r="109" spans="1:35" ht="18.75" customHeight="1">
      <c r="A109" s="133"/>
      <c r="B109" s="133"/>
      <c r="C109" s="133"/>
      <c r="D109" s="133"/>
      <c r="E109" s="3509" t="str">
        <f>IF(项目基本情况!E8="已注销及未注销","4.抵押担保权已注销时的房地产抵押价值",IF(项目基本情况!E8="已注销","3.抵押担保权已注销时的房地产抵押价值","——"))</f>
        <v>——</v>
      </c>
      <c r="F109" s="3510"/>
      <c r="G109" s="1821" t="s">
        <v>1682</v>
      </c>
      <c r="H109" s="2424" t="str">
        <f>IF(E109="——","——",H101-H105-H106)</f>
        <v>——</v>
      </c>
      <c r="I109" s="133"/>
    </row>
    <row r="110" spans="1:35" ht="18.75" customHeight="1">
      <c r="A110" s="133"/>
      <c r="B110" s="133"/>
      <c r="C110" s="133"/>
      <c r="D110" s="133"/>
      <c r="E110" s="3509"/>
      <c r="F110" s="3510"/>
      <c r="G110" s="1821" t="s">
        <v>1684</v>
      </c>
      <c r="H110" s="2381" t="str">
        <f>IF(H109="——","——",ROUND(H109*10000/'数据-汇总表'!E3,0))</f>
        <v>——</v>
      </c>
      <c r="I110" s="133"/>
    </row>
    <row r="111" spans="1:35" ht="18.75" customHeight="1">
      <c r="A111" s="133"/>
      <c r="B111" s="133"/>
      <c r="C111" s="133"/>
      <c r="D111" s="133"/>
      <c r="E111" s="3544" t="str">
        <f>IF(项目基本情况!E9="抵押净值",IF(OR(项目基本情况!E8="已注销",项目基本情况!E8="房地产抵押价值"),"4.抵押净值","5.抵押净值"),"——")</f>
        <v>——</v>
      </c>
      <c r="F111" s="3511"/>
      <c r="G111" s="1821" t="s">
        <v>1682</v>
      </c>
      <c r="H111" s="2421" t="str">
        <f>IF(E111="——","——",N59)</f>
        <v>——</v>
      </c>
      <c r="I111" s="133"/>
    </row>
    <row r="112" spans="1:35" ht="18.75" customHeight="1" thickBot="1">
      <c r="A112" s="133"/>
      <c r="B112" s="133"/>
      <c r="C112" s="133"/>
      <c r="D112" s="133"/>
      <c r="E112" s="3545"/>
      <c r="F112" s="3546"/>
      <c r="G112" s="1824" t="s">
        <v>1684</v>
      </c>
      <c r="H112" s="2425" t="str">
        <f>IF(E111="——","——",N61)</f>
        <v>——</v>
      </c>
      <c r="I112" s="133"/>
    </row>
    <row r="113" spans="1:27" ht="18.75" customHeight="1">
      <c r="A113" s="133"/>
      <c r="B113" s="133"/>
      <c r="C113" s="133"/>
      <c r="D113" s="133"/>
      <c r="E113" s="3514" t="s">
        <v>1690</v>
      </c>
      <c r="F113" s="3514"/>
      <c r="G113" s="3514"/>
      <c r="H113" s="3514"/>
      <c r="I113" s="133"/>
    </row>
    <row r="114" spans="1:27" ht="3.75" customHeight="1">
      <c r="A114" s="1741"/>
      <c r="B114" s="1741"/>
      <c r="C114" s="1741"/>
      <c r="D114" s="1741"/>
      <c r="E114" s="1803"/>
      <c r="F114" s="1803"/>
      <c r="G114" s="1803"/>
      <c r="H114" s="1803"/>
      <c r="I114" s="1741"/>
    </row>
    <row r="115" spans="1:27" ht="18.75" customHeight="1">
      <c r="A115" s="3527" t="s">
        <v>1692</v>
      </c>
      <c r="B115" s="3528"/>
      <c r="C115" s="3528"/>
      <c r="D115" s="3528"/>
      <c r="E115" s="3528"/>
      <c r="F115" s="3528"/>
      <c r="G115" s="3528"/>
      <c r="H115" s="3528"/>
      <c r="I115" s="3529"/>
    </row>
    <row r="116" spans="1:27" ht="27" customHeight="1">
      <c r="A116" s="3480" t="s">
        <v>1693</v>
      </c>
      <c r="B116" s="3515" t="s">
        <v>1694</v>
      </c>
      <c r="C116" s="3515" t="s">
        <v>1695</v>
      </c>
      <c r="D116" s="3531" t="s">
        <v>1696</v>
      </c>
      <c r="E116" s="3532"/>
      <c r="F116" s="3523" t="s">
        <v>1697</v>
      </c>
      <c r="G116" s="3523"/>
      <c r="H116" s="3480" t="s">
        <v>1698</v>
      </c>
      <c r="I116" s="3480"/>
    </row>
    <row r="117" spans="1:27" ht="18.75" customHeight="1">
      <c r="A117" s="3480"/>
      <c r="B117" s="3516"/>
      <c r="C117" s="3516"/>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0" t="s">
        <v>1702</v>
      </c>
      <c r="B119" s="3480"/>
      <c r="C119" s="3480"/>
      <c r="D119" s="3520" t="e">
        <f ca="1">NUMBERSTRING(INT(D118*10000),2)&amp;"元整"</f>
        <v>#REF!</v>
      </c>
      <c r="E119" s="3522"/>
      <c r="F119" s="3520" t="e">
        <f ca="1">NUMBERSTRING(INT(F118*10000),2)&amp;"元整"</f>
        <v>#REF!</v>
      </c>
      <c r="G119" s="3522"/>
      <c r="H119" s="3520" t="e">
        <f ca="1">NUMBERSTRING(INT(H118*10000),2)&amp;"元整"</f>
        <v>#REF!</v>
      </c>
      <c r="I119" s="3522"/>
    </row>
    <row r="120" spans="1:27" ht="18.75" customHeight="1">
      <c r="A120" s="3547" t="str">
        <f>IF(项目基本情况!B9="房地产市场价值","",MID(E103,3,LEN(E103)-2))</f>
        <v>估价师知悉的法定优先受偿款</v>
      </c>
      <c r="B120" s="3548"/>
      <c r="C120" s="3549"/>
      <c r="D120" s="3547">
        <f>H103</f>
        <v>0</v>
      </c>
      <c r="E120" s="3548"/>
      <c r="F120" s="3548"/>
      <c r="G120" s="3548"/>
      <c r="H120" s="3548"/>
      <c r="I120" s="354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4" t="s">
        <v>1702</v>
      </c>
      <c r="B121" s="3525"/>
      <c r="C121" s="3526"/>
      <c r="D121" s="3520" t="str">
        <f>IF(D120=0,"零元整",NUMBERSTRING(INT(D120*10000),2)&amp;"元整")</f>
        <v>零元整</v>
      </c>
      <c r="E121" s="3521"/>
      <c r="F121" s="3521"/>
      <c r="G121" s="3521"/>
      <c r="H121" s="3521"/>
      <c r="I121" s="3522"/>
      <c r="AA121" s="729"/>
    </row>
    <row r="122" spans="1:27" ht="18.75" customHeight="1">
      <c r="A122" s="3511" t="str">
        <f>IF(项目基本情况!B9="房地产市场价值","",MID(E107,3,LEN(E107)-2))</f>
        <v>房地产抵押价值</v>
      </c>
      <c r="B122" s="3511"/>
      <c r="C122" s="3511"/>
      <c r="D122" s="3547" t="e">
        <f ca="1">H107</f>
        <v>#REF!</v>
      </c>
      <c r="E122" s="3548"/>
      <c r="F122" s="3548"/>
      <c r="G122" s="3548"/>
      <c r="H122" s="3548"/>
      <c r="I122" s="3549"/>
      <c r="AA122" s="729"/>
    </row>
    <row r="123" spans="1:27" ht="18.75" customHeight="1">
      <c r="A123" s="3480" t="s">
        <v>1702</v>
      </c>
      <c r="B123" s="3480"/>
      <c r="C123" s="3480"/>
      <c r="D123" s="3520" t="e">
        <f ca="1">NUMBERSTRING(INT(D122*10000),2)&amp;"元整"</f>
        <v>#REF!</v>
      </c>
      <c r="E123" s="3521"/>
      <c r="F123" s="3521"/>
      <c r="G123" s="3521"/>
      <c r="H123" s="3521"/>
      <c r="I123" s="3522"/>
      <c r="AA123" s="729"/>
    </row>
    <row r="124" spans="1:27" ht="18.75" customHeight="1">
      <c r="A124" s="3511" t="str">
        <f>IF(项目基本情况!B9="房地产市场价值","",MID(E109,3,LEN(E109)-2))</f>
        <v/>
      </c>
      <c r="B124" s="3511"/>
      <c r="C124" s="3511"/>
      <c r="D124" s="3547" t="str">
        <f>H109</f>
        <v>——</v>
      </c>
      <c r="E124" s="3548"/>
      <c r="F124" s="3548"/>
      <c r="G124" s="3548"/>
      <c r="H124" s="3548"/>
      <c r="I124" s="3549"/>
      <c r="AA124" s="729"/>
    </row>
    <row r="125" spans="1:27" ht="18.75" customHeight="1">
      <c r="A125" s="3480" t="s">
        <v>1702</v>
      </c>
      <c r="B125" s="3480"/>
      <c r="C125" s="3480"/>
      <c r="D125" s="3520" t="e">
        <f>NUMBERSTRING(INT(D124*10000),2)&amp;"元整"</f>
        <v>#VALUE!</v>
      </c>
      <c r="E125" s="3521"/>
      <c r="F125" s="3521"/>
      <c r="G125" s="3521"/>
      <c r="H125" s="3521"/>
      <c r="I125" s="3522"/>
      <c r="AA125" s="729"/>
    </row>
    <row r="126" spans="1:27" ht="18.75" customHeight="1">
      <c r="A126" s="3511" t="str">
        <f>IF(项目基本情况!B9="房地产市场价值","",MID(E111,3,LEN(E111)-2))</f>
        <v/>
      </c>
      <c r="B126" s="3511"/>
      <c r="C126" s="3511"/>
      <c r="D126" s="3547" t="str">
        <f>H111</f>
        <v>——</v>
      </c>
      <c r="E126" s="3548"/>
      <c r="F126" s="3548"/>
      <c r="G126" s="3548"/>
      <c r="H126" s="3548"/>
      <c r="I126" s="3549"/>
      <c r="AA126" s="729"/>
    </row>
    <row r="127" spans="1:27" ht="18.75" customHeight="1">
      <c r="A127" s="3480" t="s">
        <v>1702</v>
      </c>
      <c r="B127" s="3480"/>
      <c r="C127" s="3480"/>
      <c r="D127" s="3520" t="e">
        <f>NUMBERSTRING(INT(D126*10000),2)&amp;"元整"</f>
        <v>#VALUE!</v>
      </c>
      <c r="E127" s="3521"/>
      <c r="F127" s="3521"/>
      <c r="G127" s="3521"/>
      <c r="H127" s="3521"/>
      <c r="I127" s="3522"/>
      <c r="AA127" s="729"/>
    </row>
    <row r="128" spans="1:27" ht="21.75" customHeight="1">
      <c r="A128" s="3530" t="s">
        <v>1703</v>
      </c>
      <c r="B128" s="3530"/>
      <c r="C128" s="3530"/>
      <c r="D128" s="3530"/>
      <c r="E128" s="3530"/>
      <c r="F128" s="3530"/>
      <c r="G128" s="3530"/>
      <c r="H128" s="3530"/>
      <c r="I128" s="3530"/>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3" t="s">
        <v>1794</v>
      </c>
    </row>
    <row r="43" spans="1:7" ht="13.5" customHeight="1">
      <c r="A43" s="794" t="s">
        <v>580</v>
      </c>
      <c r="B43" s="217" t="s">
        <v>1795</v>
      </c>
      <c r="C43" s="240" t="e">
        <f ca="1">ROUND(IF('数据-取费表'!B22&lt;=1,C39*F22*'数据-取费表'!B21/2,C39*(POWER((1+F22),'数据-取费表'!B21/2)-1)),0)</f>
        <v>#VALUE!</v>
      </c>
      <c r="D43" s="240"/>
      <c r="E43" s="240"/>
      <c r="F43" s="241"/>
      <c r="G43" s="3564"/>
    </row>
    <row r="44" spans="1:7" ht="13.5" customHeight="1">
      <c r="A44" s="794" t="s">
        <v>581</v>
      </c>
      <c r="B44" s="217" t="s">
        <v>1796</v>
      </c>
      <c r="C44" s="240" t="e">
        <f ca="1">ROUND(IF('数据-取费表'!B22&lt;=1,C40*F22*'数据-取费表'!B21/2,C40*(POWER((1+F22),'数据-取费表'!B21/2)-1)),4)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4" t="str">
        <f>项目基本情况!B1</f>
        <v>北京市房地产抵押价值预评估</v>
      </c>
      <c r="C37" s="3374"/>
      <c r="D37" s="3374"/>
      <c r="E37" s="3374"/>
      <c r="F37" s="3374"/>
      <c r="G37" s="3374"/>
      <c r="H37" s="3374"/>
      <c r="I37" s="3374"/>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3" t="s">
        <v>1841</v>
      </c>
    </row>
    <row r="43" spans="1:7" ht="13.5" customHeight="1">
      <c r="A43" s="794" t="s">
        <v>580</v>
      </c>
      <c r="B43" s="217" t="s">
        <v>1795</v>
      </c>
      <c r="C43" s="240" t="e">
        <f ca="1">ROUND(IF('数据-取费表'!B22&lt;=1,C39*F22*'数据-取费表'!B20/2,C39*(POWER((1+F22),'数据-取费表'!B20/2)-1)),0)</f>
        <v>#VALUE!</v>
      </c>
      <c r="D43" s="240"/>
      <c r="E43" s="240"/>
      <c r="F43" s="241"/>
      <c r="G43" s="3564"/>
    </row>
    <row r="44" spans="1:7" ht="13.5" customHeight="1">
      <c r="A44" s="794" t="s">
        <v>581</v>
      </c>
      <c r="B44" s="217" t="s">
        <v>1796</v>
      </c>
      <c r="C44" s="240" t="e">
        <f ca="1">ROUND(IF('数据-取费表'!B22&lt;=1,C40*F22*'数据-取费表'!B20/2,C40*(POWER((1+F22),'数据-取费表'!B20/2)-1)),4)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8" t="s">
        <v>932</v>
      </c>
      <c r="C6" s="1081">
        <f ca="1">ROUND(F6*F8*F7*(1-F9)/10000,0)</f>
        <v>0</v>
      </c>
      <c r="D6" s="159" t="s">
        <v>2393</v>
      </c>
      <c r="E6" s="304" t="s">
        <v>934</v>
      </c>
      <c r="F6" s="305">
        <f ca="1">INDIRECT("'数据-取费表'!u"&amp;$G$1)</f>
        <v>0</v>
      </c>
      <c r="G6" s="1376"/>
      <c r="H6" s="1076" t="s">
        <v>640</v>
      </c>
      <c r="I6" s="3568" t="s">
        <v>932</v>
      </c>
      <c r="J6" s="303">
        <f ca="1">ROUND(M6*M8*M7*(1-M9)/10000,0)</f>
        <v>0</v>
      </c>
      <c r="K6" s="159" t="s">
        <v>2392</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8" t="s">
        <v>932</v>
      </c>
      <c r="C6" s="1081">
        <f ca="1">ROUND(F6*F8*F7*(1-F9),0)</f>
        <v>0</v>
      </c>
      <c r="D6" s="159" t="s">
        <v>2390</v>
      </c>
      <c r="E6" s="304" t="s">
        <v>934</v>
      </c>
      <c r="F6" s="305">
        <f ca="1">INDIRECT("'数据-取费表'!u"&amp;$G$1)</f>
        <v>0</v>
      </c>
      <c r="G6" s="1376"/>
      <c r="H6" s="1076" t="s">
        <v>640</v>
      </c>
      <c r="I6" s="3568" t="s">
        <v>932</v>
      </c>
      <c r="J6" s="303">
        <f ca="1">ROUND(M6*M8*M7*(1-M9),0)</f>
        <v>0</v>
      </c>
      <c r="K6" s="1368" t="s">
        <v>2391</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7" t="s">
        <v>2609</v>
      </c>
      <c r="K2" s="3578"/>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9" t="s">
        <v>2619</v>
      </c>
      <c r="K3" s="3580"/>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9" t="s">
        <v>2621</v>
      </c>
      <c r="K4" s="3580"/>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5" t="s">
        <v>2625</v>
      </c>
      <c r="B6" s="3586"/>
      <c r="C6" s="3587"/>
      <c r="D6" s="2693"/>
      <c r="E6" s="2694"/>
      <c r="F6" s="2695"/>
      <c r="G6" s="2696"/>
      <c r="H6" s="2671"/>
      <c r="I6" s="2672"/>
      <c r="J6" s="3571">
        <v>1</v>
      </c>
      <c r="K6" s="3572"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71"/>
      <c r="K7" s="3573"/>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8" t="s">
        <v>2639</v>
      </c>
      <c r="C8" s="3589"/>
      <c r="D8" s="2712" t="s">
        <v>2640</v>
      </c>
      <c r="E8" s="2713" t="s">
        <v>2641</v>
      </c>
      <c r="F8" s="2714" t="s">
        <v>2642</v>
      </c>
      <c r="G8" s="2715"/>
      <c r="H8" s="2671"/>
      <c r="I8" s="2672"/>
      <c r="J8" s="3571"/>
      <c r="K8" s="3573"/>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8" t="s">
        <v>2645</v>
      </c>
      <c r="C9" s="3589"/>
      <c r="D9" s="2712">
        <f>ROUND(D6*E9,0)</f>
        <v>0</v>
      </c>
      <c r="E9" s="2716"/>
      <c r="F9" s="2717" t="s">
        <v>2646</v>
      </c>
      <c r="G9" s="2696"/>
      <c r="H9" s="2671"/>
      <c r="I9" s="2672"/>
      <c r="J9" s="3571"/>
      <c r="K9" s="3573"/>
      <c r="L9" s="2706" t="s">
        <v>2647</v>
      </c>
      <c r="M9" s="2707"/>
      <c r="N9" s="2683"/>
      <c r="O9" s="2708"/>
      <c r="P9" s="2708"/>
      <c r="Q9" s="2709">
        <v>365</v>
      </c>
      <c r="R9" s="2710">
        <f t="shared" si="0"/>
        <v>0</v>
      </c>
      <c r="S9" s="2664"/>
      <c r="T9" s="2664"/>
      <c r="U9" s="2664"/>
      <c r="V9" s="2672"/>
    </row>
    <row r="10" spans="1:22" s="2676" customFormat="1" ht="13.15" customHeight="1">
      <c r="A10" s="2711">
        <v>2</v>
      </c>
      <c r="B10" s="3588" t="s">
        <v>2648</v>
      </c>
      <c r="C10" s="3589"/>
      <c r="D10" s="2712">
        <f>ROUND(D6*E10,0)</f>
        <v>0</v>
      </c>
      <c r="E10" s="2716"/>
      <c r="F10" s="2717" t="s">
        <v>2649</v>
      </c>
      <c r="G10" s="2696"/>
      <c r="H10" s="2671"/>
      <c r="I10" s="2672"/>
      <c r="J10" s="3571"/>
      <c r="K10" s="3573"/>
      <c r="L10" s="2706" t="s">
        <v>2650</v>
      </c>
      <c r="M10" s="2707"/>
      <c r="N10" s="2683"/>
      <c r="O10" s="2708"/>
      <c r="P10" s="2708"/>
      <c r="Q10" s="2709">
        <v>365</v>
      </c>
      <c r="R10" s="2710">
        <f t="shared" si="0"/>
        <v>0</v>
      </c>
      <c r="S10" s="2664"/>
      <c r="T10" s="2664"/>
      <c r="U10" s="2664"/>
      <c r="V10" s="2672"/>
    </row>
    <row r="11" spans="1:22" s="2676" customFormat="1" ht="13.15" customHeight="1">
      <c r="A11" s="2711">
        <v>3</v>
      </c>
      <c r="B11" s="3588" t="s">
        <v>2651</v>
      </c>
      <c r="C11" s="3589"/>
      <c r="D11" s="2712">
        <f>D12+D14+D15+D16</f>
        <v>0</v>
      </c>
      <c r="E11" s="2718" t="e">
        <f>D11/D6</f>
        <v>#DIV/0!</v>
      </c>
      <c r="F11" s="2714"/>
      <c r="G11" s="2715"/>
      <c r="H11" s="2671"/>
      <c r="I11" s="2672"/>
      <c r="J11" s="3571"/>
      <c r="K11" s="3573"/>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81" t="s">
        <v>2654</v>
      </c>
      <c r="C12" s="3582"/>
      <c r="D12" s="2720">
        <f>ROUND(D13*1.2%*(1-30%),0)</f>
        <v>0</v>
      </c>
      <c r="E12" s="2721">
        <v>1.2E-2</v>
      </c>
      <c r="F12" s="2714" t="s">
        <v>2655</v>
      </c>
      <c r="G12" s="2715"/>
      <c r="H12" s="2671"/>
      <c r="I12" s="2672"/>
      <c r="J12" s="3571"/>
      <c r="K12" s="3573"/>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71"/>
      <c r="K13" s="3573"/>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81" t="s">
        <v>2660</v>
      </c>
      <c r="C14" s="3582"/>
      <c r="D14" s="2720">
        <f>ROUND(E14*B5/10000,0)</f>
        <v>0</v>
      </c>
      <c r="E14" s="2709"/>
      <c r="F14" s="2714" t="s">
        <v>2661</v>
      </c>
      <c r="G14" s="2715"/>
      <c r="H14" s="2671"/>
      <c r="I14" s="2672"/>
      <c r="J14" s="3571"/>
      <c r="K14" s="3574"/>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81" t="s">
        <v>2664</v>
      </c>
      <c r="C15" s="3582"/>
      <c r="D15" s="2720">
        <f>ROUND(D6*E15,0)</f>
        <v>0</v>
      </c>
      <c r="E15" s="2721">
        <v>5.5E-2</v>
      </c>
      <c r="F15" s="2714" t="s">
        <v>2665</v>
      </c>
      <c r="G15" s="2696"/>
      <c r="H15" s="2671"/>
      <c r="I15" s="2672"/>
      <c r="J15" s="3571">
        <v>2</v>
      </c>
      <c r="K15" s="3572"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81" t="s">
        <v>2673</v>
      </c>
      <c r="C16" s="3582"/>
      <c r="D16" s="2731">
        <f>D6*E16</f>
        <v>0</v>
      </c>
      <c r="E16" s="2732"/>
      <c r="F16" s="2717" t="s">
        <v>2674</v>
      </c>
      <c r="G16" s="2696"/>
      <c r="H16" s="2671"/>
      <c r="I16" s="2672"/>
      <c r="J16" s="3571"/>
      <c r="K16" s="3573"/>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3" t="s">
        <v>2676</v>
      </c>
      <c r="C17" s="3584"/>
      <c r="D17" s="2734">
        <f>ROUND(D6*E17,0)</f>
        <v>0</v>
      </c>
      <c r="E17" s="2735"/>
      <c r="F17" s="2736" t="s">
        <v>2677</v>
      </c>
      <c r="G17" s="2696"/>
      <c r="H17" s="2671"/>
      <c r="I17" s="2672"/>
      <c r="J17" s="3571"/>
      <c r="K17" s="3573"/>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71"/>
      <c r="K18" s="3573"/>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71"/>
      <c r="K19" s="3574"/>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71">
        <v>3</v>
      </c>
      <c r="K20" s="3572"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71"/>
      <c r="K21" s="3573"/>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71"/>
      <c r="K22" s="3573"/>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71"/>
      <c r="K23" s="3573"/>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71"/>
      <c r="K24" s="3574"/>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5">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6"/>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7" t="s">
        <v>2609</v>
      </c>
      <c r="K32" s="3578"/>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9" t="s">
        <v>2619</v>
      </c>
      <c r="K33" s="3580"/>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9" t="s">
        <v>2621</v>
      </c>
      <c r="K34" s="3580"/>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71">
        <v>1</v>
      </c>
      <c r="K36" s="3572"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71"/>
      <c r="K37" s="3573"/>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71"/>
      <c r="K38" s="3573"/>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71"/>
      <c r="K39" s="3573"/>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71"/>
      <c r="K40" s="3574"/>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5">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6"/>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90" t="s">
        <v>1907</v>
      </c>
      <c r="C5" s="3591"/>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10" t="s">
        <v>1921</v>
      </c>
      <c r="D4" s="3611"/>
      <c r="E4" s="3612" t="s">
        <v>1922</v>
      </c>
      <c r="F4" s="3613"/>
      <c r="G4" s="3610" t="s">
        <v>1923</v>
      </c>
      <c r="H4" s="3611"/>
      <c r="I4" s="3610" t="s">
        <v>1924</v>
      </c>
      <c r="J4" s="3611"/>
      <c r="K4" s="1883" t="s">
        <v>1925</v>
      </c>
      <c r="L4" s="2542"/>
      <c r="M4" s="2543"/>
      <c r="N4" s="2543"/>
      <c r="O4" s="2543"/>
      <c r="P4" s="3614" t="s">
        <v>1926</v>
      </c>
      <c r="Q4" s="3615"/>
      <c r="R4" s="3620" t="s">
        <v>1922</v>
      </c>
      <c r="S4" s="3621"/>
      <c r="T4" s="3620" t="s">
        <v>1923</v>
      </c>
      <c r="U4" s="3621"/>
      <c r="V4" s="3626" t="s">
        <v>1924</v>
      </c>
      <c r="W4" s="3626"/>
      <c r="X4" s="1348"/>
      <c r="Y4" s="3620" t="s">
        <v>1926</v>
      </c>
      <c r="Z4" s="3621"/>
      <c r="AA4" s="3607" t="s">
        <v>1922</v>
      </c>
      <c r="AB4" s="3607" t="s">
        <v>1923</v>
      </c>
      <c r="AC4" s="3607" t="s">
        <v>1924</v>
      </c>
    </row>
    <row r="5" spans="1:29" ht="15">
      <c r="A5" s="360"/>
      <c r="B5" s="361"/>
      <c r="C5" s="3629" t="s">
        <v>1927</v>
      </c>
      <c r="D5" s="3630"/>
      <c r="E5" s="3636" t="s">
        <v>1928</v>
      </c>
      <c r="F5" s="3637"/>
      <c r="G5" s="3629" t="s">
        <v>1929</v>
      </c>
      <c r="H5" s="3630"/>
      <c r="I5" s="3629" t="s">
        <v>1930</v>
      </c>
      <c r="J5" s="3630"/>
      <c r="K5" s="1884"/>
      <c r="L5" s="2542"/>
      <c r="M5" s="2543"/>
      <c r="N5" s="2543"/>
      <c r="O5" s="2543"/>
      <c r="P5" s="3616"/>
      <c r="Q5" s="3617"/>
      <c r="R5" s="3622"/>
      <c r="S5" s="3623"/>
      <c r="T5" s="3622"/>
      <c r="U5" s="3623"/>
      <c r="V5" s="3626"/>
      <c r="W5" s="3626"/>
      <c r="X5" s="1348"/>
      <c r="Y5" s="3622"/>
      <c r="Z5" s="3623"/>
      <c r="AA5" s="3608"/>
      <c r="AB5" s="3608"/>
      <c r="AC5" s="3608"/>
    </row>
    <row r="6" spans="1:29" ht="15.75" thickBot="1">
      <c r="A6" s="362"/>
      <c r="B6" s="363"/>
      <c r="C6" s="3627" t="s">
        <v>1931</v>
      </c>
      <c r="D6" s="3628"/>
      <c r="E6" s="3634" t="s">
        <v>1931</v>
      </c>
      <c r="F6" s="3635"/>
      <c r="G6" s="3627" t="s">
        <v>1931</v>
      </c>
      <c r="H6" s="3628"/>
      <c r="I6" s="3627" t="s">
        <v>1931</v>
      </c>
      <c r="J6" s="3628"/>
      <c r="K6" s="1884" t="s">
        <v>1932</v>
      </c>
      <c r="L6" s="2542"/>
      <c r="M6" s="2543"/>
      <c r="N6" s="2543"/>
      <c r="O6" s="2543"/>
      <c r="P6" s="3618"/>
      <c r="Q6" s="3619"/>
      <c r="R6" s="3622"/>
      <c r="S6" s="3623"/>
      <c r="T6" s="3624"/>
      <c r="U6" s="3625"/>
      <c r="V6" s="3626"/>
      <c r="W6" s="3626"/>
      <c r="X6" s="1348"/>
      <c r="Y6" s="3624"/>
      <c r="Z6" s="3625"/>
      <c r="AA6" s="3609"/>
      <c r="AB6" s="3609"/>
      <c r="AC6" s="3609"/>
    </row>
    <row r="7" spans="1:29" s="112" customFormat="1" ht="15.75" thickBot="1">
      <c r="A7" s="364" t="s">
        <v>1933</v>
      </c>
      <c r="B7" s="365"/>
      <c r="C7" s="366">
        <f>'数据-取费表'!B2</f>
        <v>44680</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31" t="s">
        <v>1934</v>
      </c>
      <c r="Q7" s="3633"/>
      <c r="R7" s="705" t="s">
        <v>23</v>
      </c>
      <c r="S7" s="706">
        <f t="shared" ref="S7:S15" si="0">F7</f>
        <v>0</v>
      </c>
      <c r="T7" s="705" t="s">
        <v>23</v>
      </c>
      <c r="U7" s="706">
        <f t="shared" ref="U7:U15" si="1">H7</f>
        <v>0</v>
      </c>
      <c r="V7" s="705" t="s">
        <v>23</v>
      </c>
      <c r="W7" s="706">
        <f t="shared" ref="W7:W15" si="2">J7</f>
        <v>0</v>
      </c>
      <c r="X7" s="707"/>
      <c r="Y7" s="3631" t="s">
        <v>1934</v>
      </c>
      <c r="Z7" s="3632"/>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31" t="s">
        <v>1937</v>
      </c>
      <c r="Q8" s="3632"/>
      <c r="R8" s="705" t="s">
        <v>23</v>
      </c>
      <c r="S8" s="706">
        <f t="shared" si="0"/>
        <v>0</v>
      </c>
      <c r="T8" s="705" t="s">
        <v>23</v>
      </c>
      <c r="U8" s="706">
        <f t="shared" si="1"/>
        <v>0</v>
      </c>
      <c r="V8" s="705" t="s">
        <v>23</v>
      </c>
      <c r="W8" s="706">
        <f t="shared" si="2"/>
        <v>0</v>
      </c>
      <c r="X8" s="707"/>
      <c r="Y8" s="3631" t="s">
        <v>1937</v>
      </c>
      <c r="Z8" s="3632"/>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6"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6"/>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6"/>
      <c r="Q11" s="1338" t="str">
        <f t="shared" si="6"/>
        <v>容积率</v>
      </c>
      <c r="R11" s="705" t="s">
        <v>21</v>
      </c>
      <c r="S11" s="706" t="e">
        <f t="shared" si="0"/>
        <v>#N/A</v>
      </c>
      <c r="T11" s="705" t="s">
        <v>21</v>
      </c>
      <c r="U11" s="706" t="e">
        <f t="shared" si="1"/>
        <v>#N/A</v>
      </c>
      <c r="V11" s="705" t="s">
        <v>21</v>
      </c>
      <c r="W11" s="706" t="e">
        <f t="shared" si="2"/>
        <v>#N/A</v>
      </c>
      <c r="X11" s="707"/>
      <c r="Y11" s="3467"/>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6"/>
      <c r="Q12" s="1338">
        <f t="shared" si="6"/>
        <v>111</v>
      </c>
      <c r="R12" s="705" t="s">
        <v>21</v>
      </c>
      <c r="S12" s="706">
        <f t="shared" si="0"/>
        <v>100</v>
      </c>
      <c r="T12" s="705" t="s">
        <v>21</v>
      </c>
      <c r="U12" s="706">
        <f t="shared" si="1"/>
        <v>100</v>
      </c>
      <c r="V12" s="705" t="s">
        <v>21</v>
      </c>
      <c r="W12" s="706">
        <f t="shared" si="2"/>
        <v>100</v>
      </c>
      <c r="X12" s="707"/>
      <c r="Y12" s="346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6"/>
      <c r="Q13" s="1338">
        <f t="shared" si="6"/>
        <v>111</v>
      </c>
      <c r="R13" s="705" t="s">
        <v>21</v>
      </c>
      <c r="S13" s="706">
        <f t="shared" si="0"/>
        <v>100</v>
      </c>
      <c r="T13" s="705" t="s">
        <v>21</v>
      </c>
      <c r="U13" s="706">
        <f t="shared" si="1"/>
        <v>100</v>
      </c>
      <c r="V13" s="705" t="s">
        <v>21</v>
      </c>
      <c r="W13" s="706">
        <f t="shared" si="2"/>
        <v>100</v>
      </c>
      <c r="X13" s="707"/>
      <c r="Y13" s="3467"/>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6"/>
      <c r="Q14" s="1338">
        <f t="shared" si="6"/>
        <v>111</v>
      </c>
      <c r="R14" s="705" t="s">
        <v>21</v>
      </c>
      <c r="S14" s="706">
        <f t="shared" si="0"/>
        <v>100</v>
      </c>
      <c r="T14" s="705" t="s">
        <v>21</v>
      </c>
      <c r="U14" s="706">
        <f t="shared" si="1"/>
        <v>100</v>
      </c>
      <c r="V14" s="705" t="s">
        <v>21</v>
      </c>
      <c r="W14" s="706">
        <f t="shared" si="2"/>
        <v>100</v>
      </c>
      <c r="X14" s="707"/>
      <c r="Y14" s="3467"/>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4" t="s">
        <v>1945</v>
      </c>
      <c r="Q15" s="1345" t="str">
        <f t="shared" si="6"/>
        <v>居住社区成熟度</v>
      </c>
      <c r="R15" s="709" t="s">
        <v>21</v>
      </c>
      <c r="S15" s="710">
        <f t="shared" si="0"/>
        <v>100</v>
      </c>
      <c r="T15" s="709" t="s">
        <v>21</v>
      </c>
      <c r="U15" s="710">
        <f t="shared" si="1"/>
        <v>100</v>
      </c>
      <c r="V15" s="709" t="s">
        <v>21</v>
      </c>
      <c r="W15" s="710">
        <f t="shared" si="2"/>
        <v>100</v>
      </c>
      <c r="X15" s="1348"/>
      <c r="Y15" s="3597"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5"/>
      <c r="Q16" s="1345"/>
      <c r="R16" s="709"/>
      <c r="S16" s="710"/>
      <c r="T16" s="709"/>
      <c r="U16" s="710"/>
      <c r="V16" s="709"/>
      <c r="W16" s="710"/>
      <c r="X16" s="1348"/>
      <c r="Y16" s="359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5"/>
      <c r="Q17" s="1345" t="str">
        <f>B17</f>
        <v>交通便捷度</v>
      </c>
      <c r="R17" s="709" t="s">
        <v>21</v>
      </c>
      <c r="S17" s="710">
        <f>F17</f>
        <v>100</v>
      </c>
      <c r="T17" s="709" t="s">
        <v>21</v>
      </c>
      <c r="U17" s="710">
        <f>H17</f>
        <v>100</v>
      </c>
      <c r="V17" s="709" t="s">
        <v>21</v>
      </c>
      <c r="W17" s="710">
        <f>J17</f>
        <v>100</v>
      </c>
      <c r="X17" s="1348"/>
      <c r="Y17" s="3598"/>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5"/>
      <c r="Q18" s="1345"/>
      <c r="R18" s="709"/>
      <c r="S18" s="710"/>
      <c r="T18" s="709"/>
      <c r="U18" s="710"/>
      <c r="V18" s="709"/>
      <c r="W18" s="710"/>
      <c r="X18" s="1348"/>
      <c r="Y18" s="3598"/>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5"/>
      <c r="Q19" s="1345" t="str">
        <f>B19</f>
        <v>公共配套设施</v>
      </c>
      <c r="R19" s="709" t="s">
        <v>21</v>
      </c>
      <c r="S19" s="710">
        <f>F19</f>
        <v>100</v>
      </c>
      <c r="T19" s="709" t="s">
        <v>21</v>
      </c>
      <c r="U19" s="710">
        <f>H19</f>
        <v>100</v>
      </c>
      <c r="V19" s="709" t="s">
        <v>21</v>
      </c>
      <c r="W19" s="710">
        <f>J19</f>
        <v>100</v>
      </c>
      <c r="X19" s="1348"/>
      <c r="Y19" s="3598"/>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5"/>
      <c r="Q20" s="1345"/>
      <c r="R20" s="709"/>
      <c r="S20" s="710"/>
      <c r="T20" s="709"/>
      <c r="U20" s="710"/>
      <c r="V20" s="709"/>
      <c r="W20" s="710"/>
      <c r="X20" s="1348"/>
      <c r="Y20" s="3598"/>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5"/>
      <c r="Q21" s="1345" t="str">
        <f>B21</f>
        <v>基础设施水平</v>
      </c>
      <c r="R21" s="709" t="s">
        <v>17</v>
      </c>
      <c r="S21" s="710">
        <f>F21</f>
        <v>100</v>
      </c>
      <c r="T21" s="709" t="s">
        <v>17</v>
      </c>
      <c r="U21" s="710">
        <f>H21</f>
        <v>100</v>
      </c>
      <c r="V21" s="709" t="s">
        <v>17</v>
      </c>
      <c r="W21" s="710">
        <f>J21</f>
        <v>100</v>
      </c>
      <c r="X21" s="1348"/>
      <c r="Y21" s="359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5"/>
      <c r="Q22" s="1345"/>
      <c r="R22" s="709"/>
      <c r="S22" s="710"/>
      <c r="T22" s="709"/>
      <c r="U22" s="710"/>
      <c r="V22" s="709"/>
      <c r="W22" s="710"/>
      <c r="X22" s="1348"/>
      <c r="Y22" s="3598"/>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5"/>
      <c r="Q23" s="1345" t="str">
        <f>B23</f>
        <v>自然及人文环境</v>
      </c>
      <c r="R23" s="709" t="s">
        <v>21</v>
      </c>
      <c r="S23" s="710">
        <f>F23</f>
        <v>100</v>
      </c>
      <c r="T23" s="709" t="s">
        <v>21</v>
      </c>
      <c r="U23" s="710">
        <f>H23</f>
        <v>100</v>
      </c>
      <c r="V23" s="709" t="s">
        <v>21</v>
      </c>
      <c r="W23" s="710">
        <f>J23</f>
        <v>100</v>
      </c>
      <c r="X23" s="1348"/>
      <c r="Y23" s="3598"/>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5"/>
      <c r="Q24" s="1345"/>
      <c r="R24" s="709"/>
      <c r="S24" s="710"/>
      <c r="T24" s="709"/>
      <c r="U24" s="710"/>
      <c r="V24" s="709"/>
      <c r="W24" s="710"/>
      <c r="X24" s="1348"/>
      <c r="Y24" s="3598"/>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5"/>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8"/>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5"/>
      <c r="Q26" s="1345" t="str">
        <f t="shared" si="11"/>
        <v>朝向</v>
      </c>
      <c r="R26" s="709" t="s">
        <v>21</v>
      </c>
      <c r="S26" s="710">
        <f t="shared" si="12"/>
        <v>100</v>
      </c>
      <c r="T26" s="709" t="s">
        <v>21</v>
      </c>
      <c r="U26" s="710">
        <f t="shared" si="13"/>
        <v>100</v>
      </c>
      <c r="V26" s="709" t="s">
        <v>21</v>
      </c>
      <c r="W26" s="710">
        <f t="shared" si="14"/>
        <v>100</v>
      </c>
      <c r="X26" s="1348"/>
      <c r="Y26" s="3598"/>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5"/>
      <c r="Q27" s="1338">
        <f t="shared" si="11"/>
        <v>111</v>
      </c>
      <c r="R27" s="705" t="s">
        <v>21</v>
      </c>
      <c r="S27" s="706">
        <f t="shared" si="12"/>
        <v>100</v>
      </c>
      <c r="T27" s="705" t="s">
        <v>21</v>
      </c>
      <c r="U27" s="706">
        <f t="shared" si="13"/>
        <v>100</v>
      </c>
      <c r="V27" s="705" t="s">
        <v>21</v>
      </c>
      <c r="W27" s="706">
        <f t="shared" si="14"/>
        <v>100</v>
      </c>
      <c r="X27" s="707"/>
      <c r="Y27" s="3598"/>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5"/>
      <c r="Q28" s="1345">
        <f t="shared" si="11"/>
        <v>111</v>
      </c>
      <c r="R28" s="709" t="s">
        <v>21</v>
      </c>
      <c r="S28" s="710">
        <f t="shared" si="12"/>
        <v>100</v>
      </c>
      <c r="T28" s="709" t="s">
        <v>21</v>
      </c>
      <c r="U28" s="710">
        <f t="shared" si="13"/>
        <v>100</v>
      </c>
      <c r="V28" s="709" t="s">
        <v>21</v>
      </c>
      <c r="W28" s="710">
        <f t="shared" si="14"/>
        <v>100</v>
      </c>
      <c r="X28" s="1348"/>
      <c r="Y28" s="3598"/>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5"/>
      <c r="Q29" s="1345">
        <f t="shared" si="11"/>
        <v>111</v>
      </c>
      <c r="R29" s="709" t="s">
        <v>21</v>
      </c>
      <c r="S29" s="710">
        <f t="shared" si="12"/>
        <v>100</v>
      </c>
      <c r="T29" s="709" t="s">
        <v>21</v>
      </c>
      <c r="U29" s="710">
        <f t="shared" si="13"/>
        <v>100</v>
      </c>
      <c r="V29" s="709" t="s">
        <v>21</v>
      </c>
      <c r="W29" s="710">
        <f t="shared" si="14"/>
        <v>100</v>
      </c>
      <c r="X29" s="1348"/>
      <c r="Y29" s="3598"/>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5"/>
      <c r="Q30" s="1345">
        <f t="shared" si="11"/>
        <v>111</v>
      </c>
      <c r="R30" s="709" t="s">
        <v>21</v>
      </c>
      <c r="S30" s="710">
        <f t="shared" si="12"/>
        <v>100</v>
      </c>
      <c r="T30" s="709" t="s">
        <v>21</v>
      </c>
      <c r="U30" s="710">
        <f t="shared" si="13"/>
        <v>100</v>
      </c>
      <c r="V30" s="709" t="s">
        <v>21</v>
      </c>
      <c r="W30" s="710">
        <f t="shared" si="14"/>
        <v>100</v>
      </c>
      <c r="X30" s="1348"/>
      <c r="Y30" s="3598"/>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5"/>
      <c r="Q31" s="1345">
        <f t="shared" si="11"/>
        <v>111</v>
      </c>
      <c r="R31" s="709" t="s">
        <v>21</v>
      </c>
      <c r="S31" s="710">
        <f t="shared" si="12"/>
        <v>100</v>
      </c>
      <c r="T31" s="709" t="s">
        <v>21</v>
      </c>
      <c r="U31" s="710">
        <f t="shared" si="13"/>
        <v>100</v>
      </c>
      <c r="V31" s="709" t="s">
        <v>21</v>
      </c>
      <c r="W31" s="710">
        <f t="shared" si="14"/>
        <v>100</v>
      </c>
      <c r="X31" s="1348"/>
      <c r="Y31" s="3598"/>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9" t="s">
        <v>1950</v>
      </c>
      <c r="Q32" s="1345" t="str">
        <f t="shared" si="11"/>
        <v>建筑类型</v>
      </c>
      <c r="R32" s="709" t="s">
        <v>21</v>
      </c>
      <c r="S32" s="710">
        <f t="shared" si="12"/>
        <v>100</v>
      </c>
      <c r="T32" s="709" t="s">
        <v>21</v>
      </c>
      <c r="U32" s="710">
        <f t="shared" si="13"/>
        <v>100</v>
      </c>
      <c r="V32" s="709" t="s">
        <v>21</v>
      </c>
      <c r="W32" s="710">
        <f t="shared" si="14"/>
        <v>100</v>
      </c>
      <c r="X32" s="1348"/>
      <c r="Y32" s="3602"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00"/>
      <c r="Q33" s="711" t="str">
        <f t="shared" si="11"/>
        <v>项目建筑规模</v>
      </c>
      <c r="R33" s="712" t="s">
        <v>21</v>
      </c>
      <c r="S33" s="713" t="e">
        <f t="shared" si="12"/>
        <v>#N/A</v>
      </c>
      <c r="T33" s="712" t="s">
        <v>21</v>
      </c>
      <c r="U33" s="713" t="e">
        <f t="shared" si="13"/>
        <v>#N/A</v>
      </c>
      <c r="V33" s="712" t="s">
        <v>21</v>
      </c>
      <c r="W33" s="713" t="e">
        <f t="shared" si="14"/>
        <v>#N/A</v>
      </c>
      <c r="X33" s="714"/>
      <c r="Y33" s="3602"/>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00"/>
      <c r="Q34" s="1345" t="str">
        <f t="shared" si="11"/>
        <v>建筑结构</v>
      </c>
      <c r="R34" s="709" t="s">
        <v>21</v>
      </c>
      <c r="S34" s="710">
        <f t="shared" si="12"/>
        <v>100</v>
      </c>
      <c r="T34" s="709" t="s">
        <v>21</v>
      </c>
      <c r="U34" s="710">
        <f t="shared" si="13"/>
        <v>100</v>
      </c>
      <c r="V34" s="709" t="s">
        <v>21</v>
      </c>
      <c r="W34" s="710">
        <f t="shared" si="14"/>
        <v>100</v>
      </c>
      <c r="X34" s="1348"/>
      <c r="Y34" s="3602"/>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00"/>
      <c r="Q35" s="1345" t="str">
        <f t="shared" si="11"/>
        <v>建筑品质</v>
      </c>
      <c r="R35" s="709" t="s">
        <v>21</v>
      </c>
      <c r="S35" s="710">
        <f t="shared" si="12"/>
        <v>100</v>
      </c>
      <c r="T35" s="709" t="s">
        <v>21</v>
      </c>
      <c r="U35" s="710">
        <f t="shared" si="13"/>
        <v>100</v>
      </c>
      <c r="V35" s="709" t="s">
        <v>21</v>
      </c>
      <c r="W35" s="710">
        <f t="shared" si="14"/>
        <v>100</v>
      </c>
      <c r="X35" s="1348"/>
      <c r="Y35" s="3602"/>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00"/>
      <c r="Q36" s="1345" t="str">
        <f t="shared" si="11"/>
        <v>公共部分装修</v>
      </c>
      <c r="R36" s="709" t="s">
        <v>21</v>
      </c>
      <c r="S36" s="710">
        <f t="shared" si="12"/>
        <v>100</v>
      </c>
      <c r="T36" s="709" t="s">
        <v>21</v>
      </c>
      <c r="U36" s="710">
        <f t="shared" si="13"/>
        <v>100</v>
      </c>
      <c r="V36" s="709" t="s">
        <v>21</v>
      </c>
      <c r="W36" s="710">
        <f t="shared" si="14"/>
        <v>100</v>
      </c>
      <c r="X36" s="1348"/>
      <c r="Y36" s="3602"/>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00"/>
      <c r="Q37" s="1338" t="str">
        <f t="shared" si="11"/>
        <v>成新度</v>
      </c>
      <c r="R37" s="705" t="s">
        <v>21</v>
      </c>
      <c r="S37" s="706" t="e">
        <f t="shared" si="12"/>
        <v>#N/A</v>
      </c>
      <c r="T37" s="705" t="s">
        <v>21</v>
      </c>
      <c r="U37" s="706" t="e">
        <f t="shared" si="13"/>
        <v>#N/A</v>
      </c>
      <c r="V37" s="705" t="s">
        <v>21</v>
      </c>
      <c r="W37" s="706" t="e">
        <f t="shared" si="14"/>
        <v>#N/A</v>
      </c>
      <c r="X37" s="707"/>
      <c r="Y37" s="3602"/>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00" t="s">
        <v>1950</v>
      </c>
      <c r="Q38" s="1345" t="str">
        <f t="shared" si="11"/>
        <v>物业管理</v>
      </c>
      <c r="R38" s="709" t="s">
        <v>21</v>
      </c>
      <c r="S38" s="710">
        <f t="shared" si="12"/>
        <v>100</v>
      </c>
      <c r="T38" s="709" t="s">
        <v>21</v>
      </c>
      <c r="U38" s="710">
        <f t="shared" si="13"/>
        <v>100</v>
      </c>
      <c r="V38" s="709" t="s">
        <v>21</v>
      </c>
      <c r="W38" s="710">
        <f t="shared" si="14"/>
        <v>100</v>
      </c>
      <c r="X38" s="1348"/>
      <c r="Y38" s="3602"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00"/>
      <c r="Q39" s="1345" t="str">
        <f t="shared" si="11"/>
        <v>市政基础设施</v>
      </c>
      <c r="R39" s="709" t="s">
        <v>21</v>
      </c>
      <c r="S39" s="710">
        <f t="shared" si="12"/>
        <v>100</v>
      </c>
      <c r="T39" s="709" t="s">
        <v>21</v>
      </c>
      <c r="U39" s="710">
        <f t="shared" si="13"/>
        <v>100</v>
      </c>
      <c r="V39" s="709" t="s">
        <v>21</v>
      </c>
      <c r="W39" s="710">
        <f t="shared" si="14"/>
        <v>100</v>
      </c>
      <c r="X39" s="1348"/>
      <c r="Y39" s="3602"/>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00"/>
      <c r="Q40" s="1345" t="str">
        <f t="shared" si="11"/>
        <v>房型</v>
      </c>
      <c r="R40" s="709" t="s">
        <v>21</v>
      </c>
      <c r="S40" s="710">
        <f t="shared" si="12"/>
        <v>100</v>
      </c>
      <c r="T40" s="709" t="s">
        <v>21</v>
      </c>
      <c r="U40" s="710">
        <f t="shared" si="13"/>
        <v>100</v>
      </c>
      <c r="V40" s="709" t="s">
        <v>21</v>
      </c>
      <c r="W40" s="710">
        <f t="shared" si="14"/>
        <v>100</v>
      </c>
      <c r="X40" s="1348"/>
      <c r="Y40" s="3602"/>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00"/>
      <c r="Q41" s="711" t="str">
        <f t="shared" si="11"/>
        <v>单套/主力户型建筑面积</v>
      </c>
      <c r="R41" s="712" t="s">
        <v>21</v>
      </c>
      <c r="S41" s="713">
        <f t="shared" si="12"/>
        <v>100</v>
      </c>
      <c r="T41" s="712" t="s">
        <v>21</v>
      </c>
      <c r="U41" s="713">
        <f t="shared" si="13"/>
        <v>100</v>
      </c>
      <c r="V41" s="712" t="s">
        <v>21</v>
      </c>
      <c r="W41" s="713">
        <f t="shared" si="14"/>
        <v>100</v>
      </c>
      <c r="X41" s="714"/>
      <c r="Y41" s="3602"/>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00"/>
      <c r="Q42" s="1345" t="str">
        <f t="shared" si="11"/>
        <v>内部装修</v>
      </c>
      <c r="R42" s="709" t="s">
        <v>21</v>
      </c>
      <c r="S42" s="710">
        <f t="shared" si="12"/>
        <v>100</v>
      </c>
      <c r="T42" s="709" t="s">
        <v>21</v>
      </c>
      <c r="U42" s="710">
        <f t="shared" si="13"/>
        <v>100</v>
      </c>
      <c r="V42" s="709" t="s">
        <v>21</v>
      </c>
      <c r="W42" s="710">
        <f t="shared" si="14"/>
        <v>100</v>
      </c>
      <c r="X42" s="1348"/>
      <c r="Y42" s="3602"/>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00"/>
      <c r="Q43" s="1345" t="str">
        <f t="shared" si="11"/>
        <v>内部装修维护情况</v>
      </c>
      <c r="R43" s="709" t="s">
        <v>21</v>
      </c>
      <c r="S43" s="710">
        <f t="shared" si="12"/>
        <v>100</v>
      </c>
      <c r="T43" s="709" t="s">
        <v>21</v>
      </c>
      <c r="U43" s="710">
        <f t="shared" si="13"/>
        <v>100</v>
      </c>
      <c r="V43" s="709" t="s">
        <v>21</v>
      </c>
      <c r="W43" s="710">
        <f t="shared" si="14"/>
        <v>100</v>
      </c>
      <c r="X43" s="1348"/>
      <c r="Y43" s="3602"/>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00"/>
      <c r="Q44" s="1338">
        <f t="shared" si="11"/>
        <v>111</v>
      </c>
      <c r="R44" s="705" t="s">
        <v>21</v>
      </c>
      <c r="S44" s="706">
        <f t="shared" si="12"/>
        <v>100</v>
      </c>
      <c r="T44" s="705" t="s">
        <v>21</v>
      </c>
      <c r="U44" s="706">
        <f t="shared" si="13"/>
        <v>100</v>
      </c>
      <c r="V44" s="705" t="s">
        <v>21</v>
      </c>
      <c r="W44" s="706">
        <f t="shared" si="14"/>
        <v>100</v>
      </c>
      <c r="X44" s="707"/>
      <c r="Y44" s="3602"/>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00"/>
      <c r="Q45" s="1345">
        <f t="shared" si="11"/>
        <v>111</v>
      </c>
      <c r="R45" s="709" t="s">
        <v>21</v>
      </c>
      <c r="S45" s="710">
        <f t="shared" si="12"/>
        <v>100</v>
      </c>
      <c r="T45" s="709" t="s">
        <v>21</v>
      </c>
      <c r="U45" s="710">
        <f t="shared" si="13"/>
        <v>100</v>
      </c>
      <c r="V45" s="709" t="s">
        <v>21</v>
      </c>
      <c r="W45" s="710">
        <f t="shared" si="14"/>
        <v>100</v>
      </c>
      <c r="X45" s="1348"/>
      <c r="Y45" s="3602"/>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01"/>
      <c r="Q46" s="1345">
        <f t="shared" si="11"/>
        <v>111</v>
      </c>
      <c r="R46" s="709" t="s">
        <v>20</v>
      </c>
      <c r="S46" s="710">
        <f t="shared" si="12"/>
        <v>100</v>
      </c>
      <c r="T46" s="709" t="s">
        <v>20</v>
      </c>
      <c r="U46" s="710">
        <f t="shared" si="13"/>
        <v>100</v>
      </c>
      <c r="V46" s="709" t="s">
        <v>20</v>
      </c>
      <c r="W46" s="710">
        <f t="shared" si="14"/>
        <v>100</v>
      </c>
      <c r="X46" s="1348"/>
      <c r="Y46" s="3603"/>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5" t="str">
        <f>A47</f>
        <v>成交单价（元/平方米）</v>
      </c>
      <c r="Q47" s="3595"/>
      <c r="R47" s="3596">
        <f>E47</f>
        <v>0</v>
      </c>
      <c r="S47" s="3596"/>
      <c r="T47" s="3596">
        <f>G47</f>
        <v>0</v>
      </c>
      <c r="U47" s="3596"/>
      <c r="V47" s="3596">
        <f>I47</f>
        <v>0</v>
      </c>
      <c r="W47" s="3596"/>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2" t="str">
        <f>A49</f>
        <v>估价对象XX用房的比较价值（楼面单价，元/平方米）</v>
      </c>
      <c r="Q49" s="3593"/>
      <c r="R49" s="3594" t="e">
        <f>IF(F1="售价",ROUND(IF(D48="简单平均",AVERAGE(R48:V48),R48*F48+T48*H48+V48*J48),0),ROUND(IF(D48="简单平均",AVERAGE(R48:V48),R48*F48+T48*H48+V48*J48),1))</f>
        <v>#DIV/0!</v>
      </c>
      <c r="S49" s="3594"/>
      <c r="T49" s="3594"/>
      <c r="U49" s="3594"/>
      <c r="V49" s="3594"/>
      <c r="W49" s="359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620" t="s">
        <v>2032</v>
      </c>
      <c r="S4" s="3621"/>
      <c r="T4" s="3620" t="s">
        <v>2033</v>
      </c>
      <c r="U4" s="3621"/>
      <c r="V4" s="3626" t="s">
        <v>2034</v>
      </c>
      <c r="W4" s="3626"/>
      <c r="X4" s="1348"/>
      <c r="Y4" s="3620" t="s">
        <v>2036</v>
      </c>
      <c r="Z4" s="3621"/>
      <c r="AA4" s="3607" t="s">
        <v>2032</v>
      </c>
      <c r="AB4" s="3626" t="s">
        <v>2033</v>
      </c>
      <c r="AC4" s="3607" t="s">
        <v>2034</v>
      </c>
    </row>
    <row r="5" spans="1:29" ht="15">
      <c r="A5" s="360"/>
      <c r="B5" s="361"/>
      <c r="C5" s="3629" t="s">
        <v>1927</v>
      </c>
      <c r="D5" s="3630"/>
      <c r="E5" s="3636" t="s">
        <v>1928</v>
      </c>
      <c r="F5" s="3637"/>
      <c r="G5" s="3629" t="s">
        <v>1929</v>
      </c>
      <c r="H5" s="3630"/>
      <c r="I5" s="3629" t="s">
        <v>1930</v>
      </c>
      <c r="J5" s="3630"/>
      <c r="K5" s="563"/>
      <c r="L5" s="2542"/>
      <c r="M5" s="2543"/>
      <c r="N5" s="2543"/>
      <c r="O5" s="2543"/>
      <c r="P5" s="3616"/>
      <c r="Q5" s="3617"/>
      <c r="R5" s="3622"/>
      <c r="S5" s="3623"/>
      <c r="T5" s="3622"/>
      <c r="U5" s="3623"/>
      <c r="V5" s="3626"/>
      <c r="W5" s="3626"/>
      <c r="X5" s="1348"/>
      <c r="Y5" s="3622"/>
      <c r="Z5" s="3623"/>
      <c r="AA5" s="3608"/>
      <c r="AB5" s="3626"/>
      <c r="AC5" s="3608"/>
    </row>
    <row r="6" spans="1:29" ht="15.75" thickBot="1">
      <c r="A6" s="362"/>
      <c r="B6" s="363"/>
      <c r="C6" s="3627" t="s">
        <v>1931</v>
      </c>
      <c r="D6" s="3628"/>
      <c r="E6" s="3634" t="s">
        <v>1931</v>
      </c>
      <c r="F6" s="3635"/>
      <c r="G6" s="3627" t="s">
        <v>1931</v>
      </c>
      <c r="H6" s="3628"/>
      <c r="I6" s="3627" t="s">
        <v>1931</v>
      </c>
      <c r="J6" s="3628"/>
      <c r="K6" s="563" t="s">
        <v>1932</v>
      </c>
      <c r="L6" s="2542"/>
      <c r="M6" s="2543"/>
      <c r="N6" s="2543"/>
      <c r="O6" s="2543"/>
      <c r="P6" s="3618"/>
      <c r="Q6" s="3619"/>
      <c r="R6" s="3622"/>
      <c r="S6" s="3623"/>
      <c r="T6" s="3624"/>
      <c r="U6" s="3625"/>
      <c r="V6" s="3626"/>
      <c r="W6" s="3626"/>
      <c r="X6" s="1348"/>
      <c r="Y6" s="3624"/>
      <c r="Z6" s="3625"/>
      <c r="AA6" s="3609"/>
      <c r="AB6" s="3626"/>
      <c r="AC6" s="3609"/>
    </row>
    <row r="7" spans="1:29" s="112" customFormat="1" ht="15.75" thickBot="1">
      <c r="A7" s="364" t="s">
        <v>1933</v>
      </c>
      <c r="B7" s="365"/>
      <c r="C7" s="366">
        <f>'数据-取费表'!B2</f>
        <v>44680</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31" t="s">
        <v>1934</v>
      </c>
      <c r="Q7" s="3633"/>
      <c r="R7" s="705" t="s">
        <v>17</v>
      </c>
      <c r="S7" s="706">
        <f t="shared" ref="S7:S15" si="0">F7</f>
        <v>0</v>
      </c>
      <c r="T7" s="705" t="s">
        <v>17</v>
      </c>
      <c r="U7" s="706">
        <f t="shared" ref="U7:U15" si="1">H7</f>
        <v>0</v>
      </c>
      <c r="V7" s="705" t="s">
        <v>17</v>
      </c>
      <c r="W7" s="706">
        <f t="shared" ref="W7:W15" si="2">J7</f>
        <v>0</v>
      </c>
      <c r="X7" s="707"/>
      <c r="Y7" s="3631" t="s">
        <v>1934</v>
      </c>
      <c r="Z7" s="3632"/>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31" t="s">
        <v>1937</v>
      </c>
      <c r="Q8" s="3632"/>
      <c r="R8" s="705" t="s">
        <v>17</v>
      </c>
      <c r="S8" s="706">
        <f t="shared" si="0"/>
        <v>0</v>
      </c>
      <c r="T8" s="705" t="s">
        <v>17</v>
      </c>
      <c r="U8" s="706">
        <f t="shared" si="1"/>
        <v>0</v>
      </c>
      <c r="V8" s="705" t="s">
        <v>17</v>
      </c>
      <c r="W8" s="706">
        <f t="shared" si="2"/>
        <v>0</v>
      </c>
      <c r="X8" s="707"/>
      <c r="Y8" s="3631" t="s">
        <v>1937</v>
      </c>
      <c r="Z8" s="3632"/>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6"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6"/>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6"/>
      <c r="Q11" s="1338" t="str">
        <f t="shared" si="6"/>
        <v>容积率</v>
      </c>
      <c r="R11" s="705" t="s">
        <v>17</v>
      </c>
      <c r="S11" s="706" t="e">
        <f t="shared" si="0"/>
        <v>#N/A</v>
      </c>
      <c r="T11" s="705" t="s">
        <v>17</v>
      </c>
      <c r="U11" s="706" t="e">
        <f t="shared" si="1"/>
        <v>#N/A</v>
      </c>
      <c r="V11" s="705" t="s">
        <v>17</v>
      </c>
      <c r="W11" s="706" t="e">
        <f t="shared" si="2"/>
        <v>#N/A</v>
      </c>
      <c r="X11" s="707"/>
      <c r="Y11" s="346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6"/>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6"/>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6"/>
      <c r="Q14" s="1338">
        <f t="shared" si="6"/>
        <v>111</v>
      </c>
      <c r="R14" s="705" t="s">
        <v>17</v>
      </c>
      <c r="S14" s="706">
        <f t="shared" si="0"/>
        <v>100</v>
      </c>
      <c r="T14" s="705" t="s">
        <v>17</v>
      </c>
      <c r="U14" s="706">
        <f t="shared" si="1"/>
        <v>100</v>
      </c>
      <c r="V14" s="705" t="s">
        <v>17</v>
      </c>
      <c r="W14" s="706">
        <f t="shared" si="2"/>
        <v>100</v>
      </c>
      <c r="X14" s="707"/>
      <c r="Y14" s="3467"/>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4" t="s">
        <v>1945</v>
      </c>
      <c r="Q15" s="1345" t="str">
        <f t="shared" si="6"/>
        <v>商业繁华度</v>
      </c>
      <c r="R15" s="709" t="s">
        <v>17</v>
      </c>
      <c r="S15" s="710">
        <f t="shared" si="0"/>
        <v>100</v>
      </c>
      <c r="T15" s="709" t="s">
        <v>17</v>
      </c>
      <c r="U15" s="710">
        <f t="shared" si="1"/>
        <v>100</v>
      </c>
      <c r="V15" s="709" t="s">
        <v>17</v>
      </c>
      <c r="W15" s="710">
        <f t="shared" si="2"/>
        <v>100</v>
      </c>
      <c r="X15" s="1348"/>
      <c r="Y15" s="3597"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5"/>
      <c r="Q16" s="1345"/>
      <c r="R16" s="709"/>
      <c r="S16" s="710"/>
      <c r="T16" s="709"/>
      <c r="U16" s="710"/>
      <c r="V16" s="709"/>
      <c r="W16" s="710"/>
      <c r="X16" s="1348"/>
      <c r="Y16" s="359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5"/>
      <c r="Q17" s="1345" t="str">
        <f>B17</f>
        <v>交通便捷度</v>
      </c>
      <c r="R17" s="709" t="s">
        <v>17</v>
      </c>
      <c r="S17" s="710">
        <f>F17</f>
        <v>100</v>
      </c>
      <c r="T17" s="709" t="s">
        <v>17</v>
      </c>
      <c r="U17" s="710">
        <f>H17</f>
        <v>100</v>
      </c>
      <c r="V17" s="709" t="s">
        <v>17</v>
      </c>
      <c r="W17" s="710">
        <f>J17</f>
        <v>100</v>
      </c>
      <c r="X17" s="1348"/>
      <c r="Y17" s="359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5"/>
      <c r="Q18" s="1345"/>
      <c r="R18" s="709"/>
      <c r="S18" s="710"/>
      <c r="T18" s="709"/>
      <c r="U18" s="710"/>
      <c r="V18" s="709"/>
      <c r="W18" s="710"/>
      <c r="X18" s="1348"/>
      <c r="Y18" s="3598"/>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5"/>
      <c r="Q19" s="1345" t="str">
        <f>B19</f>
        <v>公共配套设施</v>
      </c>
      <c r="R19" s="709" t="s">
        <v>17</v>
      </c>
      <c r="S19" s="710">
        <f>F19</f>
        <v>100</v>
      </c>
      <c r="T19" s="709" t="s">
        <v>17</v>
      </c>
      <c r="U19" s="710">
        <f>H19</f>
        <v>100</v>
      </c>
      <c r="V19" s="709" t="s">
        <v>17</v>
      </c>
      <c r="W19" s="710">
        <f>J19</f>
        <v>100</v>
      </c>
      <c r="X19" s="1348"/>
      <c r="Y19" s="359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5"/>
      <c r="Q20" s="1345"/>
      <c r="R20" s="709"/>
      <c r="S20" s="710"/>
      <c r="T20" s="709"/>
      <c r="U20" s="710"/>
      <c r="V20" s="709"/>
      <c r="W20" s="710"/>
      <c r="X20" s="1348"/>
      <c r="Y20" s="3598"/>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5"/>
      <c r="Q21" s="1345" t="str">
        <f>B21</f>
        <v>基础设施水平</v>
      </c>
      <c r="R21" s="709" t="s">
        <v>17</v>
      </c>
      <c r="S21" s="710">
        <f>F21</f>
        <v>100</v>
      </c>
      <c r="T21" s="709" t="s">
        <v>17</v>
      </c>
      <c r="U21" s="710">
        <f>H21</f>
        <v>100</v>
      </c>
      <c r="V21" s="709" t="s">
        <v>17</v>
      </c>
      <c r="W21" s="710">
        <f>J21</f>
        <v>100</v>
      </c>
      <c r="X21" s="1348"/>
      <c r="Y21" s="359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5"/>
      <c r="Q22" s="1345"/>
      <c r="R22" s="709"/>
      <c r="S22" s="710"/>
      <c r="T22" s="709"/>
      <c r="U22" s="710"/>
      <c r="V22" s="709"/>
      <c r="W22" s="710"/>
      <c r="X22" s="1348"/>
      <c r="Y22" s="3598"/>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5"/>
      <c r="Q23" s="1345" t="str">
        <f>B23</f>
        <v>自然及人文环境</v>
      </c>
      <c r="R23" s="709" t="s">
        <v>17</v>
      </c>
      <c r="S23" s="710">
        <f>F23</f>
        <v>100</v>
      </c>
      <c r="T23" s="709" t="s">
        <v>17</v>
      </c>
      <c r="U23" s="710">
        <f>H23</f>
        <v>100</v>
      </c>
      <c r="V23" s="709" t="s">
        <v>17</v>
      </c>
      <c r="W23" s="710">
        <f>J23</f>
        <v>100</v>
      </c>
      <c r="X23" s="1348"/>
      <c r="Y23" s="3598"/>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5"/>
      <c r="Q24" s="1345"/>
      <c r="R24" s="709"/>
      <c r="S24" s="710"/>
      <c r="T24" s="709"/>
      <c r="U24" s="710"/>
      <c r="V24" s="709"/>
      <c r="W24" s="710"/>
      <c r="X24" s="1348"/>
      <c r="Y24" s="3598"/>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5"/>
      <c r="Q25" s="1345" t="str">
        <f t="shared" ref="Q25:Q46" si="11">B25</f>
        <v>临街状况</v>
      </c>
      <c r="R25" s="709" t="s">
        <v>17</v>
      </c>
      <c r="S25" s="710">
        <f>F25</f>
        <v>100</v>
      </c>
      <c r="T25" s="709" t="s">
        <v>17</v>
      </c>
      <c r="U25" s="710">
        <f>H25</f>
        <v>100</v>
      </c>
      <c r="V25" s="709" t="s">
        <v>17</v>
      </c>
      <c r="W25" s="710">
        <f>J25</f>
        <v>100</v>
      </c>
      <c r="X25" s="1348"/>
      <c r="Y25" s="3598"/>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5"/>
      <c r="Q26" s="1345" t="str">
        <f t="shared" si="11"/>
        <v>平面位置/可视性</v>
      </c>
      <c r="R26" s="709" t="s">
        <v>17</v>
      </c>
      <c r="S26" s="710">
        <f>F26</f>
        <v>100</v>
      </c>
      <c r="T26" s="709" t="s">
        <v>17</v>
      </c>
      <c r="U26" s="710">
        <f>H26</f>
        <v>100</v>
      </c>
      <c r="V26" s="709" t="s">
        <v>17</v>
      </c>
      <c r="W26" s="710">
        <f>J26</f>
        <v>100</v>
      </c>
      <c r="X26" s="1348"/>
      <c r="Y26" s="3598"/>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5"/>
      <c r="Q27" s="1338" t="str">
        <f t="shared" si="11"/>
        <v>人流量</v>
      </c>
      <c r="R27" s="705" t="s">
        <v>17</v>
      </c>
      <c r="S27" s="706">
        <f>F27</f>
        <v>100</v>
      </c>
      <c r="T27" s="705" t="s">
        <v>17</v>
      </c>
      <c r="U27" s="706">
        <f>H27</f>
        <v>100</v>
      </c>
      <c r="V27" s="705" t="s">
        <v>17</v>
      </c>
      <c r="W27" s="706">
        <f>J27</f>
        <v>100</v>
      </c>
      <c r="X27" s="707"/>
      <c r="Y27" s="3598"/>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5"/>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8"/>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5"/>
      <c r="Q29" s="1345">
        <f t="shared" si="11"/>
        <v>111</v>
      </c>
      <c r="R29" s="709" t="s">
        <v>17</v>
      </c>
      <c r="S29" s="710">
        <f t="shared" si="12"/>
        <v>100</v>
      </c>
      <c r="T29" s="709" t="s">
        <v>17</v>
      </c>
      <c r="U29" s="710">
        <f t="shared" si="13"/>
        <v>100</v>
      </c>
      <c r="V29" s="709" t="s">
        <v>17</v>
      </c>
      <c r="W29" s="710">
        <f t="shared" si="14"/>
        <v>100</v>
      </c>
      <c r="X29" s="1348"/>
      <c r="Y29" s="3598"/>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5"/>
      <c r="Q30" s="1345">
        <f t="shared" si="11"/>
        <v>111</v>
      </c>
      <c r="R30" s="709" t="s">
        <v>17</v>
      </c>
      <c r="S30" s="710">
        <f t="shared" si="12"/>
        <v>100</v>
      </c>
      <c r="T30" s="709" t="s">
        <v>17</v>
      </c>
      <c r="U30" s="710">
        <f t="shared" si="13"/>
        <v>100</v>
      </c>
      <c r="V30" s="709" t="s">
        <v>17</v>
      </c>
      <c r="W30" s="710">
        <f t="shared" si="14"/>
        <v>100</v>
      </c>
      <c r="X30" s="1348"/>
      <c r="Y30" s="3598"/>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5"/>
      <c r="Q31" s="1345">
        <f t="shared" si="11"/>
        <v>111</v>
      </c>
      <c r="R31" s="709" t="s">
        <v>17</v>
      </c>
      <c r="S31" s="710">
        <f t="shared" si="12"/>
        <v>100</v>
      </c>
      <c r="T31" s="709" t="s">
        <v>17</v>
      </c>
      <c r="U31" s="710">
        <f t="shared" si="13"/>
        <v>100</v>
      </c>
      <c r="V31" s="709" t="s">
        <v>17</v>
      </c>
      <c r="W31" s="710">
        <f t="shared" si="14"/>
        <v>100</v>
      </c>
      <c r="X31" s="1348"/>
      <c r="Y31" s="3598"/>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9" t="s">
        <v>1950</v>
      </c>
      <c r="Q32" s="1345" t="str">
        <f t="shared" si="11"/>
        <v>商业类型</v>
      </c>
      <c r="R32" s="709" t="s">
        <v>17</v>
      </c>
      <c r="S32" s="710">
        <f t="shared" si="12"/>
        <v>100</v>
      </c>
      <c r="T32" s="709" t="s">
        <v>17</v>
      </c>
      <c r="U32" s="710">
        <f t="shared" si="13"/>
        <v>100</v>
      </c>
      <c r="V32" s="709" t="s">
        <v>17</v>
      </c>
      <c r="W32" s="710">
        <f t="shared" si="14"/>
        <v>100</v>
      </c>
      <c r="X32" s="1348"/>
      <c r="Y32" s="3602"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00"/>
      <c r="Q33" s="711" t="str">
        <f t="shared" si="11"/>
        <v>项目建筑规模</v>
      </c>
      <c r="R33" s="712" t="s">
        <v>17</v>
      </c>
      <c r="S33" s="713" t="e">
        <f t="shared" si="12"/>
        <v>#N/A</v>
      </c>
      <c r="T33" s="712" t="s">
        <v>17</v>
      </c>
      <c r="U33" s="713" t="e">
        <f t="shared" si="13"/>
        <v>#N/A</v>
      </c>
      <c r="V33" s="712" t="s">
        <v>17</v>
      </c>
      <c r="W33" s="713" t="e">
        <f t="shared" si="14"/>
        <v>#N/A</v>
      </c>
      <c r="X33" s="714"/>
      <c r="Y33" s="3602"/>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00"/>
      <c r="Q34" s="1345" t="str">
        <f t="shared" si="11"/>
        <v>建筑结构</v>
      </c>
      <c r="R34" s="709" t="s">
        <v>17</v>
      </c>
      <c r="S34" s="710">
        <f t="shared" si="12"/>
        <v>100</v>
      </c>
      <c r="T34" s="709" t="s">
        <v>17</v>
      </c>
      <c r="U34" s="710">
        <f t="shared" si="13"/>
        <v>100</v>
      </c>
      <c r="V34" s="709" t="s">
        <v>17</v>
      </c>
      <c r="W34" s="710">
        <f t="shared" si="14"/>
        <v>100</v>
      </c>
      <c r="X34" s="1348"/>
      <c r="Y34" s="3602"/>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00"/>
      <c r="Q35" s="1345" t="str">
        <f t="shared" si="11"/>
        <v>公共部分装修</v>
      </c>
      <c r="R35" s="709" t="s">
        <v>17</v>
      </c>
      <c r="S35" s="710">
        <f t="shared" si="12"/>
        <v>100</v>
      </c>
      <c r="T35" s="709" t="s">
        <v>17</v>
      </c>
      <c r="U35" s="710">
        <f t="shared" si="13"/>
        <v>100</v>
      </c>
      <c r="V35" s="709" t="s">
        <v>17</v>
      </c>
      <c r="W35" s="710">
        <f t="shared" si="14"/>
        <v>100</v>
      </c>
      <c r="X35" s="1348"/>
      <c r="Y35" s="3602"/>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00"/>
      <c r="Q36" s="1345" t="str">
        <f t="shared" si="11"/>
        <v>成新度</v>
      </c>
      <c r="R36" s="709" t="s">
        <v>17</v>
      </c>
      <c r="S36" s="710" t="e">
        <f t="shared" si="12"/>
        <v>#N/A</v>
      </c>
      <c r="T36" s="709" t="s">
        <v>17</v>
      </c>
      <c r="U36" s="710" t="e">
        <f t="shared" si="13"/>
        <v>#N/A</v>
      </c>
      <c r="V36" s="709" t="s">
        <v>17</v>
      </c>
      <c r="W36" s="710" t="e">
        <f t="shared" si="14"/>
        <v>#N/A</v>
      </c>
      <c r="X36" s="1348"/>
      <c r="Y36" s="3602"/>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00"/>
      <c r="Q37" s="1338" t="str">
        <f t="shared" si="11"/>
        <v>市政基础设施</v>
      </c>
      <c r="R37" s="705" t="s">
        <v>17</v>
      </c>
      <c r="S37" s="706">
        <f t="shared" si="12"/>
        <v>100</v>
      </c>
      <c r="T37" s="705" t="s">
        <v>17</v>
      </c>
      <c r="U37" s="706">
        <f t="shared" si="13"/>
        <v>100</v>
      </c>
      <c r="V37" s="705" t="s">
        <v>17</v>
      </c>
      <c r="W37" s="706">
        <f t="shared" si="14"/>
        <v>100</v>
      </c>
      <c r="X37" s="707"/>
      <c r="Y37" s="3602"/>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00" t="s">
        <v>1950</v>
      </c>
      <c r="Q38" s="1345" t="str">
        <f t="shared" si="11"/>
        <v>业态</v>
      </c>
      <c r="R38" s="709" t="s">
        <v>17</v>
      </c>
      <c r="S38" s="710">
        <f t="shared" si="12"/>
        <v>100</v>
      </c>
      <c r="T38" s="709" t="s">
        <v>17</v>
      </c>
      <c r="U38" s="710">
        <f t="shared" si="13"/>
        <v>100</v>
      </c>
      <c r="V38" s="709" t="s">
        <v>17</v>
      </c>
      <c r="W38" s="710">
        <f t="shared" si="14"/>
        <v>100</v>
      </c>
      <c r="X38" s="1348"/>
      <c r="Y38" s="3602"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00"/>
      <c r="Q39" s="1345" t="str">
        <f t="shared" si="11"/>
        <v>层高</v>
      </c>
      <c r="R39" s="709" t="s">
        <v>17</v>
      </c>
      <c r="S39" s="710">
        <f t="shared" si="12"/>
        <v>100</v>
      </c>
      <c r="T39" s="709" t="s">
        <v>17</v>
      </c>
      <c r="U39" s="710">
        <f t="shared" si="13"/>
        <v>100</v>
      </c>
      <c r="V39" s="709" t="s">
        <v>17</v>
      </c>
      <c r="W39" s="710">
        <f t="shared" si="14"/>
        <v>100</v>
      </c>
      <c r="X39" s="1348"/>
      <c r="Y39" s="3602"/>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00"/>
      <c r="Q40" s="1345" t="str">
        <f t="shared" si="11"/>
        <v>单套建筑面积</v>
      </c>
      <c r="R40" s="709" t="s">
        <v>17</v>
      </c>
      <c r="S40" s="710">
        <f t="shared" si="12"/>
        <v>100</v>
      </c>
      <c r="T40" s="709" t="s">
        <v>17</v>
      </c>
      <c r="U40" s="710">
        <f t="shared" si="13"/>
        <v>100</v>
      </c>
      <c r="V40" s="709" t="s">
        <v>17</v>
      </c>
      <c r="W40" s="710">
        <f t="shared" si="14"/>
        <v>100</v>
      </c>
      <c r="X40" s="1348"/>
      <c r="Y40" s="3602"/>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00"/>
      <c r="Q41" s="711" t="str">
        <f t="shared" si="11"/>
        <v>进深比</v>
      </c>
      <c r="R41" s="712" t="s">
        <v>17</v>
      </c>
      <c r="S41" s="713">
        <f t="shared" si="12"/>
        <v>100</v>
      </c>
      <c r="T41" s="712" t="s">
        <v>17</v>
      </c>
      <c r="U41" s="713">
        <f t="shared" si="13"/>
        <v>100</v>
      </c>
      <c r="V41" s="712" t="s">
        <v>17</v>
      </c>
      <c r="W41" s="713">
        <f t="shared" si="14"/>
        <v>100</v>
      </c>
      <c r="X41" s="714"/>
      <c r="Y41" s="3602"/>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00"/>
      <c r="Q42" s="1345" t="str">
        <f t="shared" si="11"/>
        <v>内部装修</v>
      </c>
      <c r="R42" s="709" t="s">
        <v>17</v>
      </c>
      <c r="S42" s="710">
        <f t="shared" si="12"/>
        <v>100</v>
      </c>
      <c r="T42" s="709" t="s">
        <v>17</v>
      </c>
      <c r="U42" s="710">
        <f t="shared" si="13"/>
        <v>100</v>
      </c>
      <c r="V42" s="709" t="s">
        <v>17</v>
      </c>
      <c r="W42" s="710">
        <f t="shared" si="14"/>
        <v>100</v>
      </c>
      <c r="X42" s="1348"/>
      <c r="Y42" s="3602"/>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00"/>
      <c r="Q43" s="1345" t="str">
        <f t="shared" si="11"/>
        <v>内部装修维护情况</v>
      </c>
      <c r="R43" s="709" t="s">
        <v>17</v>
      </c>
      <c r="S43" s="710">
        <f t="shared" si="12"/>
        <v>100</v>
      </c>
      <c r="T43" s="709" t="s">
        <v>17</v>
      </c>
      <c r="U43" s="710">
        <f t="shared" si="13"/>
        <v>100</v>
      </c>
      <c r="V43" s="709" t="s">
        <v>17</v>
      </c>
      <c r="W43" s="710">
        <f t="shared" si="14"/>
        <v>100</v>
      </c>
      <c r="X43" s="1348"/>
      <c r="Y43" s="3602"/>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00"/>
      <c r="Q44" s="1338">
        <f t="shared" si="11"/>
        <v>111</v>
      </c>
      <c r="R44" s="705" t="s">
        <v>17</v>
      </c>
      <c r="S44" s="706">
        <f t="shared" si="12"/>
        <v>100</v>
      </c>
      <c r="T44" s="705" t="s">
        <v>17</v>
      </c>
      <c r="U44" s="706">
        <f t="shared" si="13"/>
        <v>100</v>
      </c>
      <c r="V44" s="705" t="s">
        <v>17</v>
      </c>
      <c r="W44" s="706">
        <f t="shared" si="14"/>
        <v>100</v>
      </c>
      <c r="X44" s="707"/>
      <c r="Y44" s="3602"/>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00"/>
      <c r="Q45" s="1345">
        <f t="shared" si="11"/>
        <v>111</v>
      </c>
      <c r="R45" s="709" t="s">
        <v>17</v>
      </c>
      <c r="S45" s="710">
        <f t="shared" si="12"/>
        <v>100</v>
      </c>
      <c r="T45" s="709" t="s">
        <v>17</v>
      </c>
      <c r="U45" s="710">
        <f t="shared" si="13"/>
        <v>100</v>
      </c>
      <c r="V45" s="709" t="s">
        <v>17</v>
      </c>
      <c r="W45" s="710">
        <f t="shared" si="14"/>
        <v>100</v>
      </c>
      <c r="X45" s="1348"/>
      <c r="Y45" s="3602"/>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01"/>
      <c r="Q46" s="1345">
        <f t="shared" si="11"/>
        <v>111</v>
      </c>
      <c r="R46" s="709" t="s">
        <v>17</v>
      </c>
      <c r="S46" s="710">
        <f t="shared" si="12"/>
        <v>100</v>
      </c>
      <c r="T46" s="709" t="s">
        <v>17</v>
      </c>
      <c r="U46" s="710">
        <f t="shared" si="13"/>
        <v>100</v>
      </c>
      <c r="V46" s="709" t="s">
        <v>17</v>
      </c>
      <c r="W46" s="710">
        <f t="shared" si="14"/>
        <v>100</v>
      </c>
      <c r="X46" s="1348"/>
      <c r="Y46" s="3603"/>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5" t="str">
        <f>A47</f>
        <v>成交单价（元/平方米）</v>
      </c>
      <c r="Q47" s="3595"/>
      <c r="R47" s="3626">
        <f>E47</f>
        <v>0</v>
      </c>
      <c r="S47" s="3626"/>
      <c r="T47" s="3626">
        <f>G47</f>
        <v>0</v>
      </c>
      <c r="U47" s="3626"/>
      <c r="V47" s="3626">
        <f>I47</f>
        <v>0</v>
      </c>
      <c r="W47" s="3626"/>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2" t="str">
        <f>A49</f>
        <v>估价对象XX用房的比较价值（楼面单价，元/平方米）</v>
      </c>
      <c r="Q49" s="3593"/>
      <c r="R49" s="3594" t="e">
        <f>IF(F1="售价",ROUND(IF(D48="简单平均",AVERAGE(R48:V48),R48*F48+T48*H48+V48*J48),0),ROUND(IF(D48="简单平均",AVERAGE(R48:V48),R48*F48+T48*H48+V48*J48),1))</f>
        <v>#DIV/0!</v>
      </c>
      <c r="S49" s="3594"/>
      <c r="T49" s="3594"/>
      <c r="U49" s="3594"/>
      <c r="V49" s="3594"/>
      <c r="W49" s="359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44" t="s">
        <v>2036</v>
      </c>
      <c r="Q4" s="3645"/>
      <c r="R4" s="3648" t="s">
        <v>2032</v>
      </c>
      <c r="S4" s="3649"/>
      <c r="T4" s="3648" t="s">
        <v>2033</v>
      </c>
      <c r="U4" s="3649"/>
      <c r="V4" s="3650" t="s">
        <v>2034</v>
      </c>
      <c r="W4" s="3650"/>
      <c r="X4" s="1952"/>
      <c r="Y4" s="3648" t="s">
        <v>2036</v>
      </c>
      <c r="Z4" s="3649"/>
      <c r="AA4" s="3652" t="s">
        <v>2032</v>
      </c>
      <c r="AB4" s="3652" t="s">
        <v>2033</v>
      </c>
      <c r="AC4" s="3641" t="s">
        <v>2034</v>
      </c>
    </row>
    <row r="5" spans="1:29" ht="15">
      <c r="A5" s="360"/>
      <c r="B5" s="361"/>
      <c r="C5" s="3629" t="s">
        <v>1927</v>
      </c>
      <c r="D5" s="3630"/>
      <c r="E5" s="3636" t="s">
        <v>1928</v>
      </c>
      <c r="F5" s="3637"/>
      <c r="G5" s="3629" t="s">
        <v>1929</v>
      </c>
      <c r="H5" s="3630"/>
      <c r="I5" s="3629" t="s">
        <v>1930</v>
      </c>
      <c r="J5" s="3630"/>
      <c r="K5" s="563"/>
      <c r="L5" s="2542"/>
      <c r="M5" s="2543"/>
      <c r="N5" s="2543"/>
      <c r="O5" s="2543"/>
      <c r="P5" s="3646"/>
      <c r="Q5" s="3617"/>
      <c r="R5" s="3622"/>
      <c r="S5" s="3623"/>
      <c r="T5" s="3622"/>
      <c r="U5" s="3623"/>
      <c r="V5" s="3626"/>
      <c r="W5" s="3626"/>
      <c r="X5" s="1348"/>
      <c r="Y5" s="3622"/>
      <c r="Z5" s="3623"/>
      <c r="AA5" s="3608"/>
      <c r="AB5" s="3608"/>
      <c r="AC5" s="3642"/>
    </row>
    <row r="6" spans="1:29" ht="15.75" thickBot="1">
      <c r="A6" s="362"/>
      <c r="B6" s="363"/>
      <c r="C6" s="3627" t="s">
        <v>1931</v>
      </c>
      <c r="D6" s="3628"/>
      <c r="E6" s="3634" t="s">
        <v>1931</v>
      </c>
      <c r="F6" s="3635"/>
      <c r="G6" s="3627" t="s">
        <v>1931</v>
      </c>
      <c r="H6" s="3628"/>
      <c r="I6" s="3627" t="s">
        <v>1931</v>
      </c>
      <c r="J6" s="3628"/>
      <c r="K6" s="563" t="s">
        <v>1932</v>
      </c>
      <c r="L6" s="2542"/>
      <c r="M6" s="2543"/>
      <c r="N6" s="2543"/>
      <c r="O6" s="2543"/>
      <c r="P6" s="3647"/>
      <c r="Q6" s="3619"/>
      <c r="R6" s="3622"/>
      <c r="S6" s="3623"/>
      <c r="T6" s="3624"/>
      <c r="U6" s="3625"/>
      <c r="V6" s="3626"/>
      <c r="W6" s="3626"/>
      <c r="X6" s="1348"/>
      <c r="Y6" s="3624"/>
      <c r="Z6" s="3625"/>
      <c r="AA6" s="3609"/>
      <c r="AB6" s="3609"/>
      <c r="AC6" s="3643"/>
    </row>
    <row r="7" spans="1:29" s="112" customFormat="1" ht="15.75" thickBot="1">
      <c r="A7" s="364" t="s">
        <v>1933</v>
      </c>
      <c r="B7" s="365"/>
      <c r="C7" s="366">
        <f>'数据-取费表'!B2</f>
        <v>44680</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51" t="s">
        <v>1934</v>
      </c>
      <c r="Q7" s="3633"/>
      <c r="R7" s="705" t="s">
        <v>17</v>
      </c>
      <c r="S7" s="706">
        <f t="shared" ref="S7:S15" si="0">F7</f>
        <v>0</v>
      </c>
      <c r="T7" s="705" t="s">
        <v>17</v>
      </c>
      <c r="U7" s="706">
        <f t="shared" ref="U7:U15" si="1">H7</f>
        <v>0</v>
      </c>
      <c r="V7" s="705" t="s">
        <v>17</v>
      </c>
      <c r="W7" s="706">
        <f t="shared" ref="W7:W15" si="2">J7</f>
        <v>0</v>
      </c>
      <c r="X7" s="707"/>
      <c r="Y7" s="3631" t="s">
        <v>1934</v>
      </c>
      <c r="Z7" s="3632"/>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51" t="s">
        <v>1937</v>
      </c>
      <c r="Q8" s="3632"/>
      <c r="R8" s="705" t="s">
        <v>17</v>
      </c>
      <c r="S8" s="706">
        <f t="shared" si="0"/>
        <v>0</v>
      </c>
      <c r="T8" s="705" t="s">
        <v>17</v>
      </c>
      <c r="U8" s="706">
        <f t="shared" si="1"/>
        <v>0</v>
      </c>
      <c r="V8" s="705" t="s">
        <v>17</v>
      </c>
      <c r="W8" s="706">
        <f t="shared" si="2"/>
        <v>0</v>
      </c>
      <c r="X8" s="707"/>
      <c r="Y8" s="3631" t="s">
        <v>1937</v>
      </c>
      <c r="Z8" s="3632"/>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6"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6"/>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6"/>
      <c r="Q11" s="1338" t="str">
        <f t="shared" si="6"/>
        <v>容积率</v>
      </c>
      <c r="R11" s="705" t="s">
        <v>17</v>
      </c>
      <c r="S11" s="706" t="e">
        <f t="shared" si="0"/>
        <v>#N/A</v>
      </c>
      <c r="T11" s="705" t="s">
        <v>17</v>
      </c>
      <c r="U11" s="706" t="e">
        <f t="shared" si="1"/>
        <v>#N/A</v>
      </c>
      <c r="V11" s="705" t="s">
        <v>17</v>
      </c>
      <c r="W11" s="706" t="e">
        <f t="shared" si="2"/>
        <v>#N/A</v>
      </c>
      <c r="X11" s="707"/>
      <c r="Y11" s="3467"/>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6"/>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6"/>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6"/>
      <c r="Q14" s="1338">
        <f t="shared" si="6"/>
        <v>111</v>
      </c>
      <c r="R14" s="705" t="s">
        <v>17</v>
      </c>
      <c r="S14" s="706">
        <f t="shared" si="0"/>
        <v>100</v>
      </c>
      <c r="T14" s="705" t="s">
        <v>17</v>
      </c>
      <c r="U14" s="706">
        <f t="shared" si="1"/>
        <v>100</v>
      </c>
      <c r="V14" s="705" t="s">
        <v>17</v>
      </c>
      <c r="W14" s="706">
        <f t="shared" si="2"/>
        <v>100</v>
      </c>
      <c r="X14" s="707"/>
      <c r="Y14" s="3467"/>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4" t="s">
        <v>1945</v>
      </c>
      <c r="Q15" s="1345" t="str">
        <f t="shared" si="6"/>
        <v>办公集聚程度</v>
      </c>
      <c r="R15" s="709" t="s">
        <v>17</v>
      </c>
      <c r="S15" s="710">
        <f t="shared" si="0"/>
        <v>100</v>
      </c>
      <c r="T15" s="709" t="s">
        <v>17</v>
      </c>
      <c r="U15" s="710">
        <f t="shared" si="1"/>
        <v>100</v>
      </c>
      <c r="V15" s="709" t="s">
        <v>17</v>
      </c>
      <c r="W15" s="710">
        <f t="shared" si="2"/>
        <v>100</v>
      </c>
      <c r="X15" s="1348"/>
      <c r="Y15" s="3597"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5"/>
      <c r="Q16" s="1345"/>
      <c r="R16" s="709"/>
      <c r="S16" s="710"/>
      <c r="T16" s="709"/>
      <c r="U16" s="710"/>
      <c r="V16" s="709"/>
      <c r="W16" s="710"/>
      <c r="X16" s="1348"/>
      <c r="Y16" s="3598"/>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5"/>
      <c r="Q17" s="1345" t="str">
        <f>B17</f>
        <v>交通便捷度</v>
      </c>
      <c r="R17" s="709" t="s">
        <v>17</v>
      </c>
      <c r="S17" s="710">
        <f>F17</f>
        <v>100</v>
      </c>
      <c r="T17" s="709" t="s">
        <v>17</v>
      </c>
      <c r="U17" s="710">
        <f>H17</f>
        <v>100</v>
      </c>
      <c r="V17" s="709" t="s">
        <v>17</v>
      </c>
      <c r="W17" s="710">
        <f>J17</f>
        <v>100</v>
      </c>
      <c r="X17" s="1348"/>
      <c r="Y17" s="3598"/>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5"/>
      <c r="Q18" s="1345"/>
      <c r="R18" s="709"/>
      <c r="S18" s="710"/>
      <c r="T18" s="709"/>
      <c r="U18" s="710"/>
      <c r="V18" s="709"/>
      <c r="W18" s="710"/>
      <c r="X18" s="1348"/>
      <c r="Y18" s="3598"/>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5"/>
      <c r="Q19" s="1345" t="str">
        <f>B19</f>
        <v>公共配套设施</v>
      </c>
      <c r="R19" s="709" t="s">
        <v>17</v>
      </c>
      <c r="S19" s="710">
        <f>F19</f>
        <v>100</v>
      </c>
      <c r="T19" s="709" t="s">
        <v>17</v>
      </c>
      <c r="U19" s="710">
        <f>H19</f>
        <v>100</v>
      </c>
      <c r="V19" s="709" t="s">
        <v>17</v>
      </c>
      <c r="W19" s="710">
        <f>J19</f>
        <v>100</v>
      </c>
      <c r="X19" s="1348"/>
      <c r="Y19" s="3598"/>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5"/>
      <c r="Q20" s="1345"/>
      <c r="R20" s="709"/>
      <c r="S20" s="710"/>
      <c r="T20" s="709"/>
      <c r="U20" s="710"/>
      <c r="V20" s="709"/>
      <c r="W20" s="710"/>
      <c r="X20" s="1348"/>
      <c r="Y20" s="3598"/>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5"/>
      <c r="Q21" s="1345" t="str">
        <f>B21</f>
        <v>基础设施水平</v>
      </c>
      <c r="R21" s="709" t="s">
        <v>17</v>
      </c>
      <c r="S21" s="710">
        <f>F21</f>
        <v>100</v>
      </c>
      <c r="T21" s="709" t="s">
        <v>17</v>
      </c>
      <c r="U21" s="710">
        <f>H21</f>
        <v>100</v>
      </c>
      <c r="V21" s="709" t="s">
        <v>17</v>
      </c>
      <c r="W21" s="710">
        <f>J21</f>
        <v>100</v>
      </c>
      <c r="X21" s="1348"/>
      <c r="Y21" s="3598"/>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5"/>
      <c r="Q22" s="1345"/>
      <c r="R22" s="709"/>
      <c r="S22" s="710"/>
      <c r="T22" s="709"/>
      <c r="U22" s="710"/>
      <c r="V22" s="709"/>
      <c r="W22" s="710"/>
      <c r="X22" s="1348"/>
      <c r="Y22" s="3598"/>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5"/>
      <c r="Q23" s="1345" t="str">
        <f>B23</f>
        <v>环境质量</v>
      </c>
      <c r="R23" s="709" t="s">
        <v>17</v>
      </c>
      <c r="S23" s="710">
        <f>F23</f>
        <v>100</v>
      </c>
      <c r="T23" s="709" t="s">
        <v>17</v>
      </c>
      <c r="U23" s="710">
        <f>H23</f>
        <v>100</v>
      </c>
      <c r="V23" s="709" t="s">
        <v>17</v>
      </c>
      <c r="W23" s="710">
        <f>J23</f>
        <v>100</v>
      </c>
      <c r="X23" s="1348"/>
      <c r="Y23" s="3598"/>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5"/>
      <c r="Q24" s="1345"/>
      <c r="R24" s="709"/>
      <c r="S24" s="710"/>
      <c r="T24" s="709"/>
      <c r="U24" s="710"/>
      <c r="V24" s="709"/>
      <c r="W24" s="710"/>
      <c r="X24" s="1348"/>
      <c r="Y24" s="3598"/>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5"/>
      <c r="Q25" s="1345" t="str">
        <f>B25</f>
        <v>毗邻道路的类型与等级</v>
      </c>
      <c r="R25" s="709" t="s">
        <v>17</v>
      </c>
      <c r="S25" s="710">
        <f>F25</f>
        <v>100</v>
      </c>
      <c r="T25" s="709" t="s">
        <v>17</v>
      </c>
      <c r="U25" s="710">
        <f>H25</f>
        <v>100</v>
      </c>
      <c r="V25" s="709" t="s">
        <v>17</v>
      </c>
      <c r="W25" s="710">
        <f>J25</f>
        <v>100</v>
      </c>
      <c r="X25" s="1348"/>
      <c r="Y25" s="3598"/>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5"/>
      <c r="Q26" s="1345"/>
      <c r="R26" s="709"/>
      <c r="S26" s="710"/>
      <c r="T26" s="709"/>
      <c r="U26" s="710"/>
      <c r="V26" s="709"/>
      <c r="W26" s="710"/>
      <c r="X26" s="1348"/>
      <c r="Y26" s="3598"/>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5"/>
      <c r="Q27" s="1345" t="str">
        <f t="shared" ref="Q27:Q47" si="11">B27</f>
        <v>楼层</v>
      </c>
      <c r="R27" s="709" t="s">
        <v>17</v>
      </c>
      <c r="S27" s="710">
        <f>F27</f>
        <v>100</v>
      </c>
      <c r="T27" s="709" t="s">
        <v>17</v>
      </c>
      <c r="U27" s="710">
        <f>H27</f>
        <v>100</v>
      </c>
      <c r="V27" s="709" t="s">
        <v>17</v>
      </c>
      <c r="W27" s="710">
        <f>J27</f>
        <v>100</v>
      </c>
      <c r="X27" s="1348"/>
      <c r="Y27" s="3598"/>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5"/>
      <c r="Q28" s="1338" t="str">
        <f t="shared" si="11"/>
        <v>朝向</v>
      </c>
      <c r="R28" s="705" t="s">
        <v>17</v>
      </c>
      <c r="S28" s="706">
        <f>F28</f>
        <v>100</v>
      </c>
      <c r="T28" s="705" t="s">
        <v>17</v>
      </c>
      <c r="U28" s="706">
        <f>H28</f>
        <v>100</v>
      </c>
      <c r="V28" s="705" t="s">
        <v>17</v>
      </c>
      <c r="W28" s="706">
        <f>J28</f>
        <v>100</v>
      </c>
      <c r="X28" s="707"/>
      <c r="Y28" s="3598"/>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5"/>
      <c r="Q29" s="1345">
        <f t="shared" si="11"/>
        <v>111</v>
      </c>
      <c r="R29" s="709" t="s">
        <v>17</v>
      </c>
      <c r="S29" s="710">
        <f t="shared" ref="S29:S47" si="12">F29</f>
        <v>100</v>
      </c>
      <c r="T29" s="709" t="s">
        <v>17</v>
      </c>
      <c r="U29" s="710">
        <f t="shared" ref="U29:U47" si="13">H29</f>
        <v>100</v>
      </c>
      <c r="V29" s="709" t="s">
        <v>17</v>
      </c>
      <c r="W29" s="710">
        <f t="shared" ref="W29:W47" si="14">J29</f>
        <v>100</v>
      </c>
      <c r="X29" s="1348"/>
      <c r="Y29" s="3598"/>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5"/>
      <c r="Q30" s="1345">
        <f t="shared" si="11"/>
        <v>111</v>
      </c>
      <c r="R30" s="709" t="s">
        <v>17</v>
      </c>
      <c r="S30" s="710">
        <f t="shared" si="12"/>
        <v>100</v>
      </c>
      <c r="T30" s="709" t="s">
        <v>17</v>
      </c>
      <c r="U30" s="710">
        <f t="shared" si="13"/>
        <v>100</v>
      </c>
      <c r="V30" s="709" t="s">
        <v>17</v>
      </c>
      <c r="W30" s="710">
        <f t="shared" si="14"/>
        <v>100</v>
      </c>
      <c r="X30" s="1348"/>
      <c r="Y30" s="3598"/>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5"/>
      <c r="Q31" s="1345">
        <f t="shared" si="11"/>
        <v>111</v>
      </c>
      <c r="R31" s="709" t="s">
        <v>17</v>
      </c>
      <c r="S31" s="710">
        <f t="shared" si="12"/>
        <v>100</v>
      </c>
      <c r="T31" s="709" t="s">
        <v>17</v>
      </c>
      <c r="U31" s="710">
        <f t="shared" si="13"/>
        <v>100</v>
      </c>
      <c r="V31" s="709" t="s">
        <v>17</v>
      </c>
      <c r="W31" s="710">
        <f t="shared" si="14"/>
        <v>100</v>
      </c>
      <c r="X31" s="1348"/>
      <c r="Y31" s="3598"/>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5"/>
      <c r="Q32" s="1345">
        <f t="shared" si="11"/>
        <v>111</v>
      </c>
      <c r="R32" s="709" t="s">
        <v>17</v>
      </c>
      <c r="S32" s="710">
        <f t="shared" si="12"/>
        <v>100</v>
      </c>
      <c r="T32" s="709" t="s">
        <v>17</v>
      </c>
      <c r="U32" s="710">
        <f t="shared" si="13"/>
        <v>100</v>
      </c>
      <c r="V32" s="709" t="s">
        <v>17</v>
      </c>
      <c r="W32" s="710">
        <f t="shared" si="14"/>
        <v>100</v>
      </c>
      <c r="X32" s="1348"/>
      <c r="Y32" s="3598"/>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9" t="s">
        <v>1950</v>
      </c>
      <c r="Q33" s="1345" t="str">
        <f t="shared" si="11"/>
        <v>建筑类型</v>
      </c>
      <c r="R33" s="709" t="s">
        <v>17</v>
      </c>
      <c r="S33" s="710">
        <f t="shared" si="12"/>
        <v>100</v>
      </c>
      <c r="T33" s="709" t="s">
        <v>17</v>
      </c>
      <c r="U33" s="710">
        <f t="shared" si="13"/>
        <v>100</v>
      </c>
      <c r="V33" s="709" t="s">
        <v>17</v>
      </c>
      <c r="W33" s="710">
        <f t="shared" si="14"/>
        <v>100</v>
      </c>
      <c r="X33" s="1348"/>
      <c r="Y33" s="3602"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00"/>
      <c r="Q34" s="711" t="str">
        <f t="shared" si="11"/>
        <v>项目建筑规模</v>
      </c>
      <c r="R34" s="712" t="s">
        <v>17</v>
      </c>
      <c r="S34" s="713" t="e">
        <f t="shared" si="12"/>
        <v>#N/A</v>
      </c>
      <c r="T34" s="712" t="s">
        <v>17</v>
      </c>
      <c r="U34" s="713" t="e">
        <f t="shared" si="13"/>
        <v>#N/A</v>
      </c>
      <c r="V34" s="712" t="s">
        <v>17</v>
      </c>
      <c r="W34" s="713" t="e">
        <f t="shared" si="14"/>
        <v>#N/A</v>
      </c>
      <c r="X34" s="714"/>
      <c r="Y34" s="3602"/>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00"/>
      <c r="Q35" s="1345" t="str">
        <f t="shared" si="11"/>
        <v>建筑结构</v>
      </c>
      <c r="R35" s="709" t="s">
        <v>17</v>
      </c>
      <c r="S35" s="710">
        <f t="shared" si="12"/>
        <v>100</v>
      </c>
      <c r="T35" s="709" t="s">
        <v>17</v>
      </c>
      <c r="U35" s="710">
        <f t="shared" si="13"/>
        <v>100</v>
      </c>
      <c r="V35" s="709" t="s">
        <v>17</v>
      </c>
      <c r="W35" s="710">
        <f t="shared" si="14"/>
        <v>100</v>
      </c>
      <c r="X35" s="1348"/>
      <c r="Y35" s="3602"/>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00"/>
      <c r="Q36" s="1345" t="str">
        <f t="shared" si="11"/>
        <v>公共部分装修</v>
      </c>
      <c r="R36" s="709" t="s">
        <v>17</v>
      </c>
      <c r="S36" s="710">
        <f t="shared" si="12"/>
        <v>100</v>
      </c>
      <c r="T36" s="709" t="s">
        <v>17</v>
      </c>
      <c r="U36" s="710">
        <f t="shared" si="13"/>
        <v>100</v>
      </c>
      <c r="V36" s="709" t="s">
        <v>17</v>
      </c>
      <c r="W36" s="710">
        <f t="shared" si="14"/>
        <v>100</v>
      </c>
      <c r="X36" s="1348"/>
      <c r="Y36" s="3602"/>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00"/>
      <c r="Q37" s="1345" t="str">
        <f t="shared" si="11"/>
        <v>成新度</v>
      </c>
      <c r="R37" s="709" t="s">
        <v>17</v>
      </c>
      <c r="S37" s="710" t="e">
        <f t="shared" si="12"/>
        <v>#N/A</v>
      </c>
      <c r="T37" s="709" t="s">
        <v>17</v>
      </c>
      <c r="U37" s="710" t="e">
        <f t="shared" si="13"/>
        <v>#N/A</v>
      </c>
      <c r="V37" s="709" t="s">
        <v>17</v>
      </c>
      <c r="W37" s="710" t="e">
        <f t="shared" si="14"/>
        <v>#N/A</v>
      </c>
      <c r="X37" s="1348"/>
      <c r="Y37" s="3602"/>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00"/>
      <c r="Q38" s="1338" t="str">
        <f t="shared" si="11"/>
        <v>写字楼等级</v>
      </c>
      <c r="R38" s="705" t="s">
        <v>17</v>
      </c>
      <c r="S38" s="706">
        <f t="shared" si="12"/>
        <v>100</v>
      </c>
      <c r="T38" s="705" t="s">
        <v>17</v>
      </c>
      <c r="U38" s="706">
        <f t="shared" si="13"/>
        <v>100</v>
      </c>
      <c r="V38" s="705" t="s">
        <v>17</v>
      </c>
      <c r="W38" s="706">
        <f t="shared" si="14"/>
        <v>100</v>
      </c>
      <c r="X38" s="707"/>
      <c r="Y38" s="3602"/>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00" t="s">
        <v>1950</v>
      </c>
      <c r="Q39" s="1345" t="str">
        <f t="shared" si="11"/>
        <v>物业管理</v>
      </c>
      <c r="R39" s="709" t="s">
        <v>17</v>
      </c>
      <c r="S39" s="710">
        <f t="shared" si="12"/>
        <v>100</v>
      </c>
      <c r="T39" s="709" t="s">
        <v>17</v>
      </c>
      <c r="U39" s="710">
        <f t="shared" si="13"/>
        <v>100</v>
      </c>
      <c r="V39" s="709" t="s">
        <v>17</v>
      </c>
      <c r="W39" s="710">
        <f t="shared" si="14"/>
        <v>100</v>
      </c>
      <c r="X39" s="1348"/>
      <c r="Y39" s="3602"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00"/>
      <c r="Q40" s="1345" t="str">
        <f t="shared" si="11"/>
        <v>市政基础设施</v>
      </c>
      <c r="R40" s="709" t="s">
        <v>17</v>
      </c>
      <c r="S40" s="710">
        <f t="shared" si="12"/>
        <v>100</v>
      </c>
      <c r="T40" s="709" t="s">
        <v>17</v>
      </c>
      <c r="U40" s="710">
        <f t="shared" si="13"/>
        <v>100</v>
      </c>
      <c r="V40" s="709" t="s">
        <v>17</v>
      </c>
      <c r="W40" s="710">
        <f t="shared" si="14"/>
        <v>100</v>
      </c>
      <c r="X40" s="1348"/>
      <c r="Y40" s="3602"/>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00"/>
      <c r="Q41" s="1345" t="str">
        <f t="shared" si="11"/>
        <v>层高</v>
      </c>
      <c r="R41" s="709" t="s">
        <v>17</v>
      </c>
      <c r="S41" s="710">
        <f t="shared" si="12"/>
        <v>100</v>
      </c>
      <c r="T41" s="709" t="s">
        <v>17</v>
      </c>
      <c r="U41" s="710">
        <f t="shared" si="13"/>
        <v>100</v>
      </c>
      <c r="V41" s="709" t="s">
        <v>17</v>
      </c>
      <c r="W41" s="710">
        <f t="shared" si="14"/>
        <v>100</v>
      </c>
      <c r="X41" s="1348"/>
      <c r="Y41" s="3602"/>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00"/>
      <c r="Q42" s="711" t="str">
        <f t="shared" si="11"/>
        <v>单套建筑面积</v>
      </c>
      <c r="R42" s="712" t="s">
        <v>17</v>
      </c>
      <c r="S42" s="713">
        <f t="shared" si="12"/>
        <v>100</v>
      </c>
      <c r="T42" s="712" t="s">
        <v>17</v>
      </c>
      <c r="U42" s="713">
        <f t="shared" si="13"/>
        <v>100</v>
      </c>
      <c r="V42" s="712" t="s">
        <v>17</v>
      </c>
      <c r="W42" s="713">
        <f t="shared" si="14"/>
        <v>100</v>
      </c>
      <c r="X42" s="714"/>
      <c r="Y42" s="3602"/>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00"/>
      <c r="Q43" s="1345" t="str">
        <f t="shared" si="11"/>
        <v>内部装修</v>
      </c>
      <c r="R43" s="709" t="s">
        <v>17</v>
      </c>
      <c r="S43" s="710">
        <f t="shared" si="12"/>
        <v>100</v>
      </c>
      <c r="T43" s="709" t="s">
        <v>17</v>
      </c>
      <c r="U43" s="710">
        <f t="shared" si="13"/>
        <v>100</v>
      </c>
      <c r="V43" s="709" t="s">
        <v>17</v>
      </c>
      <c r="W43" s="710">
        <f t="shared" si="14"/>
        <v>100</v>
      </c>
      <c r="X43" s="1348"/>
      <c r="Y43" s="3602"/>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00"/>
      <c r="Q44" s="1345" t="str">
        <f t="shared" si="11"/>
        <v>内部装修维护情况</v>
      </c>
      <c r="R44" s="709" t="s">
        <v>17</v>
      </c>
      <c r="S44" s="710">
        <f t="shared" si="12"/>
        <v>100</v>
      </c>
      <c r="T44" s="709" t="s">
        <v>17</v>
      </c>
      <c r="U44" s="710">
        <f t="shared" si="13"/>
        <v>100</v>
      </c>
      <c r="V44" s="709" t="s">
        <v>17</v>
      </c>
      <c r="W44" s="710">
        <f t="shared" si="14"/>
        <v>100</v>
      </c>
      <c r="X44" s="1348"/>
      <c r="Y44" s="3602"/>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00"/>
      <c r="Q45" s="1338">
        <f t="shared" si="11"/>
        <v>111</v>
      </c>
      <c r="R45" s="705" t="s">
        <v>17</v>
      </c>
      <c r="S45" s="706">
        <f t="shared" si="12"/>
        <v>100</v>
      </c>
      <c r="T45" s="705" t="s">
        <v>17</v>
      </c>
      <c r="U45" s="706">
        <f t="shared" si="13"/>
        <v>100</v>
      </c>
      <c r="V45" s="705" t="s">
        <v>17</v>
      </c>
      <c r="W45" s="706">
        <f t="shared" si="14"/>
        <v>100</v>
      </c>
      <c r="X45" s="707"/>
      <c r="Y45" s="3602"/>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00"/>
      <c r="Q46" s="1345">
        <f t="shared" si="11"/>
        <v>111</v>
      </c>
      <c r="R46" s="709" t="s">
        <v>17</v>
      </c>
      <c r="S46" s="710">
        <f t="shared" si="12"/>
        <v>100</v>
      </c>
      <c r="T46" s="709" t="s">
        <v>17</v>
      </c>
      <c r="U46" s="710">
        <f t="shared" si="13"/>
        <v>100</v>
      </c>
      <c r="V46" s="709" t="s">
        <v>17</v>
      </c>
      <c r="W46" s="710">
        <f t="shared" si="14"/>
        <v>100</v>
      </c>
      <c r="X46" s="1348"/>
      <c r="Y46" s="3602"/>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01"/>
      <c r="Q47" s="1345">
        <f t="shared" si="11"/>
        <v>111</v>
      </c>
      <c r="R47" s="709" t="s">
        <v>17</v>
      </c>
      <c r="S47" s="710">
        <f t="shared" si="12"/>
        <v>100</v>
      </c>
      <c r="T47" s="709" t="s">
        <v>17</v>
      </c>
      <c r="U47" s="710">
        <f t="shared" si="13"/>
        <v>100</v>
      </c>
      <c r="V47" s="709" t="s">
        <v>17</v>
      </c>
      <c r="W47" s="710">
        <f t="shared" si="14"/>
        <v>100</v>
      </c>
      <c r="X47" s="1348"/>
      <c r="Y47" s="3603"/>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6" t="str">
        <f>A48</f>
        <v>成交单价（元/平方米）</v>
      </c>
      <c r="Q48" s="3595"/>
      <c r="R48" s="3596">
        <f>E48</f>
        <v>0</v>
      </c>
      <c r="S48" s="3596"/>
      <c r="T48" s="3596">
        <f>G48</f>
        <v>0</v>
      </c>
      <c r="U48" s="3596"/>
      <c r="V48" s="3596">
        <f>I48</f>
        <v>0</v>
      </c>
      <c r="W48" s="3596"/>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6" t="str">
        <f>A49</f>
        <v>比较价值（元/平方米）</v>
      </c>
      <c r="Q49" s="3595"/>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923"/>
      <c r="M4" s="924"/>
      <c r="N4" s="924"/>
      <c r="O4" s="924"/>
      <c r="P4" s="3614" t="s">
        <v>2036</v>
      </c>
      <c r="Q4" s="3615"/>
      <c r="R4" s="3620" t="s">
        <v>2032</v>
      </c>
      <c r="S4" s="3621"/>
      <c r="T4" s="3620" t="s">
        <v>2033</v>
      </c>
      <c r="U4" s="3621"/>
      <c r="V4" s="3626" t="s">
        <v>2034</v>
      </c>
      <c r="W4" s="3626"/>
      <c r="X4" s="1348"/>
      <c r="Y4" s="3620" t="s">
        <v>2036</v>
      </c>
      <c r="Z4" s="3621"/>
      <c r="AA4" s="3607" t="s">
        <v>2032</v>
      </c>
      <c r="AB4" s="3608" t="s">
        <v>2033</v>
      </c>
      <c r="AC4" s="3607" t="s">
        <v>2034</v>
      </c>
    </row>
    <row r="5" spans="1:29" ht="15">
      <c r="A5" s="360"/>
      <c r="B5" s="361"/>
      <c r="C5" s="3629" t="s">
        <v>1927</v>
      </c>
      <c r="D5" s="3630"/>
      <c r="E5" s="3636" t="s">
        <v>1928</v>
      </c>
      <c r="F5" s="3637"/>
      <c r="G5" s="3629" t="s">
        <v>1929</v>
      </c>
      <c r="H5" s="3630"/>
      <c r="I5" s="3629" t="s">
        <v>1930</v>
      </c>
      <c r="J5" s="3630"/>
      <c r="K5" s="563"/>
      <c r="L5" s="923"/>
      <c r="M5" s="924"/>
      <c r="N5" s="924"/>
      <c r="O5" s="924"/>
      <c r="P5" s="3616"/>
      <c r="Q5" s="3617"/>
      <c r="R5" s="3622"/>
      <c r="S5" s="3623"/>
      <c r="T5" s="3622"/>
      <c r="U5" s="3623"/>
      <c r="V5" s="3626"/>
      <c r="W5" s="3626"/>
      <c r="X5" s="1348"/>
      <c r="Y5" s="3622"/>
      <c r="Z5" s="3623"/>
      <c r="AA5" s="3608"/>
      <c r="AB5" s="3608"/>
      <c r="AC5" s="3608"/>
    </row>
    <row r="6" spans="1:29" ht="15.75" thickBot="1">
      <c r="A6" s="362"/>
      <c r="B6" s="363"/>
      <c r="C6" s="3627" t="s">
        <v>1931</v>
      </c>
      <c r="D6" s="3628"/>
      <c r="E6" s="3634" t="s">
        <v>1931</v>
      </c>
      <c r="F6" s="3635"/>
      <c r="G6" s="3627" t="s">
        <v>1931</v>
      </c>
      <c r="H6" s="3628"/>
      <c r="I6" s="3627" t="s">
        <v>1931</v>
      </c>
      <c r="J6" s="3628"/>
      <c r="K6" s="563" t="s">
        <v>1932</v>
      </c>
      <c r="L6" s="923"/>
      <c r="M6" s="924"/>
      <c r="N6" s="924"/>
      <c r="O6" s="924"/>
      <c r="P6" s="3618"/>
      <c r="Q6" s="3619"/>
      <c r="R6" s="3622"/>
      <c r="S6" s="3623"/>
      <c r="T6" s="3624"/>
      <c r="U6" s="3625"/>
      <c r="V6" s="3626"/>
      <c r="W6" s="3626"/>
      <c r="X6" s="1348"/>
      <c r="Y6" s="3624"/>
      <c r="Z6" s="3625"/>
      <c r="AA6" s="3609"/>
      <c r="AB6" s="3609"/>
      <c r="AC6" s="3609"/>
    </row>
    <row r="7" spans="1:29" s="112" customFormat="1" ht="15.75" thickBot="1">
      <c r="A7" s="364" t="s">
        <v>1933</v>
      </c>
      <c r="B7" s="365"/>
      <c r="C7" s="366">
        <f>'数据-取费表'!B2</f>
        <v>44680</v>
      </c>
      <c r="D7" s="367">
        <v>100</v>
      </c>
      <c r="E7" s="368"/>
      <c r="F7" s="369">
        <f>SUMIF(52:52,YEAR(E7)&amp;"-"&amp;MONTH(E7),53:53)</f>
        <v>0</v>
      </c>
      <c r="G7" s="368"/>
      <c r="H7" s="367">
        <f>SUMIF(52:52,YEAR(G7)&amp;"-"&amp;MONTH(G7),53:53)</f>
        <v>0</v>
      </c>
      <c r="I7" s="368"/>
      <c r="J7" s="367">
        <f>SUMIF(52:52,YEAR(I7)&amp;"-"&amp;MONTH(I7),53:53)</f>
        <v>0</v>
      </c>
      <c r="K7" s="564"/>
      <c r="L7" s="925"/>
      <c r="M7" s="926"/>
      <c r="N7" s="926"/>
      <c r="O7" s="926"/>
      <c r="P7" s="3631" t="s">
        <v>1934</v>
      </c>
      <c r="Q7" s="3633"/>
      <c r="R7" s="705" t="s">
        <v>17</v>
      </c>
      <c r="S7" s="706">
        <f t="shared" ref="S7:S15" si="0">F7</f>
        <v>0</v>
      </c>
      <c r="T7" s="705" t="s">
        <v>17</v>
      </c>
      <c r="U7" s="706">
        <f t="shared" ref="U7:U15" si="1">H7</f>
        <v>0</v>
      </c>
      <c r="V7" s="705" t="s">
        <v>17</v>
      </c>
      <c r="W7" s="706">
        <f t="shared" ref="W7:W15" si="2">J7</f>
        <v>0</v>
      </c>
      <c r="X7" s="707"/>
      <c r="Y7" s="3631" t="s">
        <v>1934</v>
      </c>
      <c r="Z7" s="3632"/>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31" t="s">
        <v>1937</v>
      </c>
      <c r="Q8" s="3632"/>
      <c r="R8" s="705" t="s">
        <v>17</v>
      </c>
      <c r="S8" s="706">
        <f t="shared" si="0"/>
        <v>0</v>
      </c>
      <c r="T8" s="705" t="s">
        <v>17</v>
      </c>
      <c r="U8" s="706">
        <f t="shared" si="1"/>
        <v>0</v>
      </c>
      <c r="V8" s="705" t="s">
        <v>17</v>
      </c>
      <c r="W8" s="706">
        <f t="shared" si="2"/>
        <v>0</v>
      </c>
      <c r="X8" s="707"/>
      <c r="Y8" s="3631" t="s">
        <v>1937</v>
      </c>
      <c r="Z8" s="3632"/>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5"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5"/>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5"/>
      <c r="Q11" s="1338" t="str">
        <f t="shared" si="6"/>
        <v>容积率</v>
      </c>
      <c r="R11" s="705" t="s">
        <v>17</v>
      </c>
      <c r="S11" s="706" t="e">
        <f t="shared" si="0"/>
        <v>#N/A</v>
      </c>
      <c r="T11" s="705" t="s">
        <v>17</v>
      </c>
      <c r="U11" s="706" t="e">
        <f t="shared" si="1"/>
        <v>#N/A</v>
      </c>
      <c r="V11" s="705" t="s">
        <v>17</v>
      </c>
      <c r="W11" s="706" t="e">
        <f t="shared" si="2"/>
        <v>#N/A</v>
      </c>
      <c r="X11" s="707"/>
      <c r="Y11" s="346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5"/>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5"/>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5"/>
      <c r="Q14" s="1338">
        <f t="shared" si="6"/>
        <v>111</v>
      </c>
      <c r="R14" s="705" t="s">
        <v>17</v>
      </c>
      <c r="S14" s="706">
        <f t="shared" si="0"/>
        <v>100</v>
      </c>
      <c r="T14" s="705" t="s">
        <v>17</v>
      </c>
      <c r="U14" s="706">
        <f t="shared" si="1"/>
        <v>100</v>
      </c>
      <c r="V14" s="705" t="s">
        <v>17</v>
      </c>
      <c r="W14" s="706">
        <f t="shared" si="2"/>
        <v>100</v>
      </c>
      <c r="X14" s="707"/>
      <c r="Y14" s="3467"/>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7" t="s">
        <v>1945</v>
      </c>
      <c r="Q15" s="1345" t="str">
        <f t="shared" si="6"/>
        <v>产业集聚程度</v>
      </c>
      <c r="R15" s="709" t="s">
        <v>17</v>
      </c>
      <c r="S15" s="710">
        <f t="shared" si="0"/>
        <v>100</v>
      </c>
      <c r="T15" s="709" t="s">
        <v>17</v>
      </c>
      <c r="U15" s="710">
        <f t="shared" si="1"/>
        <v>100</v>
      </c>
      <c r="V15" s="709" t="s">
        <v>17</v>
      </c>
      <c r="W15" s="710">
        <f t="shared" si="2"/>
        <v>100</v>
      </c>
      <c r="X15" s="1348"/>
      <c r="Y15" s="3597"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8"/>
      <c r="Q16" s="1345"/>
      <c r="R16" s="709"/>
      <c r="S16" s="710"/>
      <c r="T16" s="709"/>
      <c r="U16" s="710"/>
      <c r="V16" s="709"/>
      <c r="W16" s="710"/>
      <c r="X16" s="1348"/>
      <c r="Y16" s="3598"/>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8"/>
      <c r="Q17" s="1345" t="str">
        <f>B17</f>
        <v>交通便捷度</v>
      </c>
      <c r="R17" s="709" t="s">
        <v>17</v>
      </c>
      <c r="S17" s="710">
        <f>F17</f>
        <v>100</v>
      </c>
      <c r="T17" s="709" t="s">
        <v>17</v>
      </c>
      <c r="U17" s="710">
        <f>H17</f>
        <v>100</v>
      </c>
      <c r="V17" s="709" t="s">
        <v>17</v>
      </c>
      <c r="W17" s="710">
        <f>J17</f>
        <v>100</v>
      </c>
      <c r="X17" s="1348"/>
      <c r="Y17" s="359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8"/>
      <c r="Q18" s="1345"/>
      <c r="R18" s="709"/>
      <c r="S18" s="710"/>
      <c r="T18" s="709"/>
      <c r="U18" s="710"/>
      <c r="V18" s="709"/>
      <c r="W18" s="710"/>
      <c r="X18" s="1348"/>
      <c r="Y18" s="3598"/>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8"/>
      <c r="Q19" s="1345" t="str">
        <f>B19</f>
        <v>公共配套设施</v>
      </c>
      <c r="R19" s="709" t="s">
        <v>17</v>
      </c>
      <c r="S19" s="710">
        <f>F19</f>
        <v>100</v>
      </c>
      <c r="T19" s="709" t="s">
        <v>17</v>
      </c>
      <c r="U19" s="710">
        <f>H19</f>
        <v>100</v>
      </c>
      <c r="V19" s="709" t="s">
        <v>17</v>
      </c>
      <c r="W19" s="710">
        <f>J19</f>
        <v>100</v>
      </c>
      <c r="X19" s="1348"/>
      <c r="Y19" s="359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8"/>
      <c r="Q20" s="1345"/>
      <c r="R20" s="709"/>
      <c r="S20" s="710"/>
      <c r="T20" s="709"/>
      <c r="U20" s="710"/>
      <c r="V20" s="709"/>
      <c r="W20" s="710"/>
      <c r="X20" s="1348"/>
      <c r="Y20" s="3598"/>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8"/>
      <c r="Q21" s="1345" t="str">
        <f>B21</f>
        <v>基础设施水平</v>
      </c>
      <c r="R21" s="709" t="s">
        <v>17</v>
      </c>
      <c r="S21" s="710">
        <f>F21</f>
        <v>100</v>
      </c>
      <c r="T21" s="709" t="s">
        <v>17</v>
      </c>
      <c r="U21" s="710">
        <f>H21</f>
        <v>100</v>
      </c>
      <c r="V21" s="709" t="s">
        <v>17</v>
      </c>
      <c r="W21" s="710">
        <f>J21</f>
        <v>100</v>
      </c>
      <c r="X21" s="1348"/>
      <c r="Y21" s="359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8"/>
      <c r="Q22" s="1345"/>
      <c r="R22" s="709"/>
      <c r="S22" s="710"/>
      <c r="T22" s="709"/>
      <c r="U22" s="710"/>
      <c r="V22" s="709"/>
      <c r="W22" s="710"/>
      <c r="X22" s="1348"/>
      <c r="Y22" s="3598"/>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8"/>
      <c r="Q23" s="1345" t="str">
        <f>B23</f>
        <v>环境质量</v>
      </c>
      <c r="R23" s="709" t="s">
        <v>17</v>
      </c>
      <c r="S23" s="710">
        <f>F23</f>
        <v>100</v>
      </c>
      <c r="T23" s="709" t="s">
        <v>17</v>
      </c>
      <c r="U23" s="710">
        <f>H23</f>
        <v>100</v>
      </c>
      <c r="V23" s="709" t="s">
        <v>17</v>
      </c>
      <c r="W23" s="710">
        <f>J23</f>
        <v>100</v>
      </c>
      <c r="X23" s="1348"/>
      <c r="Y23" s="3598"/>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8"/>
      <c r="Q24" s="1345"/>
      <c r="R24" s="709"/>
      <c r="S24" s="710"/>
      <c r="T24" s="709"/>
      <c r="U24" s="710"/>
      <c r="V24" s="709"/>
      <c r="W24" s="710"/>
      <c r="X24" s="1348"/>
      <c r="Y24" s="3598"/>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8"/>
      <c r="Q25" s="1345">
        <f>B25</f>
        <v>111</v>
      </c>
      <c r="R25" s="709" t="s">
        <v>17</v>
      </c>
      <c r="S25" s="710">
        <f>F25</f>
        <v>100</v>
      </c>
      <c r="T25" s="709" t="s">
        <v>17</v>
      </c>
      <c r="U25" s="710">
        <f>H25</f>
        <v>100</v>
      </c>
      <c r="V25" s="709" t="s">
        <v>17</v>
      </c>
      <c r="W25" s="710">
        <f>J25</f>
        <v>100</v>
      </c>
      <c r="X25" s="1348"/>
      <c r="Y25" s="3598"/>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8"/>
      <c r="Q26" s="1345">
        <f t="shared" ref="Q26:Q40" si="11">B26</f>
        <v>111</v>
      </c>
      <c r="R26" s="709" t="s">
        <v>17</v>
      </c>
      <c r="S26" s="710">
        <f>F26</f>
        <v>100</v>
      </c>
      <c r="T26" s="709" t="s">
        <v>17</v>
      </c>
      <c r="U26" s="710">
        <f>H26</f>
        <v>100</v>
      </c>
      <c r="V26" s="709" t="s">
        <v>17</v>
      </c>
      <c r="W26" s="710">
        <f>J26</f>
        <v>100</v>
      </c>
      <c r="X26" s="1348"/>
      <c r="Y26" s="3598"/>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8"/>
      <c r="Q27" s="1338">
        <f t="shared" si="11"/>
        <v>111</v>
      </c>
      <c r="R27" s="705" t="s">
        <v>17</v>
      </c>
      <c r="S27" s="706">
        <f>F27</f>
        <v>100</v>
      </c>
      <c r="T27" s="705" t="s">
        <v>17</v>
      </c>
      <c r="U27" s="706">
        <f>H27</f>
        <v>100</v>
      </c>
      <c r="V27" s="705" t="s">
        <v>17</v>
      </c>
      <c r="W27" s="706">
        <f>J27</f>
        <v>100</v>
      </c>
      <c r="X27" s="707"/>
      <c r="Y27" s="3598"/>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8"/>
      <c r="Q28" s="1345">
        <f t="shared" si="11"/>
        <v>111</v>
      </c>
      <c r="R28" s="709" t="s">
        <v>17</v>
      </c>
      <c r="S28" s="710">
        <f t="shared" ref="S28:S40" si="12">F28</f>
        <v>100</v>
      </c>
      <c r="T28" s="709" t="s">
        <v>17</v>
      </c>
      <c r="U28" s="710">
        <f t="shared" ref="U28:U40" si="13">H28</f>
        <v>100</v>
      </c>
      <c r="V28" s="709" t="s">
        <v>17</v>
      </c>
      <c r="W28" s="710">
        <f t="shared" ref="W28:W40" si="14">J28</f>
        <v>100</v>
      </c>
      <c r="X28" s="1348"/>
      <c r="Y28" s="3598"/>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3" t="s">
        <v>1950</v>
      </c>
      <c r="Q29" s="1345" t="str">
        <f t="shared" si="11"/>
        <v>建筑类型</v>
      </c>
      <c r="R29" s="709" t="s">
        <v>17</v>
      </c>
      <c r="S29" s="710">
        <f t="shared" si="12"/>
        <v>100</v>
      </c>
      <c r="T29" s="709" t="s">
        <v>17</v>
      </c>
      <c r="U29" s="710">
        <f t="shared" si="13"/>
        <v>100</v>
      </c>
      <c r="V29" s="709" t="s">
        <v>17</v>
      </c>
      <c r="W29" s="710">
        <f t="shared" si="14"/>
        <v>100</v>
      </c>
      <c r="X29" s="1348"/>
      <c r="Y29" s="3602"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2"/>
      <c r="Q30" s="711" t="str">
        <f t="shared" si="11"/>
        <v>项目建筑规模</v>
      </c>
      <c r="R30" s="712" t="s">
        <v>17</v>
      </c>
      <c r="S30" s="713" t="e">
        <f t="shared" si="12"/>
        <v>#N/A</v>
      </c>
      <c r="T30" s="712" t="s">
        <v>17</v>
      </c>
      <c r="U30" s="713" t="e">
        <f t="shared" si="13"/>
        <v>#N/A</v>
      </c>
      <c r="V30" s="712" t="s">
        <v>17</v>
      </c>
      <c r="W30" s="713" t="e">
        <f t="shared" si="14"/>
        <v>#N/A</v>
      </c>
      <c r="X30" s="714"/>
      <c r="Y30" s="3602"/>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2"/>
      <c r="Q31" s="1345" t="str">
        <f t="shared" si="11"/>
        <v>建筑结构</v>
      </c>
      <c r="R31" s="709" t="s">
        <v>17</v>
      </c>
      <c r="S31" s="710">
        <f t="shared" si="12"/>
        <v>100</v>
      </c>
      <c r="T31" s="709" t="s">
        <v>17</v>
      </c>
      <c r="U31" s="710">
        <f t="shared" si="13"/>
        <v>100</v>
      </c>
      <c r="V31" s="709" t="s">
        <v>17</v>
      </c>
      <c r="W31" s="710">
        <f t="shared" si="14"/>
        <v>100</v>
      </c>
      <c r="X31" s="1348"/>
      <c r="Y31" s="3602"/>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2"/>
      <c r="Q32" s="1345" t="str">
        <f t="shared" si="11"/>
        <v>公共部分装修</v>
      </c>
      <c r="R32" s="709" t="s">
        <v>17</v>
      </c>
      <c r="S32" s="710">
        <f t="shared" si="12"/>
        <v>100</v>
      </c>
      <c r="T32" s="709" t="s">
        <v>17</v>
      </c>
      <c r="U32" s="710">
        <f t="shared" si="13"/>
        <v>100</v>
      </c>
      <c r="V32" s="709" t="s">
        <v>17</v>
      </c>
      <c r="W32" s="710">
        <f t="shared" si="14"/>
        <v>100</v>
      </c>
      <c r="X32" s="1348"/>
      <c r="Y32" s="3602"/>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2"/>
      <c r="Q33" s="1345" t="str">
        <f t="shared" si="11"/>
        <v>成新度</v>
      </c>
      <c r="R33" s="709" t="s">
        <v>17</v>
      </c>
      <c r="S33" s="710" t="e">
        <f t="shared" si="12"/>
        <v>#N/A</v>
      </c>
      <c r="T33" s="709" t="s">
        <v>17</v>
      </c>
      <c r="U33" s="710" t="e">
        <f t="shared" si="13"/>
        <v>#N/A</v>
      </c>
      <c r="V33" s="709" t="s">
        <v>17</v>
      </c>
      <c r="W33" s="710" t="e">
        <f t="shared" si="14"/>
        <v>#N/A</v>
      </c>
      <c r="X33" s="1348"/>
      <c r="Y33" s="3602"/>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2"/>
      <c r="Q34" s="1338" t="str">
        <f t="shared" si="11"/>
        <v>物业管理</v>
      </c>
      <c r="R34" s="705" t="s">
        <v>17</v>
      </c>
      <c r="S34" s="706">
        <f t="shared" si="12"/>
        <v>100</v>
      </c>
      <c r="T34" s="705" t="s">
        <v>17</v>
      </c>
      <c r="U34" s="706">
        <f t="shared" si="13"/>
        <v>100</v>
      </c>
      <c r="V34" s="705" t="s">
        <v>17</v>
      </c>
      <c r="W34" s="706">
        <f t="shared" si="14"/>
        <v>100</v>
      </c>
      <c r="X34" s="707"/>
      <c r="Y34" s="3602"/>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2" t="s">
        <v>1950</v>
      </c>
      <c r="Q35" s="1345" t="str">
        <f t="shared" si="11"/>
        <v>市政基础设施</v>
      </c>
      <c r="R35" s="709" t="s">
        <v>17</v>
      </c>
      <c r="S35" s="710">
        <f t="shared" si="12"/>
        <v>100</v>
      </c>
      <c r="T35" s="709" t="s">
        <v>17</v>
      </c>
      <c r="U35" s="710">
        <f t="shared" si="13"/>
        <v>100</v>
      </c>
      <c r="V35" s="709" t="s">
        <v>17</v>
      </c>
      <c r="W35" s="710">
        <f t="shared" si="14"/>
        <v>100</v>
      </c>
      <c r="X35" s="1348"/>
      <c r="Y35" s="3602"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2"/>
      <c r="Q36" s="1345" t="str">
        <f t="shared" si="11"/>
        <v>内部装修</v>
      </c>
      <c r="R36" s="709" t="s">
        <v>17</v>
      </c>
      <c r="S36" s="710">
        <f t="shared" si="12"/>
        <v>100</v>
      </c>
      <c r="T36" s="709" t="s">
        <v>17</v>
      </c>
      <c r="U36" s="710">
        <f t="shared" si="13"/>
        <v>100</v>
      </c>
      <c r="V36" s="709" t="s">
        <v>17</v>
      </c>
      <c r="W36" s="710">
        <f t="shared" si="14"/>
        <v>100</v>
      </c>
      <c r="X36" s="1348"/>
      <c r="Y36" s="3602"/>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2"/>
      <c r="Q37" s="1345" t="str">
        <f t="shared" si="11"/>
        <v>内部装修状况</v>
      </c>
      <c r="R37" s="709" t="s">
        <v>17</v>
      </c>
      <c r="S37" s="710">
        <f t="shared" si="12"/>
        <v>100</v>
      </c>
      <c r="T37" s="709" t="s">
        <v>17</v>
      </c>
      <c r="U37" s="710">
        <f t="shared" si="13"/>
        <v>100</v>
      </c>
      <c r="V37" s="709" t="s">
        <v>17</v>
      </c>
      <c r="W37" s="710">
        <f t="shared" si="14"/>
        <v>100</v>
      </c>
      <c r="X37" s="1348"/>
      <c r="Y37" s="3602"/>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2"/>
      <c r="Q38" s="711">
        <f t="shared" si="11"/>
        <v>111</v>
      </c>
      <c r="R38" s="712" t="s">
        <v>17</v>
      </c>
      <c r="S38" s="713">
        <f t="shared" si="12"/>
        <v>100</v>
      </c>
      <c r="T38" s="712" t="s">
        <v>17</v>
      </c>
      <c r="U38" s="713">
        <f t="shared" si="13"/>
        <v>100</v>
      </c>
      <c r="V38" s="712" t="s">
        <v>17</v>
      </c>
      <c r="W38" s="713">
        <f t="shared" si="14"/>
        <v>100</v>
      </c>
      <c r="X38" s="714"/>
      <c r="Y38" s="3602"/>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2"/>
      <c r="Q39" s="1345">
        <f t="shared" si="11"/>
        <v>111</v>
      </c>
      <c r="R39" s="709" t="s">
        <v>17</v>
      </c>
      <c r="S39" s="710">
        <f t="shared" si="12"/>
        <v>100</v>
      </c>
      <c r="T39" s="709" t="s">
        <v>17</v>
      </c>
      <c r="U39" s="710">
        <f t="shared" si="13"/>
        <v>100</v>
      </c>
      <c r="V39" s="709" t="s">
        <v>17</v>
      </c>
      <c r="W39" s="710">
        <f t="shared" si="14"/>
        <v>100</v>
      </c>
      <c r="X39" s="1348"/>
      <c r="Y39" s="3602"/>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3"/>
      <c r="Q40" s="1345">
        <f t="shared" si="11"/>
        <v>111</v>
      </c>
      <c r="R40" s="709" t="s">
        <v>17</v>
      </c>
      <c r="S40" s="710">
        <f t="shared" si="12"/>
        <v>100</v>
      </c>
      <c r="T40" s="709" t="s">
        <v>17</v>
      </c>
      <c r="U40" s="710">
        <f t="shared" si="13"/>
        <v>100</v>
      </c>
      <c r="V40" s="709" t="s">
        <v>17</v>
      </c>
      <c r="W40" s="710">
        <f t="shared" si="14"/>
        <v>100</v>
      </c>
      <c r="X40" s="1348"/>
      <c r="Y40" s="3603"/>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5" t="str">
        <f>A41</f>
        <v>成交单价（元/平方米）</v>
      </c>
      <c r="Q41" s="3595"/>
      <c r="R41" s="3596">
        <f>E41</f>
        <v>0</v>
      </c>
      <c r="S41" s="3596"/>
      <c r="T41" s="3596">
        <f>G41</f>
        <v>0</v>
      </c>
      <c r="U41" s="3596"/>
      <c r="V41" s="3596">
        <f>I41</f>
        <v>0</v>
      </c>
      <c r="W41" s="3596"/>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5" t="str">
        <f>A42</f>
        <v>比较价值（元/平方米）</v>
      </c>
      <c r="Q42" s="3595"/>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2" t="str">
        <f>A43</f>
        <v>估价对象XX用房的比较价值（楼面单价，元/平方米）</v>
      </c>
      <c r="Q43" s="3593"/>
      <c r="R43" s="3594" t="e">
        <f>IF(F1="售价",ROUND(IF(D42="简单平均",AVERAGE(R42:V42),R42*F42+T42*H42+V42*J42),0),ROUND(IF(D42="简单平均",AVERAGE(R42:V42),R42*F42+T42*H42+V42*J42),1))</f>
        <v>#DIV/0!</v>
      </c>
      <c r="S43" s="3594"/>
      <c r="T43" s="3594"/>
      <c r="U43" s="3594"/>
      <c r="V43" s="3594"/>
      <c r="W43" s="3594"/>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2022年4月29日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620" t="s">
        <v>2032</v>
      </c>
      <c r="S4" s="3621"/>
      <c r="T4" s="3620" t="s">
        <v>2033</v>
      </c>
      <c r="U4" s="3621"/>
      <c r="V4" s="3626" t="s">
        <v>2034</v>
      </c>
      <c r="W4" s="3626"/>
      <c r="X4" s="1348"/>
      <c r="Y4" s="3620" t="s">
        <v>2036</v>
      </c>
      <c r="Z4" s="3621"/>
      <c r="AA4" s="3607" t="s">
        <v>2032</v>
      </c>
      <c r="AB4" s="3608" t="s">
        <v>2033</v>
      </c>
      <c r="AC4" s="3607" t="s">
        <v>2034</v>
      </c>
    </row>
    <row r="5" spans="1:29" ht="15">
      <c r="A5" s="360"/>
      <c r="B5" s="361"/>
      <c r="C5" s="3629" t="s">
        <v>1927</v>
      </c>
      <c r="D5" s="3630"/>
      <c r="E5" s="3636" t="s">
        <v>1928</v>
      </c>
      <c r="F5" s="3637"/>
      <c r="G5" s="3629" t="s">
        <v>1929</v>
      </c>
      <c r="H5" s="3630"/>
      <c r="I5" s="3629" t="s">
        <v>1930</v>
      </c>
      <c r="J5" s="3630"/>
      <c r="K5" s="563"/>
      <c r="L5" s="2542"/>
      <c r="M5" s="2543"/>
      <c r="N5" s="2543"/>
      <c r="O5" s="2543"/>
      <c r="P5" s="3616"/>
      <c r="Q5" s="3617"/>
      <c r="R5" s="3622"/>
      <c r="S5" s="3623"/>
      <c r="T5" s="3622"/>
      <c r="U5" s="3623"/>
      <c r="V5" s="3626"/>
      <c r="W5" s="3626"/>
      <c r="X5" s="1348"/>
      <c r="Y5" s="3622"/>
      <c r="Z5" s="3623"/>
      <c r="AA5" s="3608"/>
      <c r="AB5" s="3608"/>
      <c r="AC5" s="3608"/>
    </row>
    <row r="6" spans="1:29" ht="15.75" thickBot="1">
      <c r="A6" s="362"/>
      <c r="B6" s="363"/>
      <c r="C6" s="3627" t="s">
        <v>1931</v>
      </c>
      <c r="D6" s="3628"/>
      <c r="E6" s="3634" t="s">
        <v>1931</v>
      </c>
      <c r="F6" s="3635"/>
      <c r="G6" s="3627" t="s">
        <v>1931</v>
      </c>
      <c r="H6" s="3628"/>
      <c r="I6" s="3627" t="s">
        <v>1931</v>
      </c>
      <c r="J6" s="3628"/>
      <c r="K6" s="563" t="s">
        <v>1932</v>
      </c>
      <c r="L6" s="2542"/>
      <c r="M6" s="2543"/>
      <c r="N6" s="2543"/>
      <c r="O6" s="2543"/>
      <c r="P6" s="3618"/>
      <c r="Q6" s="3619"/>
      <c r="R6" s="3622"/>
      <c r="S6" s="3623"/>
      <c r="T6" s="3624"/>
      <c r="U6" s="3625"/>
      <c r="V6" s="3626"/>
      <c r="W6" s="3626"/>
      <c r="X6" s="1348"/>
      <c r="Y6" s="3624"/>
      <c r="Z6" s="3625"/>
      <c r="AA6" s="3609"/>
      <c r="AB6" s="3609"/>
      <c r="AC6" s="3609"/>
    </row>
    <row r="7" spans="1:29" s="112" customFormat="1" ht="15.75" thickBot="1">
      <c r="A7" s="364" t="s">
        <v>1933</v>
      </c>
      <c r="B7" s="365"/>
      <c r="C7" s="366">
        <f>'数据-取费表'!B2</f>
        <v>44680</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31" t="s">
        <v>1934</v>
      </c>
      <c r="Q7" s="3633"/>
      <c r="R7" s="705" t="s">
        <v>17</v>
      </c>
      <c r="S7" s="706">
        <f t="shared" ref="S7:S14" si="0">F7</f>
        <v>0</v>
      </c>
      <c r="T7" s="705" t="s">
        <v>17</v>
      </c>
      <c r="U7" s="706">
        <f t="shared" ref="U7:U14" si="1">H7</f>
        <v>0</v>
      </c>
      <c r="V7" s="705" t="s">
        <v>17</v>
      </c>
      <c r="W7" s="706">
        <f t="shared" ref="W7:W14" si="2">J7</f>
        <v>0</v>
      </c>
      <c r="X7" s="707"/>
      <c r="Y7" s="3631" t="s">
        <v>1934</v>
      </c>
      <c r="Z7" s="3632"/>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31" t="s">
        <v>1937</v>
      </c>
      <c r="Q8" s="3632"/>
      <c r="R8" s="705" t="s">
        <v>17</v>
      </c>
      <c r="S8" s="706">
        <f t="shared" si="0"/>
        <v>0</v>
      </c>
      <c r="T8" s="705" t="s">
        <v>17</v>
      </c>
      <c r="U8" s="706">
        <f t="shared" si="1"/>
        <v>0</v>
      </c>
      <c r="V8" s="705" t="s">
        <v>17</v>
      </c>
      <c r="W8" s="706">
        <f t="shared" si="2"/>
        <v>0</v>
      </c>
      <c r="X8" s="707"/>
      <c r="Y8" s="3631" t="s">
        <v>1937</v>
      </c>
      <c r="Z8" s="3632"/>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5" t="s">
        <v>1940</v>
      </c>
      <c r="Q9" s="1338" t="str">
        <f t="shared" ref="Q9:Q14" si="6">B9</f>
        <v>用途</v>
      </c>
      <c r="R9" s="705" t="s">
        <v>17</v>
      </c>
      <c r="S9" s="706">
        <f t="shared" si="0"/>
        <v>100</v>
      </c>
      <c r="T9" s="705" t="s">
        <v>17</v>
      </c>
      <c r="U9" s="706">
        <f t="shared" si="1"/>
        <v>100</v>
      </c>
      <c r="V9" s="705" t="s">
        <v>17</v>
      </c>
      <c r="W9" s="706">
        <f t="shared" si="2"/>
        <v>100</v>
      </c>
      <c r="X9" s="707"/>
      <c r="Y9" s="3467"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5"/>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5"/>
      <c r="Q11" s="1338">
        <f t="shared" si="6"/>
        <v>111</v>
      </c>
      <c r="R11" s="705" t="s">
        <v>17</v>
      </c>
      <c r="S11" s="706">
        <f t="shared" si="0"/>
        <v>100</v>
      </c>
      <c r="T11" s="705" t="s">
        <v>17</v>
      </c>
      <c r="U11" s="706">
        <f t="shared" si="1"/>
        <v>100</v>
      </c>
      <c r="V11" s="705" t="s">
        <v>17</v>
      </c>
      <c r="W11" s="706">
        <f t="shared" si="2"/>
        <v>100</v>
      </c>
      <c r="X11" s="707"/>
      <c r="Y11" s="346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5"/>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5"/>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7" t="s">
        <v>1945</v>
      </c>
      <c r="Q14" s="1345" t="str">
        <f t="shared" si="6"/>
        <v>交通便捷度</v>
      </c>
      <c r="R14" s="709" t="s">
        <v>17</v>
      </c>
      <c r="S14" s="710">
        <f t="shared" si="0"/>
        <v>100</v>
      </c>
      <c r="T14" s="709" t="s">
        <v>17</v>
      </c>
      <c r="U14" s="710">
        <f t="shared" si="1"/>
        <v>100</v>
      </c>
      <c r="V14" s="709" t="s">
        <v>17</v>
      </c>
      <c r="W14" s="710">
        <f t="shared" si="2"/>
        <v>100</v>
      </c>
      <c r="X14" s="1348"/>
      <c r="Y14" s="3597"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8"/>
      <c r="Q15" s="1345"/>
      <c r="R15" s="709"/>
      <c r="S15" s="710"/>
      <c r="T15" s="709"/>
      <c r="U15" s="710"/>
      <c r="V15" s="709"/>
      <c r="W15" s="710"/>
      <c r="X15" s="1348"/>
      <c r="Y15" s="3598"/>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8"/>
      <c r="Q16" s="1345" t="str">
        <f>B16</f>
        <v>公共配套设施</v>
      </c>
      <c r="R16" s="709" t="s">
        <v>17</v>
      </c>
      <c r="S16" s="710">
        <f>F16</f>
        <v>100</v>
      </c>
      <c r="T16" s="709" t="s">
        <v>17</v>
      </c>
      <c r="U16" s="710">
        <f>H16</f>
        <v>100</v>
      </c>
      <c r="V16" s="709" t="s">
        <v>17</v>
      </c>
      <c r="W16" s="710">
        <f>J16</f>
        <v>100</v>
      </c>
      <c r="X16" s="1348"/>
      <c r="Y16" s="3598"/>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8"/>
      <c r="Q17" s="1345"/>
      <c r="R17" s="709"/>
      <c r="S17" s="710"/>
      <c r="T17" s="709"/>
      <c r="U17" s="710"/>
      <c r="V17" s="709"/>
      <c r="W17" s="710"/>
      <c r="X17" s="1348"/>
      <c r="Y17" s="3598"/>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8"/>
      <c r="Q18" s="1345" t="str">
        <f>B18</f>
        <v>基础设施水平</v>
      </c>
      <c r="R18" s="709" t="s">
        <v>17</v>
      </c>
      <c r="S18" s="710">
        <f>F18</f>
        <v>100</v>
      </c>
      <c r="T18" s="709" t="s">
        <v>17</v>
      </c>
      <c r="U18" s="710">
        <f>H18</f>
        <v>100</v>
      </c>
      <c r="V18" s="709" t="s">
        <v>17</v>
      </c>
      <c r="W18" s="710">
        <f>J18</f>
        <v>100</v>
      </c>
      <c r="X18" s="1348"/>
      <c r="Y18" s="3598"/>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8"/>
      <c r="Q19" s="1345"/>
      <c r="R19" s="709"/>
      <c r="S19" s="710"/>
      <c r="T19" s="709"/>
      <c r="U19" s="710"/>
      <c r="V19" s="709"/>
      <c r="W19" s="710"/>
      <c r="X19" s="1348"/>
      <c r="Y19" s="3598"/>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8"/>
      <c r="Q20" s="1345" t="str">
        <f>B20</f>
        <v>自然及人文环境</v>
      </c>
      <c r="R20" s="709" t="s">
        <v>17</v>
      </c>
      <c r="S20" s="710">
        <f>F20</f>
        <v>100</v>
      </c>
      <c r="T20" s="709" t="s">
        <v>17</v>
      </c>
      <c r="U20" s="710">
        <f>H20</f>
        <v>100</v>
      </c>
      <c r="V20" s="709" t="s">
        <v>17</v>
      </c>
      <c r="W20" s="710">
        <f>J20</f>
        <v>100</v>
      </c>
      <c r="X20" s="1348"/>
      <c r="Y20" s="3598"/>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8"/>
      <c r="Q21" s="1345"/>
      <c r="R21" s="709"/>
      <c r="S21" s="710"/>
      <c r="T21" s="709"/>
      <c r="U21" s="710"/>
      <c r="V21" s="709"/>
      <c r="W21" s="710"/>
      <c r="X21" s="1348"/>
      <c r="Y21" s="3598"/>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8"/>
      <c r="Q22" s="1345" t="str">
        <f>B22</f>
        <v>楼层</v>
      </c>
      <c r="R22" s="709" t="s">
        <v>17</v>
      </c>
      <c r="S22" s="710">
        <f>F22</f>
        <v>100</v>
      </c>
      <c r="T22" s="709" t="s">
        <v>17</v>
      </c>
      <c r="U22" s="710">
        <f>H22</f>
        <v>100</v>
      </c>
      <c r="V22" s="709" t="s">
        <v>17</v>
      </c>
      <c r="W22" s="710">
        <f>J22</f>
        <v>100</v>
      </c>
      <c r="X22" s="1348"/>
      <c r="Y22" s="3598"/>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8"/>
      <c r="Q23" s="1345">
        <f>B23</f>
        <v>111</v>
      </c>
      <c r="R23" s="709" t="s">
        <v>17</v>
      </c>
      <c r="S23" s="710">
        <f>F23</f>
        <v>100</v>
      </c>
      <c r="T23" s="709" t="s">
        <v>17</v>
      </c>
      <c r="U23" s="710">
        <f>H23</f>
        <v>100</v>
      </c>
      <c r="V23" s="709" t="s">
        <v>17</v>
      </c>
      <c r="W23" s="710">
        <f>J23</f>
        <v>100</v>
      </c>
      <c r="X23" s="1348"/>
      <c r="Y23" s="3598"/>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8"/>
      <c r="Q24" s="1345">
        <f t="shared" ref="Q24:Q36" si="11">B24</f>
        <v>111</v>
      </c>
      <c r="R24" s="709" t="s">
        <v>17</v>
      </c>
      <c r="S24" s="710">
        <f>F24</f>
        <v>100</v>
      </c>
      <c r="T24" s="709" t="s">
        <v>17</v>
      </c>
      <c r="U24" s="710">
        <f>H24</f>
        <v>100</v>
      </c>
      <c r="V24" s="709" t="s">
        <v>17</v>
      </c>
      <c r="W24" s="710">
        <f>J24</f>
        <v>100</v>
      </c>
      <c r="X24" s="1348"/>
      <c r="Y24" s="3598"/>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8"/>
      <c r="Q25" s="1338">
        <f t="shared" si="11"/>
        <v>111</v>
      </c>
      <c r="R25" s="705" t="s">
        <v>17</v>
      </c>
      <c r="S25" s="706">
        <f>F25</f>
        <v>100</v>
      </c>
      <c r="T25" s="705" t="s">
        <v>17</v>
      </c>
      <c r="U25" s="706">
        <f>H25</f>
        <v>100</v>
      </c>
      <c r="V25" s="705" t="s">
        <v>17</v>
      </c>
      <c r="W25" s="706">
        <f>J25</f>
        <v>100</v>
      </c>
      <c r="X25" s="707"/>
      <c r="Y25" s="3598"/>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3"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2"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2"/>
      <c r="Q27" s="711" t="str">
        <f t="shared" si="11"/>
        <v>项目停车位配比</v>
      </c>
      <c r="R27" s="712" t="s">
        <v>17</v>
      </c>
      <c r="S27" s="713">
        <f t="shared" si="12"/>
        <v>100</v>
      </c>
      <c r="T27" s="712" t="s">
        <v>17</v>
      </c>
      <c r="U27" s="713">
        <f t="shared" si="13"/>
        <v>100</v>
      </c>
      <c r="V27" s="712" t="s">
        <v>17</v>
      </c>
      <c r="W27" s="713">
        <f t="shared" si="14"/>
        <v>100</v>
      </c>
      <c r="X27" s="714"/>
      <c r="Y27" s="3602"/>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2"/>
      <c r="Q28" s="1345" t="str">
        <f t="shared" si="11"/>
        <v>公共部分装修</v>
      </c>
      <c r="R28" s="709" t="s">
        <v>17</v>
      </c>
      <c r="S28" s="710">
        <f t="shared" si="12"/>
        <v>100</v>
      </c>
      <c r="T28" s="709" t="s">
        <v>17</v>
      </c>
      <c r="U28" s="710">
        <f t="shared" si="13"/>
        <v>100</v>
      </c>
      <c r="V28" s="709" t="s">
        <v>17</v>
      </c>
      <c r="W28" s="710">
        <f t="shared" si="14"/>
        <v>100</v>
      </c>
      <c r="X28" s="1348"/>
      <c r="Y28" s="3602"/>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2"/>
      <c r="Q29" s="1345" t="str">
        <f t="shared" si="11"/>
        <v>成新率</v>
      </c>
      <c r="R29" s="709" t="s">
        <v>17</v>
      </c>
      <c r="S29" s="710" t="e">
        <f t="shared" si="12"/>
        <v>#N/A</v>
      </c>
      <c r="T29" s="709" t="s">
        <v>17</v>
      </c>
      <c r="U29" s="710" t="e">
        <f t="shared" si="13"/>
        <v>#N/A</v>
      </c>
      <c r="V29" s="709" t="s">
        <v>17</v>
      </c>
      <c r="W29" s="710" t="e">
        <f t="shared" si="14"/>
        <v>#N/A</v>
      </c>
      <c r="X29" s="1348"/>
      <c r="Y29" s="3602"/>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2"/>
      <c r="Q30" s="1345" t="str">
        <f t="shared" si="11"/>
        <v>物业等级</v>
      </c>
      <c r="R30" s="709" t="s">
        <v>17</v>
      </c>
      <c r="S30" s="710">
        <f t="shared" si="12"/>
        <v>100</v>
      </c>
      <c r="T30" s="709" t="s">
        <v>17</v>
      </c>
      <c r="U30" s="710">
        <f t="shared" si="13"/>
        <v>100</v>
      </c>
      <c r="V30" s="709" t="s">
        <v>17</v>
      </c>
      <c r="W30" s="710">
        <f t="shared" si="14"/>
        <v>100</v>
      </c>
      <c r="X30" s="1348"/>
      <c r="Y30" s="3602"/>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2"/>
      <c r="Q31" s="1338" t="str">
        <f t="shared" si="11"/>
        <v>停车位面积</v>
      </c>
      <c r="R31" s="705" t="s">
        <v>17</v>
      </c>
      <c r="S31" s="706" t="e">
        <f t="shared" si="12"/>
        <v>#N/A</v>
      </c>
      <c r="T31" s="705" t="s">
        <v>17</v>
      </c>
      <c r="U31" s="706" t="e">
        <f t="shared" si="13"/>
        <v>#N/A</v>
      </c>
      <c r="V31" s="705" t="s">
        <v>17</v>
      </c>
      <c r="W31" s="706" t="e">
        <f t="shared" si="14"/>
        <v>#N/A</v>
      </c>
      <c r="X31" s="707"/>
      <c r="Y31" s="3602"/>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2" t="s">
        <v>1950</v>
      </c>
      <c r="Q32" s="1345" t="str">
        <f t="shared" si="11"/>
        <v>车位类型</v>
      </c>
      <c r="R32" s="709" t="s">
        <v>17</v>
      </c>
      <c r="S32" s="710">
        <f t="shared" si="12"/>
        <v>100</v>
      </c>
      <c r="T32" s="709" t="s">
        <v>17</v>
      </c>
      <c r="U32" s="710">
        <f t="shared" si="13"/>
        <v>100</v>
      </c>
      <c r="V32" s="709" t="s">
        <v>17</v>
      </c>
      <c r="W32" s="710">
        <f t="shared" si="14"/>
        <v>100</v>
      </c>
      <c r="X32" s="1348"/>
      <c r="Y32" s="3602"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2"/>
      <c r="Q33" s="1345" t="str">
        <f t="shared" si="11"/>
        <v>是否直接入户</v>
      </c>
      <c r="R33" s="709" t="s">
        <v>17</v>
      </c>
      <c r="S33" s="710">
        <f t="shared" si="12"/>
        <v>100</v>
      </c>
      <c r="T33" s="709" t="s">
        <v>17</v>
      </c>
      <c r="U33" s="710">
        <f t="shared" si="13"/>
        <v>100</v>
      </c>
      <c r="V33" s="709" t="s">
        <v>17</v>
      </c>
      <c r="W33" s="710">
        <f t="shared" si="14"/>
        <v>100</v>
      </c>
      <c r="X33" s="1348"/>
      <c r="Y33" s="3602"/>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2"/>
      <c r="Q34" s="1345">
        <f t="shared" si="11"/>
        <v>111</v>
      </c>
      <c r="R34" s="709" t="s">
        <v>17</v>
      </c>
      <c r="S34" s="710">
        <f t="shared" si="12"/>
        <v>100</v>
      </c>
      <c r="T34" s="709" t="s">
        <v>17</v>
      </c>
      <c r="U34" s="710">
        <f t="shared" si="13"/>
        <v>100</v>
      </c>
      <c r="V34" s="709" t="s">
        <v>17</v>
      </c>
      <c r="W34" s="710">
        <f t="shared" si="14"/>
        <v>100</v>
      </c>
      <c r="X34" s="1348"/>
      <c r="Y34" s="3602"/>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2"/>
      <c r="Q35" s="711">
        <f t="shared" si="11"/>
        <v>111</v>
      </c>
      <c r="R35" s="712" t="s">
        <v>17</v>
      </c>
      <c r="S35" s="713">
        <f t="shared" si="12"/>
        <v>100</v>
      </c>
      <c r="T35" s="712" t="s">
        <v>17</v>
      </c>
      <c r="U35" s="713">
        <f t="shared" si="13"/>
        <v>100</v>
      </c>
      <c r="V35" s="712" t="s">
        <v>17</v>
      </c>
      <c r="W35" s="713">
        <f t="shared" si="14"/>
        <v>100</v>
      </c>
      <c r="X35" s="714"/>
      <c r="Y35" s="3602"/>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2"/>
      <c r="Q36" s="1345">
        <f t="shared" si="11"/>
        <v>111</v>
      </c>
      <c r="R36" s="709" t="s">
        <v>17</v>
      </c>
      <c r="S36" s="710">
        <f t="shared" si="12"/>
        <v>100</v>
      </c>
      <c r="T36" s="709" t="s">
        <v>17</v>
      </c>
      <c r="U36" s="710">
        <f t="shared" si="13"/>
        <v>100</v>
      </c>
      <c r="V36" s="709" t="s">
        <v>17</v>
      </c>
      <c r="W36" s="710">
        <f t="shared" si="14"/>
        <v>100</v>
      </c>
      <c r="X36" s="1348"/>
      <c r="Y36" s="3602"/>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5" t="str">
        <f>A37</f>
        <v>成交单价</v>
      </c>
      <c r="Q37" s="3595"/>
      <c r="R37" s="3596">
        <f>E37</f>
        <v>0</v>
      </c>
      <c r="S37" s="3596"/>
      <c r="T37" s="3596">
        <f>G37</f>
        <v>0</v>
      </c>
      <c r="U37" s="3596"/>
      <c r="V37" s="3596">
        <f>I37</f>
        <v>0</v>
      </c>
      <c r="W37" s="3596"/>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5" t="str">
        <f>A38</f>
        <v>比较价值（元/平方米）</v>
      </c>
      <c r="Q38" s="3595"/>
      <c r="R38" s="3596" t="e">
        <f>IF(F1="售价",ROUND(PRODUCT(R37,AA7:AA36),0),ROUND(PRODUCT(R37,AA7:AA36),1))</f>
        <v>#DIV/0!</v>
      </c>
      <c r="S38" s="3596"/>
      <c r="T38" s="3596" t="e">
        <f>IF(F1="售价",ROUND(PRODUCT(T37,AB7:AB36),0),ROUND(PRODUCT(T37,AB7:AB36),1))</f>
        <v>#DIV/0!</v>
      </c>
      <c r="U38" s="3596"/>
      <c r="V38" s="3596" t="e">
        <f>IF(F1="售价",ROUND(PRODUCT(V37,AC7:AC36),0),ROUND(PRODUCT(V37,AC7:AC36),1))</f>
        <v>#DIV/0!</v>
      </c>
      <c r="W38" s="3596"/>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2" t="str">
        <f>A39</f>
        <v>估价对象XX用房的比较价值（楼面单价，元/平方米）</v>
      </c>
      <c r="Q39" s="3593"/>
      <c r="R39" s="3654" t="e">
        <f>IF(F1="售价",ROUND(IF(D38="简单平均",AVERAGE(R38:W38),R38*F38+T38*H38+V38*J38),0),ROUND(IF(D38="简单平均",AVERAGE(R38:V38),R38*F38+T38*H38+V38*J38),1))</f>
        <v>#DIV/0!</v>
      </c>
      <c r="S39" s="3654"/>
      <c r="T39" s="3654"/>
      <c r="U39" s="3654"/>
      <c r="V39" s="3654"/>
      <c r="W39" s="3654"/>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620" t="s">
        <v>2032</v>
      </c>
      <c r="S4" s="3621"/>
      <c r="T4" s="3620" t="s">
        <v>2033</v>
      </c>
      <c r="U4" s="3621"/>
      <c r="V4" s="3626" t="s">
        <v>2034</v>
      </c>
      <c r="W4" s="3626"/>
      <c r="X4" s="1348"/>
      <c r="Y4" s="3620" t="s">
        <v>2036</v>
      </c>
      <c r="Z4" s="3621"/>
      <c r="AA4" s="3607" t="s">
        <v>2032</v>
      </c>
      <c r="AB4" s="3608" t="s">
        <v>2033</v>
      </c>
      <c r="AC4" s="3607" t="s">
        <v>2034</v>
      </c>
    </row>
    <row r="5" spans="1:29" ht="15">
      <c r="A5" s="360"/>
      <c r="B5" s="361"/>
      <c r="C5" s="3629" t="s">
        <v>1927</v>
      </c>
      <c r="D5" s="3630"/>
      <c r="E5" s="3636" t="s">
        <v>1928</v>
      </c>
      <c r="F5" s="3637"/>
      <c r="G5" s="3629" t="s">
        <v>1929</v>
      </c>
      <c r="H5" s="3630"/>
      <c r="I5" s="3629" t="s">
        <v>1930</v>
      </c>
      <c r="J5" s="3630"/>
      <c r="K5" s="563"/>
      <c r="L5" s="2542"/>
      <c r="M5" s="2543"/>
      <c r="N5" s="2543"/>
      <c r="O5" s="2543"/>
      <c r="P5" s="3616"/>
      <c r="Q5" s="3617"/>
      <c r="R5" s="3622"/>
      <c r="S5" s="3623"/>
      <c r="T5" s="3622"/>
      <c r="U5" s="3623"/>
      <c r="V5" s="3626"/>
      <c r="W5" s="3626"/>
      <c r="X5" s="1348"/>
      <c r="Y5" s="3622"/>
      <c r="Z5" s="3623"/>
      <c r="AA5" s="3608"/>
      <c r="AB5" s="3608"/>
      <c r="AC5" s="3608"/>
    </row>
    <row r="6" spans="1:29" ht="15.75" thickBot="1">
      <c r="A6" s="362"/>
      <c r="B6" s="363"/>
      <c r="C6" s="3627" t="s">
        <v>1931</v>
      </c>
      <c r="D6" s="3628"/>
      <c r="E6" s="3634" t="s">
        <v>1931</v>
      </c>
      <c r="F6" s="3635"/>
      <c r="G6" s="3627" t="s">
        <v>1931</v>
      </c>
      <c r="H6" s="3628"/>
      <c r="I6" s="3627" t="s">
        <v>1931</v>
      </c>
      <c r="J6" s="3628"/>
      <c r="K6" s="563" t="s">
        <v>1932</v>
      </c>
      <c r="L6" s="2542"/>
      <c r="M6" s="2543"/>
      <c r="N6" s="2543"/>
      <c r="O6" s="2543"/>
      <c r="P6" s="3618"/>
      <c r="Q6" s="3619"/>
      <c r="R6" s="3622"/>
      <c r="S6" s="3623"/>
      <c r="T6" s="3624"/>
      <c r="U6" s="3625"/>
      <c r="V6" s="3626"/>
      <c r="W6" s="3626"/>
      <c r="X6" s="1348"/>
      <c r="Y6" s="3624"/>
      <c r="Z6" s="3625"/>
      <c r="AA6" s="3609"/>
      <c r="AB6" s="3609"/>
      <c r="AC6" s="3609"/>
    </row>
    <row r="7" spans="1:29" s="112" customFormat="1" ht="15.75" thickBot="1">
      <c r="A7" s="364" t="s">
        <v>1933</v>
      </c>
      <c r="B7" s="365"/>
      <c r="C7" s="366">
        <f>'数据-取费表'!B2</f>
        <v>44680</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31" t="s">
        <v>1934</v>
      </c>
      <c r="Q7" s="3633"/>
      <c r="R7" s="705" t="s">
        <v>17</v>
      </c>
      <c r="S7" s="706">
        <f t="shared" ref="S7:S14" si="0">F7</f>
        <v>0</v>
      </c>
      <c r="T7" s="705" t="s">
        <v>17</v>
      </c>
      <c r="U7" s="706">
        <f t="shared" ref="U7:U14" si="1">H7</f>
        <v>0</v>
      </c>
      <c r="V7" s="705" t="s">
        <v>17</v>
      </c>
      <c r="W7" s="706">
        <f t="shared" ref="W7:W14" si="2">J7</f>
        <v>0</v>
      </c>
      <c r="X7" s="707"/>
      <c r="Y7" s="3631" t="s">
        <v>1934</v>
      </c>
      <c r="Z7" s="3632"/>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31" t="s">
        <v>1937</v>
      </c>
      <c r="Q8" s="3632"/>
      <c r="R8" s="705" t="s">
        <v>17</v>
      </c>
      <c r="S8" s="706">
        <f t="shared" si="0"/>
        <v>0</v>
      </c>
      <c r="T8" s="705" t="s">
        <v>17</v>
      </c>
      <c r="U8" s="706">
        <f t="shared" si="1"/>
        <v>0</v>
      </c>
      <c r="V8" s="705" t="s">
        <v>17</v>
      </c>
      <c r="W8" s="706">
        <f t="shared" si="2"/>
        <v>0</v>
      </c>
      <c r="X8" s="707"/>
      <c r="Y8" s="3631" t="s">
        <v>1937</v>
      </c>
      <c r="Z8" s="3632"/>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5" t="s">
        <v>1940</v>
      </c>
      <c r="Q9" s="1338" t="str">
        <f t="shared" ref="Q9:Q14" si="6">B9</f>
        <v>用途</v>
      </c>
      <c r="R9" s="705" t="s">
        <v>17</v>
      </c>
      <c r="S9" s="706">
        <f t="shared" si="0"/>
        <v>100</v>
      </c>
      <c r="T9" s="705" t="s">
        <v>17</v>
      </c>
      <c r="U9" s="706">
        <f t="shared" si="1"/>
        <v>100</v>
      </c>
      <c r="V9" s="705" t="s">
        <v>17</v>
      </c>
      <c r="W9" s="706">
        <f t="shared" si="2"/>
        <v>100</v>
      </c>
      <c r="X9" s="707"/>
      <c r="Y9" s="3467"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5"/>
      <c r="Q10" s="1338" t="str">
        <f t="shared" si="6"/>
        <v>土地使用年限（年）</v>
      </c>
      <c r="R10" s="705" t="s">
        <v>17</v>
      </c>
      <c r="S10" s="706">
        <f t="shared" si="0"/>
        <v>100</v>
      </c>
      <c r="T10" s="705" t="s">
        <v>17</v>
      </c>
      <c r="U10" s="706">
        <f t="shared" si="1"/>
        <v>100</v>
      </c>
      <c r="V10" s="705" t="s">
        <v>17</v>
      </c>
      <c r="W10" s="706">
        <f t="shared" si="2"/>
        <v>100</v>
      </c>
      <c r="X10" s="707"/>
      <c r="Y10" s="3467"/>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5"/>
      <c r="Q11" s="1338">
        <f t="shared" si="6"/>
        <v>111</v>
      </c>
      <c r="R11" s="705" t="s">
        <v>17</v>
      </c>
      <c r="S11" s="706">
        <f t="shared" si="0"/>
        <v>100</v>
      </c>
      <c r="T11" s="705" t="s">
        <v>17</v>
      </c>
      <c r="U11" s="706">
        <f t="shared" si="1"/>
        <v>100</v>
      </c>
      <c r="V11" s="705" t="s">
        <v>17</v>
      </c>
      <c r="W11" s="706">
        <f t="shared" si="2"/>
        <v>100</v>
      </c>
      <c r="X11" s="707"/>
      <c r="Y11" s="3467"/>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5"/>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5"/>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7" t="s">
        <v>1945</v>
      </c>
      <c r="Q14" s="1345" t="str">
        <f t="shared" si="6"/>
        <v>交通便捷度</v>
      </c>
      <c r="R14" s="709" t="s">
        <v>17</v>
      </c>
      <c r="S14" s="710">
        <f t="shared" si="0"/>
        <v>100</v>
      </c>
      <c r="T14" s="709" t="s">
        <v>17</v>
      </c>
      <c r="U14" s="710">
        <f t="shared" si="1"/>
        <v>100</v>
      </c>
      <c r="V14" s="709" t="s">
        <v>17</v>
      </c>
      <c r="W14" s="710">
        <f t="shared" si="2"/>
        <v>100</v>
      </c>
      <c r="X14" s="1348"/>
      <c r="Y14" s="3597"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8"/>
      <c r="Q15" s="1345"/>
      <c r="R15" s="709"/>
      <c r="S15" s="710"/>
      <c r="T15" s="709"/>
      <c r="U15" s="710"/>
      <c r="V15" s="709"/>
      <c r="W15" s="710"/>
      <c r="X15" s="1348"/>
      <c r="Y15" s="3598"/>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8"/>
      <c r="Q16" s="1345" t="str">
        <f>B16</f>
        <v>公共配套设施</v>
      </c>
      <c r="R16" s="709" t="s">
        <v>17</v>
      </c>
      <c r="S16" s="710">
        <f>F16</f>
        <v>100</v>
      </c>
      <c r="T16" s="709" t="s">
        <v>17</v>
      </c>
      <c r="U16" s="710">
        <f>H16</f>
        <v>100</v>
      </c>
      <c r="V16" s="709" t="s">
        <v>17</v>
      </c>
      <c r="W16" s="710">
        <f>J16</f>
        <v>100</v>
      </c>
      <c r="X16" s="1348"/>
      <c r="Y16" s="3598"/>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8"/>
      <c r="Q17" s="1345"/>
      <c r="R17" s="709"/>
      <c r="S17" s="710"/>
      <c r="T17" s="709"/>
      <c r="U17" s="710"/>
      <c r="V17" s="709"/>
      <c r="W17" s="710"/>
      <c r="X17" s="1348"/>
      <c r="Y17" s="3598"/>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8"/>
      <c r="Q18" s="1345" t="str">
        <f>B18</f>
        <v>基础设施水平</v>
      </c>
      <c r="R18" s="709" t="s">
        <v>17</v>
      </c>
      <c r="S18" s="710">
        <f>F18</f>
        <v>100</v>
      </c>
      <c r="T18" s="709" t="s">
        <v>17</v>
      </c>
      <c r="U18" s="710">
        <f>H18</f>
        <v>100</v>
      </c>
      <c r="V18" s="709" t="s">
        <v>17</v>
      </c>
      <c r="W18" s="710">
        <f>J18</f>
        <v>100</v>
      </c>
      <c r="X18" s="1348"/>
      <c r="Y18" s="3598"/>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8"/>
      <c r="Q19" s="1345"/>
      <c r="R19" s="709"/>
      <c r="S19" s="710"/>
      <c r="T19" s="709"/>
      <c r="U19" s="710"/>
      <c r="V19" s="709"/>
      <c r="W19" s="710"/>
      <c r="X19" s="1348"/>
      <c r="Y19" s="3598"/>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8"/>
      <c r="Q20" s="1345" t="str">
        <f>B20</f>
        <v>自然及人文环境</v>
      </c>
      <c r="R20" s="709" t="s">
        <v>17</v>
      </c>
      <c r="S20" s="710">
        <f>F20</f>
        <v>100</v>
      </c>
      <c r="T20" s="709" t="s">
        <v>17</v>
      </c>
      <c r="U20" s="710">
        <f>H20</f>
        <v>100</v>
      </c>
      <c r="V20" s="709" t="s">
        <v>17</v>
      </c>
      <c r="W20" s="710">
        <f>J20</f>
        <v>100</v>
      </c>
      <c r="X20" s="1348"/>
      <c r="Y20" s="3598"/>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8"/>
      <c r="Q21" s="1345"/>
      <c r="R21" s="709"/>
      <c r="S21" s="710"/>
      <c r="T21" s="709"/>
      <c r="U21" s="710"/>
      <c r="V21" s="709"/>
      <c r="W21" s="710"/>
      <c r="X21" s="1348"/>
      <c r="Y21" s="3598"/>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8"/>
      <c r="Q22" s="1345" t="str">
        <f>B22</f>
        <v>楼层</v>
      </c>
      <c r="R22" s="709" t="s">
        <v>17</v>
      </c>
      <c r="S22" s="710">
        <f>F22</f>
        <v>100</v>
      </c>
      <c r="T22" s="709" t="s">
        <v>17</v>
      </c>
      <c r="U22" s="710">
        <f>H22</f>
        <v>100</v>
      </c>
      <c r="V22" s="709" t="s">
        <v>17</v>
      </c>
      <c r="W22" s="710">
        <f>J22</f>
        <v>100</v>
      </c>
      <c r="X22" s="1348"/>
      <c r="Y22" s="3598"/>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8"/>
      <c r="Q23" s="1345">
        <f>B23</f>
        <v>111</v>
      </c>
      <c r="R23" s="709" t="s">
        <v>17</v>
      </c>
      <c r="S23" s="710">
        <f>F23</f>
        <v>100</v>
      </c>
      <c r="T23" s="709" t="s">
        <v>17</v>
      </c>
      <c r="U23" s="710">
        <f>H23</f>
        <v>100</v>
      </c>
      <c r="V23" s="709" t="s">
        <v>17</v>
      </c>
      <c r="W23" s="710">
        <f>J23</f>
        <v>100</v>
      </c>
      <c r="X23" s="1348"/>
      <c r="Y23" s="3598"/>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8"/>
      <c r="Q24" s="1345">
        <f t="shared" ref="Q24:Q34" si="11">B24</f>
        <v>111</v>
      </c>
      <c r="R24" s="709" t="s">
        <v>17</v>
      </c>
      <c r="S24" s="710">
        <f>F24</f>
        <v>100</v>
      </c>
      <c r="T24" s="709" t="s">
        <v>17</v>
      </c>
      <c r="U24" s="710">
        <f>H24</f>
        <v>100</v>
      </c>
      <c r="V24" s="709" t="s">
        <v>17</v>
      </c>
      <c r="W24" s="710">
        <f>J24</f>
        <v>100</v>
      </c>
      <c r="X24" s="1348"/>
      <c r="Y24" s="3598"/>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8"/>
      <c r="Q25" s="1338">
        <f t="shared" si="11"/>
        <v>111</v>
      </c>
      <c r="R25" s="705" t="s">
        <v>17</v>
      </c>
      <c r="S25" s="706">
        <f>F25</f>
        <v>100</v>
      </c>
      <c r="T25" s="705" t="s">
        <v>17</v>
      </c>
      <c r="U25" s="706">
        <f>H25</f>
        <v>100</v>
      </c>
      <c r="V25" s="705" t="s">
        <v>17</v>
      </c>
      <c r="W25" s="706">
        <f>J25</f>
        <v>100</v>
      </c>
      <c r="X25" s="707"/>
      <c r="Y25" s="3598"/>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3"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2"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2"/>
      <c r="Q27" s="711" t="str">
        <f t="shared" si="11"/>
        <v>成新率</v>
      </c>
      <c r="R27" s="712" t="s">
        <v>17</v>
      </c>
      <c r="S27" s="713" t="e">
        <f t="shared" si="12"/>
        <v>#N/A</v>
      </c>
      <c r="T27" s="712" t="s">
        <v>17</v>
      </c>
      <c r="U27" s="713" t="e">
        <f t="shared" si="13"/>
        <v>#N/A</v>
      </c>
      <c r="V27" s="712" t="s">
        <v>17</v>
      </c>
      <c r="W27" s="713" t="e">
        <f t="shared" si="14"/>
        <v>#N/A</v>
      </c>
      <c r="X27" s="714"/>
      <c r="Y27" s="3602"/>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2"/>
      <c r="Q28" s="1345" t="str">
        <f t="shared" si="11"/>
        <v>物业等级</v>
      </c>
      <c r="R28" s="709" t="s">
        <v>17</v>
      </c>
      <c r="S28" s="710">
        <f t="shared" si="12"/>
        <v>100</v>
      </c>
      <c r="T28" s="709" t="s">
        <v>17</v>
      </c>
      <c r="U28" s="710">
        <f t="shared" si="13"/>
        <v>100</v>
      </c>
      <c r="V28" s="709" t="s">
        <v>17</v>
      </c>
      <c r="W28" s="710">
        <f t="shared" si="14"/>
        <v>100</v>
      </c>
      <c r="X28" s="1348"/>
      <c r="Y28" s="3602"/>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2"/>
      <c r="Q29" s="1345" t="str">
        <f t="shared" si="11"/>
        <v>有无电梯</v>
      </c>
      <c r="R29" s="709" t="s">
        <v>17</v>
      </c>
      <c r="S29" s="710">
        <f t="shared" si="12"/>
        <v>100</v>
      </c>
      <c r="T29" s="709" t="s">
        <v>17</v>
      </c>
      <c r="U29" s="710">
        <f t="shared" si="13"/>
        <v>100</v>
      </c>
      <c r="V29" s="709" t="s">
        <v>17</v>
      </c>
      <c r="W29" s="710">
        <f t="shared" si="14"/>
        <v>100</v>
      </c>
      <c r="X29" s="1348"/>
      <c r="Y29" s="3602"/>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2"/>
      <c r="Q30" s="1345" t="str">
        <f t="shared" si="11"/>
        <v>建筑面积</v>
      </c>
      <c r="R30" s="709" t="s">
        <v>17</v>
      </c>
      <c r="S30" s="710" t="e">
        <f t="shared" si="12"/>
        <v>#N/A</v>
      </c>
      <c r="T30" s="709" t="s">
        <v>17</v>
      </c>
      <c r="U30" s="710" t="e">
        <f t="shared" si="13"/>
        <v>#N/A</v>
      </c>
      <c r="V30" s="709" t="s">
        <v>17</v>
      </c>
      <c r="W30" s="710" t="e">
        <f t="shared" si="14"/>
        <v>#N/A</v>
      </c>
      <c r="X30" s="1348"/>
      <c r="Y30" s="3602"/>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2"/>
      <c r="Q31" s="1338" t="str">
        <f t="shared" si="11"/>
        <v>是否封闭</v>
      </c>
      <c r="R31" s="705" t="s">
        <v>17</v>
      </c>
      <c r="S31" s="706">
        <f t="shared" si="12"/>
        <v>100</v>
      </c>
      <c r="T31" s="705" t="s">
        <v>17</v>
      </c>
      <c r="U31" s="706">
        <f t="shared" si="13"/>
        <v>100</v>
      </c>
      <c r="V31" s="705" t="s">
        <v>17</v>
      </c>
      <c r="W31" s="706">
        <f t="shared" si="14"/>
        <v>100</v>
      </c>
      <c r="X31" s="707"/>
      <c r="Y31" s="3602"/>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2" t="s">
        <v>1950</v>
      </c>
      <c r="Q32" s="1345">
        <f t="shared" si="11"/>
        <v>111</v>
      </c>
      <c r="R32" s="709" t="s">
        <v>17</v>
      </c>
      <c r="S32" s="710">
        <f t="shared" si="12"/>
        <v>100</v>
      </c>
      <c r="T32" s="709" t="s">
        <v>17</v>
      </c>
      <c r="U32" s="710">
        <f t="shared" si="13"/>
        <v>100</v>
      </c>
      <c r="V32" s="709" t="s">
        <v>17</v>
      </c>
      <c r="W32" s="710">
        <f t="shared" si="14"/>
        <v>100</v>
      </c>
      <c r="X32" s="1348"/>
      <c r="Y32" s="3602"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2"/>
      <c r="Q33" s="1345">
        <f t="shared" si="11"/>
        <v>111</v>
      </c>
      <c r="R33" s="709" t="s">
        <v>17</v>
      </c>
      <c r="S33" s="710">
        <f t="shared" si="12"/>
        <v>100</v>
      </c>
      <c r="T33" s="709" t="s">
        <v>17</v>
      </c>
      <c r="U33" s="710">
        <f t="shared" si="13"/>
        <v>100</v>
      </c>
      <c r="V33" s="709" t="s">
        <v>17</v>
      </c>
      <c r="W33" s="710">
        <f t="shared" si="14"/>
        <v>100</v>
      </c>
      <c r="X33" s="1348"/>
      <c r="Y33" s="3602"/>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2"/>
      <c r="Q34" s="1345">
        <f t="shared" si="11"/>
        <v>111</v>
      </c>
      <c r="R34" s="709" t="s">
        <v>17</v>
      </c>
      <c r="S34" s="710">
        <f t="shared" si="12"/>
        <v>100</v>
      </c>
      <c r="T34" s="709" t="s">
        <v>17</v>
      </c>
      <c r="U34" s="710">
        <f t="shared" si="13"/>
        <v>100</v>
      </c>
      <c r="V34" s="709" t="s">
        <v>17</v>
      </c>
      <c r="W34" s="710">
        <f t="shared" si="14"/>
        <v>100</v>
      </c>
      <c r="X34" s="1348"/>
      <c r="Y34" s="3602"/>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5" t="str">
        <f>A35</f>
        <v>成交单价（元/平方米）</v>
      </c>
      <c r="Q35" s="3595"/>
      <c r="R35" s="3596">
        <f>E35</f>
        <v>0</v>
      </c>
      <c r="S35" s="3596"/>
      <c r="T35" s="3596">
        <f>G35</f>
        <v>0</v>
      </c>
      <c r="U35" s="3596"/>
      <c r="V35" s="3596">
        <f>I35</f>
        <v>0</v>
      </c>
      <c r="W35" s="3596"/>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5" t="str">
        <f>A36</f>
        <v>比较价值（元/平方米）</v>
      </c>
      <c r="Q36" s="3595"/>
      <c r="R36" s="3596" t="e">
        <f>IF(F1="售价",ROUND(PRODUCT(R35,AA7:AA34),0),ROUND(PRODUCT(R35,AA7:AA34),1))</f>
        <v>#DIV/0!</v>
      </c>
      <c r="S36" s="3596"/>
      <c r="T36" s="3596" t="e">
        <f>IF(F1="售价",ROUND(PRODUCT(T35,AB7:AB34),0),ROUND(PRODUCT(T35,AB7:AB34),1))</f>
        <v>#DIV/0!</v>
      </c>
      <c r="U36" s="3596"/>
      <c r="V36" s="3596" t="e">
        <f>IF(F1="售价",ROUND(PRODUCT(V35,AC7:AC34),0),ROUND(PRODUCT(V35,AC7:AC34),1))</f>
        <v>#DIV/0!</v>
      </c>
      <c r="W36" s="3596"/>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2" t="str">
        <f>A37</f>
        <v>估价对象XX用房的比较价值（楼面单价，元/平方米）</v>
      </c>
      <c r="Q37" s="3593"/>
      <c r="R37" s="3654" t="e">
        <f>IF(F1="售价",ROUND(IF(D36="简单平均",AVERAGE(R36:W36),R36*F36+T36*H36+V36*J36),0),ROUND(IF(D36="简单平均",AVERAGE(R36:V36),R36*F36+T36*H36+V36*J36),1))</f>
        <v>#DIV/0!</v>
      </c>
      <c r="S37" s="3654"/>
      <c r="T37" s="3654"/>
      <c r="U37" s="3654"/>
      <c r="V37" s="3654"/>
      <c r="W37" s="3654"/>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620" t="s">
        <v>2032</v>
      </c>
      <c r="S4" s="3621"/>
      <c r="T4" s="3620" t="s">
        <v>2033</v>
      </c>
      <c r="U4" s="3621"/>
      <c r="V4" s="3626" t="s">
        <v>2034</v>
      </c>
      <c r="W4" s="3626"/>
      <c r="X4" s="1348"/>
      <c r="Y4" s="3620" t="s">
        <v>2036</v>
      </c>
      <c r="Z4" s="3621"/>
      <c r="AA4" s="3607" t="s">
        <v>2032</v>
      </c>
      <c r="AB4" s="3608" t="s">
        <v>2033</v>
      </c>
      <c r="AC4" s="3607" t="s">
        <v>2034</v>
      </c>
    </row>
    <row r="5" spans="1:30" ht="15">
      <c r="A5" s="360"/>
      <c r="B5" s="361"/>
      <c r="C5" s="3629" t="s">
        <v>1927</v>
      </c>
      <c r="D5" s="3630"/>
      <c r="E5" s="3636" t="s">
        <v>1928</v>
      </c>
      <c r="F5" s="3637"/>
      <c r="G5" s="3629" t="s">
        <v>1929</v>
      </c>
      <c r="H5" s="3630"/>
      <c r="I5" s="3629" t="s">
        <v>1930</v>
      </c>
      <c r="J5" s="3630"/>
      <c r="K5" s="563"/>
      <c r="L5" s="2542"/>
      <c r="M5" s="2543"/>
      <c r="N5" s="2543"/>
      <c r="O5" s="2543"/>
      <c r="P5" s="3616"/>
      <c r="Q5" s="3617"/>
      <c r="R5" s="3622"/>
      <c r="S5" s="3623"/>
      <c r="T5" s="3622"/>
      <c r="U5" s="3623"/>
      <c r="V5" s="3626"/>
      <c r="W5" s="3626"/>
      <c r="X5" s="1348"/>
      <c r="Y5" s="3622"/>
      <c r="Z5" s="3623"/>
      <c r="AA5" s="3608"/>
      <c r="AB5" s="3608"/>
      <c r="AC5" s="3608"/>
    </row>
    <row r="6" spans="1:30" ht="15.75" thickBot="1">
      <c r="A6" s="362"/>
      <c r="B6" s="363"/>
      <c r="C6" s="3627" t="s">
        <v>1931</v>
      </c>
      <c r="D6" s="3628"/>
      <c r="E6" s="3634" t="s">
        <v>1931</v>
      </c>
      <c r="F6" s="3635"/>
      <c r="G6" s="3627" t="s">
        <v>1931</v>
      </c>
      <c r="H6" s="3628"/>
      <c r="I6" s="3627" t="s">
        <v>1931</v>
      </c>
      <c r="J6" s="3628"/>
      <c r="K6" s="563" t="s">
        <v>1932</v>
      </c>
      <c r="L6" s="2542"/>
      <c r="M6" s="2543"/>
      <c r="N6" s="2543"/>
      <c r="O6" s="2543"/>
      <c r="P6" s="3618"/>
      <c r="Q6" s="3619"/>
      <c r="R6" s="3622"/>
      <c r="S6" s="3623"/>
      <c r="T6" s="3624"/>
      <c r="U6" s="3625"/>
      <c r="V6" s="3626"/>
      <c r="W6" s="3626"/>
      <c r="X6" s="1348"/>
      <c r="Y6" s="3624"/>
      <c r="Z6" s="3625"/>
      <c r="AA6" s="3609"/>
      <c r="AB6" s="3609"/>
      <c r="AC6" s="3609"/>
    </row>
    <row r="7" spans="1:30" s="112" customFormat="1" ht="15.75" thickBot="1">
      <c r="A7" s="364" t="s">
        <v>1933</v>
      </c>
      <c r="B7" s="365"/>
      <c r="C7" s="366">
        <f>'数据-取费表'!B2</f>
        <v>44680</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31" t="s">
        <v>1934</v>
      </c>
      <c r="Q7" s="3633"/>
      <c r="R7" s="705" t="s">
        <v>17</v>
      </c>
      <c r="S7" s="706">
        <f t="shared" ref="S7:S15" si="0">F7</f>
        <v>0</v>
      </c>
      <c r="T7" s="705" t="s">
        <v>17</v>
      </c>
      <c r="U7" s="706">
        <f t="shared" ref="U7:U15" si="1">H7</f>
        <v>0</v>
      </c>
      <c r="V7" s="705" t="s">
        <v>17</v>
      </c>
      <c r="W7" s="706">
        <f t="shared" ref="W7:W15" si="2">J7</f>
        <v>0</v>
      </c>
      <c r="X7" s="707"/>
      <c r="Y7" s="3631" t="s">
        <v>1934</v>
      </c>
      <c r="Z7" s="3632"/>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31" t="s">
        <v>1937</v>
      </c>
      <c r="Q8" s="3632"/>
      <c r="R8" s="705" t="s">
        <v>17</v>
      </c>
      <c r="S8" s="706">
        <f t="shared" si="0"/>
        <v>0</v>
      </c>
      <c r="T8" s="705" t="s">
        <v>17</v>
      </c>
      <c r="U8" s="706">
        <f t="shared" si="1"/>
        <v>0</v>
      </c>
      <c r="V8" s="705" t="s">
        <v>17</v>
      </c>
      <c r="W8" s="706">
        <f t="shared" si="2"/>
        <v>0</v>
      </c>
      <c r="X8" s="707"/>
      <c r="Y8" s="3631" t="s">
        <v>1937</v>
      </c>
      <c r="Z8" s="3632"/>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5"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5"/>
      <c r="Q10" s="1338" t="str">
        <f t="shared" si="6"/>
        <v>土地使用年限（年）</v>
      </c>
      <c r="R10" s="705" t="s">
        <v>17</v>
      </c>
      <c r="S10" s="706" t="e">
        <f t="shared" si="0"/>
        <v>#DIV/0!</v>
      </c>
      <c r="T10" s="705" t="s">
        <v>17</v>
      </c>
      <c r="U10" s="706" t="e">
        <f t="shared" si="1"/>
        <v>#DIV/0!</v>
      </c>
      <c r="V10" s="705" t="s">
        <v>17</v>
      </c>
      <c r="W10" s="706" t="e">
        <f t="shared" si="2"/>
        <v>#DIV/0!</v>
      </c>
      <c r="X10" s="707"/>
      <c r="Y10" s="3467"/>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5"/>
      <c r="Q11" s="1338" t="str">
        <f t="shared" si="6"/>
        <v>容积率</v>
      </c>
      <c r="R11" s="705" t="s">
        <v>17</v>
      </c>
      <c r="S11" s="706" t="e">
        <f t="shared" si="0"/>
        <v>#N/A</v>
      </c>
      <c r="T11" s="705" t="s">
        <v>17</v>
      </c>
      <c r="U11" s="706" t="e">
        <f t="shared" si="1"/>
        <v>#N/A</v>
      </c>
      <c r="V11" s="705" t="s">
        <v>17</v>
      </c>
      <c r="W11" s="706" t="e">
        <f t="shared" si="2"/>
        <v>#N/A</v>
      </c>
      <c r="X11" s="707"/>
      <c r="Y11" s="3467"/>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5"/>
      <c r="Q12" s="1338" t="str">
        <f t="shared" si="6"/>
        <v>配建</v>
      </c>
      <c r="R12" s="705" t="s">
        <v>17</v>
      </c>
      <c r="S12" s="706">
        <f t="shared" si="0"/>
        <v>100</v>
      </c>
      <c r="T12" s="705" t="s">
        <v>17</v>
      </c>
      <c r="U12" s="706">
        <f t="shared" si="1"/>
        <v>100</v>
      </c>
      <c r="V12" s="705" t="s">
        <v>17</v>
      </c>
      <c r="W12" s="706">
        <f t="shared" si="2"/>
        <v>100</v>
      </c>
      <c r="X12" s="707"/>
      <c r="Y12" s="3467"/>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5"/>
      <c r="Q13" s="1338">
        <f t="shared" si="6"/>
        <v>111</v>
      </c>
      <c r="R13" s="705" t="s">
        <v>17</v>
      </c>
      <c r="S13" s="706">
        <f t="shared" si="0"/>
        <v>100</v>
      </c>
      <c r="T13" s="705" t="s">
        <v>17</v>
      </c>
      <c r="U13" s="706">
        <f t="shared" si="1"/>
        <v>100</v>
      </c>
      <c r="V13" s="705" t="s">
        <v>17</v>
      </c>
      <c r="W13" s="706">
        <f t="shared" si="2"/>
        <v>100</v>
      </c>
      <c r="X13" s="707"/>
      <c r="Y13" s="3467"/>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5"/>
      <c r="Q14" s="1338">
        <f t="shared" si="6"/>
        <v>111</v>
      </c>
      <c r="R14" s="705" t="s">
        <v>17</v>
      </c>
      <c r="S14" s="706">
        <f t="shared" si="0"/>
        <v>100</v>
      </c>
      <c r="T14" s="705" t="s">
        <v>17</v>
      </c>
      <c r="U14" s="706">
        <f t="shared" si="1"/>
        <v>100</v>
      </c>
      <c r="V14" s="705" t="s">
        <v>17</v>
      </c>
      <c r="W14" s="706">
        <f t="shared" si="2"/>
        <v>100</v>
      </c>
      <c r="X14" s="707"/>
      <c r="Y14" s="3467"/>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7" t="s">
        <v>1945</v>
      </c>
      <c r="Q15" s="1345" t="str">
        <f t="shared" si="6"/>
        <v>居住社区成熟度</v>
      </c>
      <c r="R15" s="709" t="s">
        <v>17</v>
      </c>
      <c r="S15" s="710">
        <f t="shared" si="0"/>
        <v>100</v>
      </c>
      <c r="T15" s="709" t="s">
        <v>17</v>
      </c>
      <c r="U15" s="710">
        <f t="shared" si="1"/>
        <v>100</v>
      </c>
      <c r="V15" s="709" t="s">
        <v>17</v>
      </c>
      <c r="W15" s="710">
        <f t="shared" si="2"/>
        <v>100</v>
      </c>
      <c r="X15" s="1348"/>
      <c r="Y15" s="3597"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8"/>
      <c r="Q16" s="1345"/>
      <c r="R16" s="709"/>
      <c r="S16" s="710"/>
      <c r="T16" s="709"/>
      <c r="U16" s="710"/>
      <c r="V16" s="709"/>
      <c r="W16" s="710"/>
      <c r="X16" s="1348"/>
      <c r="Y16" s="3598"/>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8"/>
      <c r="Q17" s="1345" t="str">
        <f>B17</f>
        <v>商业繁华度</v>
      </c>
      <c r="R17" s="709" t="s">
        <v>17</v>
      </c>
      <c r="S17" s="710">
        <f>F17</f>
        <v>100</v>
      </c>
      <c r="T17" s="709" t="s">
        <v>17</v>
      </c>
      <c r="U17" s="710">
        <f>H17</f>
        <v>100</v>
      </c>
      <c r="V17" s="709" t="s">
        <v>17</v>
      </c>
      <c r="W17" s="710">
        <f>J17</f>
        <v>100</v>
      </c>
      <c r="X17" s="1348"/>
      <c r="Y17" s="3598"/>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8"/>
      <c r="Q18" s="1345"/>
      <c r="R18" s="709"/>
      <c r="S18" s="710"/>
      <c r="T18" s="709"/>
      <c r="U18" s="710"/>
      <c r="V18" s="709"/>
      <c r="W18" s="710"/>
      <c r="X18" s="1348"/>
      <c r="Y18" s="3598"/>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8"/>
      <c r="Q19" s="1345" t="str">
        <f>B19</f>
        <v>办公集聚程度</v>
      </c>
      <c r="R19" s="709" t="s">
        <v>17</v>
      </c>
      <c r="S19" s="710">
        <f>F19</f>
        <v>100</v>
      </c>
      <c r="T19" s="709" t="s">
        <v>17</v>
      </c>
      <c r="U19" s="710">
        <f>H19</f>
        <v>100</v>
      </c>
      <c r="V19" s="709" t="s">
        <v>17</v>
      </c>
      <c r="W19" s="710">
        <f>J19</f>
        <v>100</v>
      </c>
      <c r="X19" s="1348"/>
      <c r="Y19" s="3598"/>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8"/>
      <c r="Q20" s="1345"/>
      <c r="R20" s="709"/>
      <c r="S20" s="710"/>
      <c r="T20" s="709"/>
      <c r="U20" s="710"/>
      <c r="V20" s="709"/>
      <c r="W20" s="710"/>
      <c r="X20" s="1348"/>
      <c r="Y20" s="3598"/>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8"/>
      <c r="Q21" s="1345" t="str">
        <f>B21</f>
        <v>交通便捷度</v>
      </c>
      <c r="R21" s="709" t="s">
        <v>17</v>
      </c>
      <c r="S21" s="710">
        <f>F21</f>
        <v>100</v>
      </c>
      <c r="T21" s="709" t="s">
        <v>17</v>
      </c>
      <c r="U21" s="710">
        <f>H21</f>
        <v>100</v>
      </c>
      <c r="V21" s="709" t="s">
        <v>17</v>
      </c>
      <c r="W21" s="710">
        <f>J21</f>
        <v>100</v>
      </c>
      <c r="X21" s="1348"/>
      <c r="Y21" s="3598"/>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8"/>
      <c r="Q22" s="1345"/>
      <c r="R22" s="709"/>
      <c r="S22" s="710"/>
      <c r="T22" s="709"/>
      <c r="U22" s="710"/>
      <c r="V22" s="709"/>
      <c r="W22" s="710"/>
      <c r="X22" s="1348"/>
      <c r="Y22" s="3598"/>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8"/>
      <c r="Q23" s="1345" t="str">
        <f t="shared" ref="Q23:Q37" si="8">B23</f>
        <v>区域土地利用方向</v>
      </c>
      <c r="R23" s="709" t="s">
        <v>17</v>
      </c>
      <c r="S23" s="710">
        <f>F23</f>
        <v>100</v>
      </c>
      <c r="T23" s="709" t="s">
        <v>17</v>
      </c>
      <c r="U23" s="710">
        <f>H23</f>
        <v>100</v>
      </c>
      <c r="V23" s="709" t="s">
        <v>17</v>
      </c>
      <c r="W23" s="710">
        <f>J23</f>
        <v>100</v>
      </c>
      <c r="X23" s="1348"/>
      <c r="Y23" s="3598"/>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8"/>
      <c r="Q24" s="1345"/>
      <c r="R24" s="709"/>
      <c r="S24" s="710"/>
      <c r="T24" s="709"/>
      <c r="U24" s="710"/>
      <c r="V24" s="709"/>
      <c r="W24" s="710"/>
      <c r="X24" s="1348"/>
      <c r="Y24" s="3598"/>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8"/>
      <c r="Q25" s="1345" t="str">
        <f t="shared" si="8"/>
        <v>自然及人文环境状况</v>
      </c>
      <c r="R25" s="709" t="s">
        <v>17</v>
      </c>
      <c r="S25" s="710">
        <f>F25</f>
        <v>100</v>
      </c>
      <c r="T25" s="709" t="s">
        <v>17</v>
      </c>
      <c r="U25" s="710">
        <f>H25</f>
        <v>100</v>
      </c>
      <c r="V25" s="709" t="s">
        <v>17</v>
      </c>
      <c r="W25" s="710">
        <f>J25</f>
        <v>100</v>
      </c>
      <c r="X25" s="1348"/>
      <c r="Y25" s="3598"/>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8"/>
      <c r="Q26" s="1345"/>
      <c r="R26" s="709"/>
      <c r="S26" s="710"/>
      <c r="T26" s="709"/>
      <c r="U26" s="710"/>
      <c r="V26" s="709"/>
      <c r="W26" s="710"/>
      <c r="X26" s="1348"/>
      <c r="Y26" s="3598"/>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8"/>
      <c r="Q27" s="1338" t="str">
        <f t="shared" si="8"/>
        <v>公共配套设施</v>
      </c>
      <c r="R27" s="705" t="s">
        <v>17</v>
      </c>
      <c r="S27" s="706">
        <f>F27</f>
        <v>100</v>
      </c>
      <c r="T27" s="705" t="s">
        <v>17</v>
      </c>
      <c r="U27" s="706">
        <f>H27</f>
        <v>100</v>
      </c>
      <c r="V27" s="705" t="s">
        <v>17</v>
      </c>
      <c r="W27" s="706">
        <f>J27</f>
        <v>100</v>
      </c>
      <c r="X27" s="707"/>
      <c r="Y27" s="3598"/>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8"/>
      <c r="Q28" s="1338"/>
      <c r="R28" s="705"/>
      <c r="S28" s="706"/>
      <c r="T28" s="705"/>
      <c r="U28" s="706"/>
      <c r="V28" s="705"/>
      <c r="W28" s="706"/>
      <c r="X28" s="707"/>
      <c r="Y28" s="3598"/>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8"/>
      <c r="Q29" s="1338" t="str">
        <f t="shared" ref="Q29" si="9">B29</f>
        <v>基础设施水平</v>
      </c>
      <c r="R29" s="705" t="s">
        <v>17</v>
      </c>
      <c r="S29" s="706">
        <f>F29</f>
        <v>100</v>
      </c>
      <c r="T29" s="705" t="s">
        <v>17</v>
      </c>
      <c r="U29" s="706">
        <f>H29</f>
        <v>100</v>
      </c>
      <c r="V29" s="705" t="s">
        <v>17</v>
      </c>
      <c r="W29" s="706">
        <f>J29</f>
        <v>100</v>
      </c>
      <c r="X29" s="707"/>
      <c r="Y29" s="3598"/>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8"/>
      <c r="Q30" s="1338"/>
      <c r="R30" s="705"/>
      <c r="S30" s="706"/>
      <c r="T30" s="705"/>
      <c r="U30" s="706"/>
      <c r="V30" s="705"/>
      <c r="W30" s="706"/>
      <c r="X30" s="707"/>
      <c r="Y30" s="3598"/>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8"/>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8"/>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8"/>
      <c r="Q32" s="1345" t="str">
        <f t="shared" si="8"/>
        <v>毗邻道路的类型与等级</v>
      </c>
      <c r="R32" s="709" t="s">
        <v>17</v>
      </c>
      <c r="S32" s="710">
        <f t="shared" si="10"/>
        <v>100</v>
      </c>
      <c r="T32" s="709" t="s">
        <v>17</v>
      </c>
      <c r="U32" s="710">
        <f t="shared" si="11"/>
        <v>100</v>
      </c>
      <c r="V32" s="709" t="s">
        <v>17</v>
      </c>
      <c r="W32" s="710">
        <f t="shared" si="12"/>
        <v>100</v>
      </c>
      <c r="X32" s="1348"/>
      <c r="Y32" s="3598"/>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8"/>
      <c r="Q33" s="1345"/>
      <c r="R33" s="709"/>
      <c r="S33" s="710"/>
      <c r="T33" s="709"/>
      <c r="U33" s="710"/>
      <c r="V33" s="709"/>
      <c r="W33" s="710"/>
      <c r="X33" s="1348"/>
      <c r="Y33" s="3598"/>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8"/>
      <c r="Q34" s="1345" t="str">
        <f t="shared" si="8"/>
        <v>土地级别</v>
      </c>
      <c r="R34" s="709" t="s">
        <v>17</v>
      </c>
      <c r="S34" s="710">
        <f t="shared" si="10"/>
        <v>100</v>
      </c>
      <c r="T34" s="709" t="s">
        <v>17</v>
      </c>
      <c r="U34" s="710">
        <f t="shared" si="11"/>
        <v>100</v>
      </c>
      <c r="V34" s="709" t="s">
        <v>17</v>
      </c>
      <c r="W34" s="710">
        <f t="shared" si="12"/>
        <v>100</v>
      </c>
      <c r="X34" s="1348"/>
      <c r="Y34" s="3598"/>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8"/>
      <c r="Q35" s="1345">
        <f t="shared" si="8"/>
        <v>111</v>
      </c>
      <c r="R35" s="709" t="s">
        <v>17</v>
      </c>
      <c r="S35" s="710">
        <f t="shared" si="10"/>
        <v>100</v>
      </c>
      <c r="T35" s="709" t="s">
        <v>17</v>
      </c>
      <c r="U35" s="710">
        <f t="shared" si="11"/>
        <v>100</v>
      </c>
      <c r="V35" s="709" t="s">
        <v>17</v>
      </c>
      <c r="W35" s="710">
        <f t="shared" si="12"/>
        <v>100</v>
      </c>
      <c r="X35" s="1348"/>
      <c r="Y35" s="3598"/>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3" t="s">
        <v>1950</v>
      </c>
      <c r="Q36" s="1345">
        <f t="shared" si="8"/>
        <v>111</v>
      </c>
      <c r="R36" s="709" t="s">
        <v>17</v>
      </c>
      <c r="S36" s="710">
        <f t="shared" si="10"/>
        <v>100</v>
      </c>
      <c r="T36" s="709" t="s">
        <v>17</v>
      </c>
      <c r="U36" s="710">
        <f t="shared" si="11"/>
        <v>100</v>
      </c>
      <c r="V36" s="709" t="s">
        <v>17</v>
      </c>
      <c r="W36" s="710">
        <f t="shared" si="12"/>
        <v>100</v>
      </c>
      <c r="X36" s="1348"/>
      <c r="Y36" s="3602"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2"/>
      <c r="Q37" s="1345">
        <f t="shared" si="8"/>
        <v>111</v>
      </c>
      <c r="R37" s="712" t="s">
        <v>17</v>
      </c>
      <c r="S37" s="713">
        <f t="shared" si="10"/>
        <v>100</v>
      </c>
      <c r="T37" s="712" t="s">
        <v>17</v>
      </c>
      <c r="U37" s="713">
        <f t="shared" si="11"/>
        <v>100</v>
      </c>
      <c r="V37" s="712" t="s">
        <v>17</v>
      </c>
      <c r="W37" s="713">
        <f t="shared" si="12"/>
        <v>100</v>
      </c>
      <c r="X37" s="714"/>
      <c r="Y37" s="3602"/>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2"/>
      <c r="Q38" s="1345" t="str">
        <f>B38</f>
        <v>宗地面积</v>
      </c>
      <c r="R38" s="709" t="s">
        <v>17</v>
      </c>
      <c r="S38" s="710" t="e">
        <f t="shared" si="10"/>
        <v>#N/A</v>
      </c>
      <c r="T38" s="709" t="s">
        <v>17</v>
      </c>
      <c r="U38" s="710" t="e">
        <f t="shared" si="11"/>
        <v>#N/A</v>
      </c>
      <c r="V38" s="709" t="s">
        <v>17</v>
      </c>
      <c r="W38" s="710" t="e">
        <f t="shared" si="12"/>
        <v>#N/A</v>
      </c>
      <c r="X38" s="1348"/>
      <c r="Y38" s="3602"/>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2"/>
      <c r="Q39" s="1345" t="str">
        <f t="shared" ref="Q39:Q45" si="14">B39</f>
        <v>宗地形状</v>
      </c>
      <c r="R39" s="709" t="s">
        <v>17</v>
      </c>
      <c r="S39" s="710">
        <f t="shared" si="10"/>
        <v>100</v>
      </c>
      <c r="T39" s="709" t="s">
        <v>17</v>
      </c>
      <c r="U39" s="710">
        <f t="shared" si="11"/>
        <v>100</v>
      </c>
      <c r="V39" s="709" t="s">
        <v>17</v>
      </c>
      <c r="W39" s="710">
        <f t="shared" si="12"/>
        <v>100</v>
      </c>
      <c r="X39" s="1348"/>
      <c r="Y39" s="3602"/>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2"/>
      <c r="Q40" s="1345" t="str">
        <f t="shared" si="14"/>
        <v>临街宽度及深度</v>
      </c>
      <c r="R40" s="709" t="s">
        <v>17</v>
      </c>
      <c r="S40" s="710">
        <f t="shared" si="10"/>
        <v>100</v>
      </c>
      <c r="T40" s="709" t="s">
        <v>17</v>
      </c>
      <c r="U40" s="710">
        <f t="shared" si="11"/>
        <v>100</v>
      </c>
      <c r="V40" s="709" t="s">
        <v>17</v>
      </c>
      <c r="W40" s="710">
        <f t="shared" si="12"/>
        <v>100</v>
      </c>
      <c r="X40" s="1348"/>
      <c r="Y40" s="3602"/>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2"/>
      <c r="Q41" s="1345" t="str">
        <f t="shared" si="14"/>
        <v>宗地开发程度</v>
      </c>
      <c r="R41" s="705" t="s">
        <v>17</v>
      </c>
      <c r="S41" s="706">
        <f t="shared" si="10"/>
        <v>100</v>
      </c>
      <c r="T41" s="705" t="s">
        <v>17</v>
      </c>
      <c r="U41" s="706">
        <f t="shared" si="11"/>
        <v>100</v>
      </c>
      <c r="V41" s="705" t="s">
        <v>17</v>
      </c>
      <c r="W41" s="706">
        <f t="shared" si="12"/>
        <v>100</v>
      </c>
      <c r="X41" s="707"/>
      <c r="Y41" s="3602"/>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2" t="s">
        <v>1950</v>
      </c>
      <c r="Q42" s="1345" t="str">
        <f t="shared" si="14"/>
        <v>工程地质条件</v>
      </c>
      <c r="R42" s="709" t="s">
        <v>17</v>
      </c>
      <c r="S42" s="710">
        <f t="shared" si="10"/>
        <v>100</v>
      </c>
      <c r="T42" s="709" t="s">
        <v>17</v>
      </c>
      <c r="U42" s="710">
        <f t="shared" si="11"/>
        <v>100</v>
      </c>
      <c r="V42" s="709" t="s">
        <v>17</v>
      </c>
      <c r="W42" s="710">
        <f t="shared" si="12"/>
        <v>100</v>
      </c>
      <c r="X42" s="1348"/>
      <c r="Y42" s="3602"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2"/>
      <c r="Q43" s="1345">
        <f t="shared" si="14"/>
        <v>111</v>
      </c>
      <c r="R43" s="709" t="s">
        <v>17</v>
      </c>
      <c r="S43" s="710">
        <f t="shared" si="10"/>
        <v>100</v>
      </c>
      <c r="T43" s="709" t="s">
        <v>17</v>
      </c>
      <c r="U43" s="710">
        <f t="shared" si="11"/>
        <v>100</v>
      </c>
      <c r="V43" s="709" t="s">
        <v>17</v>
      </c>
      <c r="W43" s="710">
        <f t="shared" si="12"/>
        <v>100</v>
      </c>
      <c r="X43" s="1348"/>
      <c r="Y43" s="3602"/>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2"/>
      <c r="Q44" s="1345">
        <f t="shared" si="14"/>
        <v>111</v>
      </c>
      <c r="R44" s="709" t="s">
        <v>17</v>
      </c>
      <c r="S44" s="710">
        <f t="shared" si="10"/>
        <v>100</v>
      </c>
      <c r="T44" s="709" t="s">
        <v>17</v>
      </c>
      <c r="U44" s="710">
        <f t="shared" si="11"/>
        <v>100</v>
      </c>
      <c r="V44" s="709" t="s">
        <v>17</v>
      </c>
      <c r="W44" s="710">
        <f t="shared" si="12"/>
        <v>100</v>
      </c>
      <c r="X44" s="1348"/>
      <c r="Y44" s="3602"/>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2"/>
      <c r="Q45" s="1345">
        <f t="shared" si="14"/>
        <v>111</v>
      </c>
      <c r="R45" s="712" t="s">
        <v>17</v>
      </c>
      <c r="S45" s="713">
        <f t="shared" si="10"/>
        <v>100</v>
      </c>
      <c r="T45" s="712" t="s">
        <v>17</v>
      </c>
      <c r="U45" s="713">
        <f t="shared" si="11"/>
        <v>100</v>
      </c>
      <c r="V45" s="712" t="s">
        <v>17</v>
      </c>
      <c r="W45" s="713">
        <f t="shared" si="12"/>
        <v>100</v>
      </c>
      <c r="X45" s="714"/>
      <c r="Y45" s="3602"/>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5" t="str">
        <f>A46</f>
        <v>成交单价</v>
      </c>
      <c r="Q46" s="3595"/>
      <c r="R46" s="3626">
        <f>E46</f>
        <v>0</v>
      </c>
      <c r="S46" s="3626"/>
      <c r="T46" s="3626">
        <f>G46</f>
        <v>0</v>
      </c>
      <c r="U46" s="3626"/>
      <c r="V46" s="3626">
        <f>I46</f>
        <v>0</v>
      </c>
      <c r="W46" s="3626"/>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5" t="str">
        <f>A47</f>
        <v>比较价值（元/平方米）</v>
      </c>
      <c r="Q47" s="3595"/>
      <c r="R47" s="3655" t="e">
        <f>ROUND(PRODUCT(R46,AA7:AA45),0)</f>
        <v>#DIV/0!</v>
      </c>
      <c r="S47" s="3655"/>
      <c r="T47" s="3655" t="e">
        <f>ROUND(PRODUCT(T46,AB7:AB45),0)</f>
        <v>#DIV/0!</v>
      </c>
      <c r="U47" s="3655"/>
      <c r="V47" s="3655" t="e">
        <f>ROUND(PRODUCT(V46,AC7:AC45),0)</f>
        <v>#DIV/0!</v>
      </c>
      <c r="W47" s="3655"/>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2" t="str">
        <f>A48</f>
        <v>估价对象XX用房的比较价值（楼面单价，元/平方米）</v>
      </c>
      <c r="Q48" s="3593"/>
      <c r="R48" s="3656" t="e">
        <f>ROUND(IF(D47="简单平均",AVERAGE(R47:W47),R47*F47+T47*H47+V47*J47),0)</f>
        <v>#DIV/0!</v>
      </c>
      <c r="S48" s="3656"/>
      <c r="T48" s="3656"/>
      <c r="U48" s="3656"/>
      <c r="V48" s="3656"/>
      <c r="W48" s="3656"/>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10" t="s">
        <v>2149</v>
      </c>
      <c r="H55" s="3657"/>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6"/>
      <c r="H56" s="3595"/>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8"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8"/>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8"/>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8"/>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620" t="s">
        <v>2032</v>
      </c>
      <c r="S4" s="3621"/>
      <c r="T4" s="3620" t="s">
        <v>2033</v>
      </c>
      <c r="U4" s="3621"/>
      <c r="V4" s="3626" t="s">
        <v>2034</v>
      </c>
      <c r="W4" s="3626"/>
      <c r="X4" s="1348"/>
      <c r="Y4" s="3620" t="s">
        <v>2036</v>
      </c>
      <c r="Z4" s="3621"/>
      <c r="AA4" s="3607" t="s">
        <v>2032</v>
      </c>
      <c r="AB4" s="3608" t="s">
        <v>2033</v>
      </c>
      <c r="AC4" s="3607" t="s">
        <v>2034</v>
      </c>
    </row>
    <row r="5" spans="1:29" ht="15">
      <c r="A5" s="360"/>
      <c r="B5" s="361"/>
      <c r="C5" s="3629" t="s">
        <v>1927</v>
      </c>
      <c r="D5" s="3630"/>
      <c r="E5" s="3636" t="s">
        <v>1928</v>
      </c>
      <c r="F5" s="3637"/>
      <c r="G5" s="3629" t="s">
        <v>1929</v>
      </c>
      <c r="H5" s="3630"/>
      <c r="I5" s="3629" t="s">
        <v>1930</v>
      </c>
      <c r="J5" s="3630"/>
      <c r="K5" s="563"/>
      <c r="L5" s="2542"/>
      <c r="M5" s="2543"/>
      <c r="N5" s="2543"/>
      <c r="O5" s="2543"/>
      <c r="P5" s="3616"/>
      <c r="Q5" s="3617"/>
      <c r="R5" s="3622"/>
      <c r="S5" s="3623"/>
      <c r="T5" s="3622"/>
      <c r="U5" s="3623"/>
      <c r="V5" s="3626"/>
      <c r="W5" s="3626"/>
      <c r="X5" s="1348"/>
      <c r="Y5" s="3622"/>
      <c r="Z5" s="3623"/>
      <c r="AA5" s="3608"/>
      <c r="AB5" s="3608"/>
      <c r="AC5" s="3608"/>
    </row>
    <row r="6" spans="1:29" ht="15.75" thickBot="1">
      <c r="A6" s="362"/>
      <c r="B6" s="363"/>
      <c r="C6" s="3659" t="s">
        <v>2182</v>
      </c>
      <c r="D6" s="3660"/>
      <c r="E6" s="3661" t="s">
        <v>2182</v>
      </c>
      <c r="F6" s="3662"/>
      <c r="G6" s="3659" t="s">
        <v>2182</v>
      </c>
      <c r="H6" s="3660"/>
      <c r="I6" s="3659" t="s">
        <v>2182</v>
      </c>
      <c r="J6" s="3660"/>
      <c r="K6" s="563" t="s">
        <v>1932</v>
      </c>
      <c r="L6" s="2542"/>
      <c r="M6" s="2543"/>
      <c r="N6" s="2543"/>
      <c r="O6" s="2543"/>
      <c r="P6" s="3618"/>
      <c r="Q6" s="3619"/>
      <c r="R6" s="3622"/>
      <c r="S6" s="3623"/>
      <c r="T6" s="3624"/>
      <c r="U6" s="3625"/>
      <c r="V6" s="3626"/>
      <c r="W6" s="3626"/>
      <c r="X6" s="1348"/>
      <c r="Y6" s="3624"/>
      <c r="Z6" s="3625"/>
      <c r="AA6" s="3609"/>
      <c r="AB6" s="3609"/>
      <c r="AC6" s="3609"/>
    </row>
    <row r="7" spans="1:29" s="112" customFormat="1" ht="15.75" thickBot="1">
      <c r="A7" s="364" t="s">
        <v>1933</v>
      </c>
      <c r="B7" s="365"/>
      <c r="C7" s="366">
        <f>'数据-取费表'!B2</f>
        <v>44680</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31" t="s">
        <v>1934</v>
      </c>
      <c r="Q7" s="3633"/>
      <c r="R7" s="705" t="s">
        <v>17</v>
      </c>
      <c r="S7" s="706">
        <f t="shared" ref="S7:S15" si="0">F7</f>
        <v>0</v>
      </c>
      <c r="T7" s="705" t="s">
        <v>17</v>
      </c>
      <c r="U7" s="706">
        <f t="shared" ref="U7:U15" si="1">H7</f>
        <v>0</v>
      </c>
      <c r="V7" s="705" t="s">
        <v>17</v>
      </c>
      <c r="W7" s="706">
        <f t="shared" ref="W7:W15" si="2">J7</f>
        <v>0</v>
      </c>
      <c r="X7" s="707"/>
      <c r="Y7" s="3631" t="s">
        <v>1934</v>
      </c>
      <c r="Z7" s="3632"/>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31" t="s">
        <v>1937</v>
      </c>
      <c r="Q8" s="3632"/>
      <c r="R8" s="705" t="s">
        <v>17</v>
      </c>
      <c r="S8" s="706">
        <f t="shared" si="0"/>
        <v>0</v>
      </c>
      <c r="T8" s="705" t="s">
        <v>17</v>
      </c>
      <c r="U8" s="706">
        <f t="shared" si="1"/>
        <v>0</v>
      </c>
      <c r="V8" s="705" t="s">
        <v>17</v>
      </c>
      <c r="W8" s="706">
        <f t="shared" si="2"/>
        <v>0</v>
      </c>
      <c r="X8" s="707"/>
      <c r="Y8" s="3631" t="s">
        <v>1937</v>
      </c>
      <c r="Z8" s="3632"/>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5" t="s">
        <v>1940</v>
      </c>
      <c r="Q9" s="1338" t="str">
        <f t="shared" ref="Q9:Q15" si="6">B9</f>
        <v>用途</v>
      </c>
      <c r="R9" s="705" t="s">
        <v>17</v>
      </c>
      <c r="S9" s="706">
        <f t="shared" si="0"/>
        <v>100</v>
      </c>
      <c r="T9" s="705" t="s">
        <v>17</v>
      </c>
      <c r="U9" s="706">
        <f t="shared" si="1"/>
        <v>100</v>
      </c>
      <c r="V9" s="705" t="s">
        <v>17</v>
      </c>
      <c r="W9" s="706">
        <f t="shared" si="2"/>
        <v>100</v>
      </c>
      <c r="X9" s="707"/>
      <c r="Y9" s="3467"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5"/>
      <c r="Q10" s="1338" t="str">
        <f t="shared" si="6"/>
        <v>土地使用年限（年）</v>
      </c>
      <c r="R10" s="705" t="s">
        <v>17</v>
      </c>
      <c r="S10" s="706" t="e">
        <f t="shared" si="0"/>
        <v>#DIV/0!</v>
      </c>
      <c r="T10" s="705" t="s">
        <v>17</v>
      </c>
      <c r="U10" s="706" t="e">
        <f t="shared" si="1"/>
        <v>#DIV/0!</v>
      </c>
      <c r="V10" s="705" t="s">
        <v>17</v>
      </c>
      <c r="W10" s="706" t="e">
        <f t="shared" si="2"/>
        <v>#DIV/0!</v>
      </c>
      <c r="X10" s="707"/>
      <c r="Y10" s="3467"/>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5"/>
      <c r="Q11" s="1338" t="str">
        <f t="shared" si="6"/>
        <v>容积率</v>
      </c>
      <c r="R11" s="705" t="s">
        <v>17</v>
      </c>
      <c r="S11" s="706" t="e">
        <f t="shared" si="0"/>
        <v>#N/A</v>
      </c>
      <c r="T11" s="705" t="s">
        <v>17</v>
      </c>
      <c r="U11" s="706" t="e">
        <f t="shared" si="1"/>
        <v>#N/A</v>
      </c>
      <c r="V11" s="705" t="s">
        <v>17</v>
      </c>
      <c r="W11" s="706" t="e">
        <f t="shared" si="2"/>
        <v>#N/A</v>
      </c>
      <c r="X11" s="707"/>
      <c r="Y11" s="3467"/>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5"/>
      <c r="Q12" s="1338">
        <f t="shared" si="6"/>
        <v>111</v>
      </c>
      <c r="R12" s="705" t="s">
        <v>17</v>
      </c>
      <c r="S12" s="706">
        <f t="shared" si="0"/>
        <v>100</v>
      </c>
      <c r="T12" s="705" t="s">
        <v>17</v>
      </c>
      <c r="U12" s="706">
        <f t="shared" si="1"/>
        <v>100</v>
      </c>
      <c r="V12" s="705" t="s">
        <v>17</v>
      </c>
      <c r="W12" s="706">
        <f t="shared" si="2"/>
        <v>100</v>
      </c>
      <c r="X12" s="707"/>
      <c r="Y12" s="3467"/>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5"/>
      <c r="Q13" s="1338">
        <f t="shared" si="6"/>
        <v>111</v>
      </c>
      <c r="R13" s="705" t="s">
        <v>17</v>
      </c>
      <c r="S13" s="706">
        <f t="shared" si="0"/>
        <v>100</v>
      </c>
      <c r="T13" s="705" t="s">
        <v>17</v>
      </c>
      <c r="U13" s="706">
        <f t="shared" si="1"/>
        <v>100</v>
      </c>
      <c r="V13" s="705" t="s">
        <v>17</v>
      </c>
      <c r="W13" s="706">
        <f t="shared" si="2"/>
        <v>100</v>
      </c>
      <c r="X13" s="707"/>
      <c r="Y13" s="3467"/>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5"/>
      <c r="Q14" s="1338">
        <f t="shared" si="6"/>
        <v>111</v>
      </c>
      <c r="R14" s="705" t="s">
        <v>17</v>
      </c>
      <c r="S14" s="706">
        <f t="shared" si="0"/>
        <v>100</v>
      </c>
      <c r="T14" s="705" t="s">
        <v>17</v>
      </c>
      <c r="U14" s="706">
        <f t="shared" si="1"/>
        <v>100</v>
      </c>
      <c r="V14" s="705" t="s">
        <v>17</v>
      </c>
      <c r="W14" s="706">
        <f t="shared" si="2"/>
        <v>100</v>
      </c>
      <c r="X14" s="707"/>
      <c r="Y14" s="3467"/>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7" t="s">
        <v>1945</v>
      </c>
      <c r="Q15" s="1345" t="str">
        <f t="shared" si="6"/>
        <v>产业集聚程度</v>
      </c>
      <c r="R15" s="709" t="s">
        <v>17</v>
      </c>
      <c r="S15" s="710">
        <f t="shared" si="0"/>
        <v>100</v>
      </c>
      <c r="T15" s="709" t="s">
        <v>17</v>
      </c>
      <c r="U15" s="710">
        <f t="shared" si="1"/>
        <v>100</v>
      </c>
      <c r="V15" s="709" t="s">
        <v>17</v>
      </c>
      <c r="W15" s="710">
        <f t="shared" si="2"/>
        <v>100</v>
      </c>
      <c r="X15" s="1348"/>
      <c r="Y15" s="3597"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8"/>
      <c r="Q16" s="1345"/>
      <c r="R16" s="709"/>
      <c r="S16" s="710"/>
      <c r="T16" s="709"/>
      <c r="U16" s="710"/>
      <c r="V16" s="709"/>
      <c r="W16" s="710"/>
      <c r="X16" s="1348"/>
      <c r="Y16" s="3598"/>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8"/>
      <c r="Q17" s="1345" t="str">
        <f>B17</f>
        <v>交通便捷度</v>
      </c>
      <c r="R17" s="709" t="s">
        <v>17</v>
      </c>
      <c r="S17" s="710">
        <f>F17</f>
        <v>100</v>
      </c>
      <c r="T17" s="709" t="s">
        <v>17</v>
      </c>
      <c r="U17" s="710">
        <f>H17</f>
        <v>100</v>
      </c>
      <c r="V17" s="709" t="s">
        <v>17</v>
      </c>
      <c r="W17" s="710">
        <f>J17</f>
        <v>100</v>
      </c>
      <c r="X17" s="1348"/>
      <c r="Y17" s="3598"/>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8"/>
      <c r="Q18" s="1345"/>
      <c r="R18" s="709"/>
      <c r="S18" s="710"/>
      <c r="T18" s="709"/>
      <c r="U18" s="710"/>
      <c r="V18" s="709"/>
      <c r="W18" s="710"/>
      <c r="X18" s="1348"/>
      <c r="Y18" s="3598"/>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8"/>
      <c r="Q19" s="1345" t="str">
        <f t="shared" ref="Q19:Q33" si="8">B19</f>
        <v>区域土地利用方向</v>
      </c>
      <c r="R19" s="709" t="s">
        <v>17</v>
      </c>
      <c r="S19" s="710">
        <f>F19</f>
        <v>100</v>
      </c>
      <c r="T19" s="709" t="s">
        <v>17</v>
      </c>
      <c r="U19" s="710">
        <f>H19</f>
        <v>100</v>
      </c>
      <c r="V19" s="709" t="s">
        <v>17</v>
      </c>
      <c r="W19" s="710">
        <f>J19</f>
        <v>100</v>
      </c>
      <c r="X19" s="1348"/>
      <c r="Y19" s="3598"/>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8"/>
      <c r="Q20" s="1345"/>
      <c r="R20" s="709"/>
      <c r="S20" s="710"/>
      <c r="T20" s="709"/>
      <c r="U20" s="710"/>
      <c r="V20" s="709"/>
      <c r="W20" s="710"/>
      <c r="X20" s="1348"/>
      <c r="Y20" s="3598"/>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8"/>
      <c r="Q21" s="1345" t="str">
        <f t="shared" si="8"/>
        <v>环境状况</v>
      </c>
      <c r="R21" s="709" t="s">
        <v>17</v>
      </c>
      <c r="S21" s="710">
        <f>F21</f>
        <v>100</v>
      </c>
      <c r="T21" s="709" t="s">
        <v>17</v>
      </c>
      <c r="U21" s="710">
        <f>H21</f>
        <v>100</v>
      </c>
      <c r="V21" s="709" t="s">
        <v>17</v>
      </c>
      <c r="W21" s="710">
        <f>J21</f>
        <v>100</v>
      </c>
      <c r="X21" s="1348"/>
      <c r="Y21" s="3598"/>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8"/>
      <c r="Q22" s="1345"/>
      <c r="R22" s="709"/>
      <c r="S22" s="710"/>
      <c r="T22" s="709"/>
      <c r="U22" s="710"/>
      <c r="V22" s="709"/>
      <c r="W22" s="710"/>
      <c r="X22" s="1348"/>
      <c r="Y22" s="3598"/>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8"/>
      <c r="Q23" s="1338" t="str">
        <f t="shared" si="8"/>
        <v>公共配套设施</v>
      </c>
      <c r="R23" s="705" t="s">
        <v>17</v>
      </c>
      <c r="S23" s="706">
        <f>F23</f>
        <v>100</v>
      </c>
      <c r="T23" s="705" t="s">
        <v>17</v>
      </c>
      <c r="U23" s="706">
        <f>H23</f>
        <v>100</v>
      </c>
      <c r="V23" s="705" t="s">
        <v>17</v>
      </c>
      <c r="W23" s="706">
        <f>J23</f>
        <v>100</v>
      </c>
      <c r="X23" s="707"/>
      <c r="Y23" s="3598"/>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8"/>
      <c r="Q24" s="1338"/>
      <c r="R24" s="705"/>
      <c r="S24" s="706"/>
      <c r="T24" s="705"/>
      <c r="U24" s="706"/>
      <c r="V24" s="705"/>
      <c r="W24" s="706"/>
      <c r="X24" s="707"/>
      <c r="Y24" s="3598"/>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8"/>
      <c r="Q25" s="1338" t="str">
        <f t="shared" ref="Q25" si="9">B25</f>
        <v>基础设施水平</v>
      </c>
      <c r="R25" s="705" t="s">
        <v>17</v>
      </c>
      <c r="S25" s="706">
        <f>F25</f>
        <v>100</v>
      </c>
      <c r="T25" s="705" t="s">
        <v>17</v>
      </c>
      <c r="U25" s="706">
        <f>H25</f>
        <v>100</v>
      </c>
      <c r="V25" s="705" t="s">
        <v>17</v>
      </c>
      <c r="W25" s="706">
        <f>J25</f>
        <v>100</v>
      </c>
      <c r="X25" s="707"/>
      <c r="Y25" s="3598"/>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8"/>
      <c r="Q26" s="1338"/>
      <c r="R26" s="705"/>
      <c r="S26" s="706"/>
      <c r="T26" s="705"/>
      <c r="U26" s="706"/>
      <c r="V26" s="705"/>
      <c r="W26" s="706"/>
      <c r="X26" s="707"/>
      <c r="Y26" s="3598"/>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8"/>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8"/>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8"/>
      <c r="Q28" s="1345" t="str">
        <f t="shared" si="8"/>
        <v>毗邻道路的类型与等级</v>
      </c>
      <c r="R28" s="709" t="s">
        <v>17</v>
      </c>
      <c r="S28" s="710">
        <f t="shared" si="10"/>
        <v>100</v>
      </c>
      <c r="T28" s="709" t="s">
        <v>17</v>
      </c>
      <c r="U28" s="710">
        <f t="shared" si="11"/>
        <v>100</v>
      </c>
      <c r="V28" s="709" t="s">
        <v>17</v>
      </c>
      <c r="W28" s="710">
        <f t="shared" si="12"/>
        <v>100</v>
      </c>
      <c r="X28" s="1348"/>
      <c r="Y28" s="3598"/>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8"/>
      <c r="Q29" s="1345"/>
      <c r="R29" s="709"/>
      <c r="S29" s="710"/>
      <c r="T29" s="709"/>
      <c r="U29" s="710"/>
      <c r="V29" s="709"/>
      <c r="W29" s="710"/>
      <c r="X29" s="1348"/>
      <c r="Y29" s="3598"/>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8"/>
      <c r="Q30" s="1345" t="str">
        <f t="shared" si="8"/>
        <v>土地级别</v>
      </c>
      <c r="R30" s="709" t="s">
        <v>17</v>
      </c>
      <c r="S30" s="710">
        <f t="shared" si="10"/>
        <v>100</v>
      </c>
      <c r="T30" s="709" t="s">
        <v>17</v>
      </c>
      <c r="U30" s="710">
        <f t="shared" si="11"/>
        <v>100</v>
      </c>
      <c r="V30" s="709" t="s">
        <v>17</v>
      </c>
      <c r="W30" s="710">
        <f t="shared" si="12"/>
        <v>100</v>
      </c>
      <c r="X30" s="1348"/>
      <c r="Y30" s="3598"/>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8"/>
      <c r="Q31" s="1345">
        <f t="shared" si="8"/>
        <v>111</v>
      </c>
      <c r="R31" s="709" t="s">
        <v>17</v>
      </c>
      <c r="S31" s="710">
        <f t="shared" si="10"/>
        <v>100</v>
      </c>
      <c r="T31" s="709" t="s">
        <v>17</v>
      </c>
      <c r="U31" s="710">
        <f t="shared" si="11"/>
        <v>100</v>
      </c>
      <c r="V31" s="709" t="s">
        <v>17</v>
      </c>
      <c r="W31" s="710">
        <f t="shared" si="12"/>
        <v>100</v>
      </c>
      <c r="X31" s="1348"/>
      <c r="Y31" s="3598"/>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3" t="s">
        <v>1950</v>
      </c>
      <c r="Q32" s="1345">
        <f t="shared" si="8"/>
        <v>111</v>
      </c>
      <c r="R32" s="709" t="s">
        <v>17</v>
      </c>
      <c r="S32" s="710">
        <f t="shared" si="10"/>
        <v>100</v>
      </c>
      <c r="T32" s="709" t="s">
        <v>17</v>
      </c>
      <c r="U32" s="710">
        <f t="shared" si="11"/>
        <v>100</v>
      </c>
      <c r="V32" s="709" t="s">
        <v>17</v>
      </c>
      <c r="W32" s="710">
        <f t="shared" si="12"/>
        <v>100</v>
      </c>
      <c r="X32" s="1348"/>
      <c r="Y32" s="3602"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2"/>
      <c r="Q33" s="1345">
        <f t="shared" si="8"/>
        <v>111</v>
      </c>
      <c r="R33" s="712" t="s">
        <v>17</v>
      </c>
      <c r="S33" s="713">
        <f t="shared" si="10"/>
        <v>100</v>
      </c>
      <c r="T33" s="712" t="s">
        <v>17</v>
      </c>
      <c r="U33" s="713">
        <f t="shared" si="11"/>
        <v>100</v>
      </c>
      <c r="V33" s="712" t="s">
        <v>17</v>
      </c>
      <c r="W33" s="713">
        <f t="shared" si="12"/>
        <v>100</v>
      </c>
      <c r="X33" s="714"/>
      <c r="Y33" s="3602"/>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2"/>
      <c r="Q34" s="1345" t="str">
        <f>B34</f>
        <v>宗地面积</v>
      </c>
      <c r="R34" s="709" t="s">
        <v>17</v>
      </c>
      <c r="S34" s="710" t="e">
        <f t="shared" si="10"/>
        <v>#N/A</v>
      </c>
      <c r="T34" s="709" t="s">
        <v>17</v>
      </c>
      <c r="U34" s="710" t="e">
        <f t="shared" si="11"/>
        <v>#N/A</v>
      </c>
      <c r="V34" s="709" t="s">
        <v>17</v>
      </c>
      <c r="W34" s="710" t="e">
        <f t="shared" si="12"/>
        <v>#N/A</v>
      </c>
      <c r="X34" s="1348"/>
      <c r="Y34" s="3602"/>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2"/>
      <c r="Q35" s="1345" t="str">
        <f t="shared" ref="Q35:Q40" si="14">B35</f>
        <v>宗地形状</v>
      </c>
      <c r="R35" s="709" t="s">
        <v>17</v>
      </c>
      <c r="S35" s="710">
        <f t="shared" si="10"/>
        <v>100</v>
      </c>
      <c r="T35" s="709" t="s">
        <v>17</v>
      </c>
      <c r="U35" s="710">
        <f t="shared" si="11"/>
        <v>100</v>
      </c>
      <c r="V35" s="709" t="s">
        <v>17</v>
      </c>
      <c r="W35" s="710">
        <f t="shared" si="12"/>
        <v>100</v>
      </c>
      <c r="X35" s="1348"/>
      <c r="Y35" s="3602"/>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2"/>
      <c r="Q36" s="1345" t="str">
        <f t="shared" si="14"/>
        <v>宗地开发程度</v>
      </c>
      <c r="R36" s="705" t="s">
        <v>17</v>
      </c>
      <c r="S36" s="706">
        <f t="shared" si="10"/>
        <v>100</v>
      </c>
      <c r="T36" s="705" t="s">
        <v>17</v>
      </c>
      <c r="U36" s="706">
        <f t="shared" si="11"/>
        <v>100</v>
      </c>
      <c r="V36" s="705" t="s">
        <v>17</v>
      </c>
      <c r="W36" s="706">
        <f t="shared" si="12"/>
        <v>100</v>
      </c>
      <c r="X36" s="707"/>
      <c r="Y36" s="3602"/>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2" t="s">
        <v>1950</v>
      </c>
      <c r="Q37" s="1345" t="str">
        <f t="shared" si="14"/>
        <v>工程地质条件</v>
      </c>
      <c r="R37" s="709" t="s">
        <v>17</v>
      </c>
      <c r="S37" s="710">
        <f t="shared" si="10"/>
        <v>100</v>
      </c>
      <c r="T37" s="709" t="s">
        <v>17</v>
      </c>
      <c r="U37" s="710">
        <f t="shared" si="11"/>
        <v>100</v>
      </c>
      <c r="V37" s="709" t="s">
        <v>17</v>
      </c>
      <c r="W37" s="710">
        <f t="shared" si="12"/>
        <v>100</v>
      </c>
      <c r="X37" s="1348"/>
      <c r="Y37" s="3602"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2"/>
      <c r="Q38" s="1345">
        <f t="shared" si="14"/>
        <v>111</v>
      </c>
      <c r="R38" s="709" t="s">
        <v>17</v>
      </c>
      <c r="S38" s="710">
        <f t="shared" si="10"/>
        <v>100</v>
      </c>
      <c r="T38" s="709" t="s">
        <v>17</v>
      </c>
      <c r="U38" s="710">
        <f t="shared" si="11"/>
        <v>100</v>
      </c>
      <c r="V38" s="709" t="s">
        <v>17</v>
      </c>
      <c r="W38" s="710">
        <f t="shared" si="12"/>
        <v>100</v>
      </c>
      <c r="X38" s="1348"/>
      <c r="Y38" s="3602"/>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2"/>
      <c r="Q39" s="1345">
        <f t="shared" si="14"/>
        <v>111</v>
      </c>
      <c r="R39" s="709" t="s">
        <v>17</v>
      </c>
      <c r="S39" s="710">
        <f t="shared" si="10"/>
        <v>100</v>
      </c>
      <c r="T39" s="709" t="s">
        <v>17</v>
      </c>
      <c r="U39" s="710">
        <f t="shared" si="11"/>
        <v>100</v>
      </c>
      <c r="V39" s="709" t="s">
        <v>17</v>
      </c>
      <c r="W39" s="710">
        <f t="shared" si="12"/>
        <v>100</v>
      </c>
      <c r="X39" s="1348"/>
      <c r="Y39" s="3602"/>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2"/>
      <c r="Q40" s="1345">
        <f t="shared" si="14"/>
        <v>111</v>
      </c>
      <c r="R40" s="712" t="s">
        <v>17</v>
      </c>
      <c r="S40" s="713">
        <f t="shared" si="10"/>
        <v>100</v>
      </c>
      <c r="T40" s="712" t="s">
        <v>17</v>
      </c>
      <c r="U40" s="713">
        <f t="shared" si="11"/>
        <v>100</v>
      </c>
      <c r="V40" s="712" t="s">
        <v>17</v>
      </c>
      <c r="W40" s="713">
        <f t="shared" si="12"/>
        <v>100</v>
      </c>
      <c r="X40" s="714"/>
      <c r="Y40" s="3602"/>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5" t="str">
        <f>A41</f>
        <v>成交单价</v>
      </c>
      <c r="Q41" s="3595"/>
      <c r="R41" s="3626">
        <f>E41</f>
        <v>0</v>
      </c>
      <c r="S41" s="3626"/>
      <c r="T41" s="3626">
        <f>G41</f>
        <v>0</v>
      </c>
      <c r="U41" s="3626"/>
      <c r="V41" s="3626">
        <f>I41</f>
        <v>0</v>
      </c>
      <c r="W41" s="3626"/>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5" t="str">
        <f>A42</f>
        <v>比较价值（元/平方米）</v>
      </c>
      <c r="Q42" s="3595"/>
      <c r="R42" s="3655" t="e">
        <f>ROUND(PRODUCT(R41,AA7:AA40),0)</f>
        <v>#DIV/0!</v>
      </c>
      <c r="S42" s="3655"/>
      <c r="T42" s="3655" t="e">
        <f>ROUND(PRODUCT(T41,AB7:AB40),0)</f>
        <v>#DIV/0!</v>
      </c>
      <c r="U42" s="3655"/>
      <c r="V42" s="3655" t="e">
        <f>ROUND(PRODUCT(V41,AC7:AC40),0)</f>
        <v>#DIV/0!</v>
      </c>
      <c r="W42" s="3655"/>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2" t="str">
        <f>A43</f>
        <v>估价对象XX用房的比较价值（楼面单价，元/平方米）</v>
      </c>
      <c r="Q43" s="3593"/>
      <c r="R43" s="3656" t="e">
        <f>ROUND(IF(D42="简单平均",AVERAGE(R42:W42),R42*F42+T42*H42+V42*J42),0)</f>
        <v>#DIV/0!</v>
      </c>
      <c r="S43" s="3656"/>
      <c r="T43" s="3656"/>
      <c r="U43" s="3656"/>
      <c r="V43" s="3656"/>
      <c r="W43" s="3656"/>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10" t="s">
        <v>2149</v>
      </c>
      <c r="H50" s="3657"/>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6"/>
      <c r="H51" s="3595"/>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8"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8"/>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8"/>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8"/>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80" zoomScaleNormal="80" zoomScaleSheetLayoutView="80" workbookViewId="0">
      <selection activeCell="D42" sqref="D42"/>
    </sheetView>
  </sheetViews>
  <sheetFormatPr defaultColWidth="9" defaultRowHeight="12.75"/>
  <cols>
    <col min="1" max="1" width="9.75" style="2012" customWidth="1"/>
    <col min="2" max="2" width="23.875" style="2869" customWidth="1"/>
    <col min="3" max="3" width="12" style="1989"/>
    <col min="4" max="4" width="12.625" style="1989" bestFit="1" customWidth="1"/>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9" style="1989"/>
  </cols>
  <sheetData>
    <row r="1" spans="1:36" ht="28.5">
      <c r="A1" s="198" t="s">
        <v>2189</v>
      </c>
      <c r="B1" s="199"/>
      <c r="C1" s="203" t="s">
        <v>2190</v>
      </c>
      <c r="D1" s="344">
        <f>SUM(D33:D34,D37:D42)</f>
        <v>20146.400000000001</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3189</v>
      </c>
      <c r="C2" s="2913" t="s">
        <v>2198</v>
      </c>
      <c r="D2" s="2914" t="s">
        <v>2199</v>
      </c>
      <c r="E2" s="1990" t="s">
        <v>6</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Ⅵ-BDA核心</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2979</v>
      </c>
      <c r="U2" s="1216">
        <f>'[2]数据-基础表'!$I$13</f>
        <v>11810.92</v>
      </c>
      <c r="V2" s="3146">
        <f>ROUND(T2*U2/10000,0)</f>
        <v>3518</v>
      </c>
      <c r="W2" s="1217"/>
      <c r="X2" s="1217"/>
      <c r="Y2" s="1217"/>
      <c r="Z2" s="1217"/>
      <c r="AA2" s="1217"/>
      <c r="AB2" s="1217"/>
      <c r="AC2" s="1218"/>
      <c r="AD2" s="2614"/>
      <c r="AE2" s="2614"/>
      <c r="AF2" s="2614"/>
      <c r="AG2" s="2614"/>
      <c r="AH2" s="2614"/>
      <c r="AI2" s="2614"/>
      <c r="AJ2" s="2615"/>
    </row>
    <row r="3" spans="1:36" ht="15.75">
      <c r="A3" s="205" t="s">
        <v>2203</v>
      </c>
      <c r="B3" s="206">
        <f>ROUND(B2*10000/D1,0)</f>
        <v>1583</v>
      </c>
      <c r="C3" s="2913" t="s">
        <v>2204</v>
      </c>
      <c r="D3" s="2914" t="s">
        <v>2205</v>
      </c>
      <c r="E3" s="1991" t="s">
        <v>2896</v>
      </c>
      <c r="F3" s="1992" t="s">
        <v>3121</v>
      </c>
      <c r="G3" s="2878">
        <v>2.15</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2348</v>
      </c>
      <c r="U3" s="1216">
        <f>'[2]数据-基础表'!$I$14</f>
        <v>12045.64</v>
      </c>
      <c r="V3" s="3146">
        <f t="shared" ref="V3:V16" si="1">ROUND(T3*U3/10000,0)</f>
        <v>2828</v>
      </c>
      <c r="W3" s="1217"/>
      <c r="X3" s="1217"/>
      <c r="Y3" s="1217"/>
      <c r="Z3" s="1217"/>
      <c r="AA3" s="1217"/>
      <c r="AB3" s="1217"/>
      <c r="AC3" s="1218"/>
      <c r="AD3" s="2614"/>
      <c r="AE3" s="2614"/>
      <c r="AF3" s="2614"/>
      <c r="AG3" s="2614"/>
      <c r="AH3" s="2614"/>
      <c r="AI3" s="2614"/>
      <c r="AJ3" s="2615"/>
    </row>
    <row r="4" spans="1:36" ht="15.75">
      <c r="A4" s="3666"/>
      <c r="B4" s="3667"/>
      <c r="C4" s="3667"/>
      <c r="D4" s="3668"/>
      <c r="E4" s="3668"/>
      <c r="F4" s="3668"/>
      <c r="G4" s="3668"/>
      <c r="H4" s="3668"/>
      <c r="I4" s="3668"/>
      <c r="J4" s="3669"/>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1985</v>
      </c>
      <c r="U4" s="1216">
        <f>'[2]数据-基础表'!$I$15</f>
        <v>12019.87</v>
      </c>
      <c r="V4" s="3146">
        <f t="shared" si="1"/>
        <v>2386</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2298</v>
      </c>
      <c r="D5" s="3209">
        <f>ROUND(C6+C20,0)</f>
        <v>2298</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1750</v>
      </c>
      <c r="U5" s="1216">
        <f>'[2]数据-基础表'!$I$16</f>
        <v>2751.25</v>
      </c>
      <c r="V5" s="3146">
        <f t="shared" si="1"/>
        <v>481</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2340</v>
      </c>
      <c r="D6" s="2969" t="s">
        <v>2214</v>
      </c>
      <c r="E6" s="2970"/>
      <c r="F6" s="2970"/>
      <c r="G6" s="2971"/>
      <c r="H6" s="2971"/>
      <c r="I6" s="2971"/>
      <c r="J6" s="2972"/>
      <c r="K6" s="1376"/>
      <c r="L6" s="2919" t="s">
        <v>2215</v>
      </c>
      <c r="M6" s="2920">
        <f>SUMPRODUCT((区片价!B127:B189=I2)*(区片价!C3:G3=E2)*(区片价!C127:G189))</f>
        <v>2340</v>
      </c>
      <c r="N6" s="2918">
        <f>SUMPRODUCT((因素修正幅度!B127:B189=I2)*(因素修正幅度!C3:G3=E2)*(因素修正幅度!C127:G189))</f>
        <v>0.05</v>
      </c>
      <c r="O6" s="1126"/>
      <c r="P6" s="1126"/>
      <c r="Q6" s="1126"/>
      <c r="R6" s="3146">
        <v>5</v>
      </c>
      <c r="S6" s="3146">
        <f>ROUND(IF(R6&lt;6,SUMPRODUCT((B107:B111=R6)*(C106:N106=G2)*(C107:N111)),SUMIF(C106:N106,G2,C113:N113)),4)</f>
        <v>0.84799999999999998</v>
      </c>
      <c r="T6" s="3146">
        <f t="shared" si="0"/>
        <v>1682</v>
      </c>
      <c r="U6" s="1216"/>
      <c r="V6" s="3146">
        <f t="shared" si="1"/>
        <v>0</v>
      </c>
      <c r="W6" s="1217"/>
      <c r="X6" s="1217"/>
      <c r="Y6" s="1217"/>
      <c r="Z6" s="1217"/>
      <c r="AA6" s="1217"/>
      <c r="AB6" s="1217"/>
      <c r="AC6" s="1994"/>
      <c r="AD6" s="2843"/>
      <c r="AE6" s="2843"/>
      <c r="AF6" s="2843"/>
      <c r="AG6" s="2843"/>
      <c r="AH6" s="2843"/>
      <c r="AI6" s="2843"/>
      <c r="AJ6" s="2844"/>
    </row>
    <row r="7" spans="1:36" ht="15">
      <c r="A7" s="3670"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2.15</v>
      </c>
      <c r="AA7" s="1217"/>
      <c r="AB7" s="1217"/>
      <c r="AC7" s="1218"/>
      <c r="AD7" s="2614"/>
      <c r="AE7" s="2614"/>
      <c r="AF7" s="2614"/>
      <c r="AG7" s="2614"/>
      <c r="AH7" s="2614"/>
      <c r="AI7" s="2614"/>
      <c r="AJ7" s="2615"/>
    </row>
    <row r="8" spans="1:36" ht="25.5">
      <c r="A8" s="3671"/>
      <c r="B8" s="174" t="s">
        <v>2221</v>
      </c>
      <c r="C8" s="1996" t="s">
        <v>3122</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3" t="s">
        <v>2224</v>
      </c>
      <c r="X8" s="3664"/>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71"/>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65"/>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71"/>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65"/>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71"/>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v>1</v>
      </c>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2" t="s">
        <v>2849</v>
      </c>
      <c r="B20" s="171" t="s">
        <v>2259</v>
      </c>
      <c r="C20" s="3003">
        <f>ROUND(IF(F21="与级别开发程度一致",0,(G21-E21)/C21),0)</f>
        <v>-42</v>
      </c>
      <c r="D20" s="3674" t="s">
        <v>2263</v>
      </c>
      <c r="E20" s="3675"/>
      <c r="F20" s="3674" t="s">
        <v>2260</v>
      </c>
      <c r="G20" s="3675"/>
      <c r="H20" s="2898" t="s">
        <v>3116</v>
      </c>
      <c r="I20" s="2898" t="s">
        <v>3117</v>
      </c>
      <c r="J20" s="2899" t="s">
        <v>3118</v>
      </c>
      <c r="K20" s="2003" t="s">
        <v>3119</v>
      </c>
      <c r="L20" s="2003" t="s">
        <v>3120</v>
      </c>
      <c r="M20" s="2003" t="s">
        <v>3124</v>
      </c>
      <c r="N20" s="2003" t="s">
        <v>3126</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3"/>
      <c r="B21" s="2939" t="s">
        <v>2262</v>
      </c>
      <c r="C21" s="3004">
        <f>SUMPRODUCT((修正!A2:A7=E2)*(修正!B1:M1=G2)*(修正!B2:M7))</f>
        <v>1.2</v>
      </c>
      <c r="D21" s="3009" t="str">
        <f>IF(OR(G2="八级",G2="九级",G2="十级",G2="十一级",G2="十二级"),"五通一平","七通一平")</f>
        <v>七通一平</v>
      </c>
      <c r="E21" s="3010">
        <f>SUMPRODUCT((修正!B1:M1=G2)*(修正!B17:M17))</f>
        <v>315</v>
      </c>
      <c r="F21" s="2022" t="s">
        <v>3123</v>
      </c>
      <c r="G21" s="3021">
        <f>SUM(H21:O21)</f>
        <v>265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40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44680</v>
      </c>
      <c r="H23" s="2005" t="s">
        <v>3108</v>
      </c>
      <c r="I23" s="3029" t="str">
        <f>IF(H23="季度增幅（自定义）",SUMIF(N25:N28,E2,O25:O28),"")</f>
        <v/>
      </c>
      <c r="J23" s="3030"/>
      <c r="K23" s="1131"/>
      <c r="L23" s="3055" t="s">
        <v>2269</v>
      </c>
      <c r="M23" s="3056">
        <f>ROUND(SUMIF(地价!B2:G2,E2,地价!B13:G13),0)</f>
        <v>329</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0.82479999999999998</v>
      </c>
      <c r="D24" s="3015" t="s">
        <v>2272</v>
      </c>
      <c r="E24" s="3016">
        <v>3.6999999999999998E-2</v>
      </c>
      <c r="F24" s="3015" t="s">
        <v>2264</v>
      </c>
      <c r="G24" s="3026">
        <f>SUMIF(M30:Q30,E2,M33:Q33)</f>
        <v>0.05</v>
      </c>
      <c r="H24" s="3015" t="s">
        <v>2273</v>
      </c>
      <c r="I24" s="2879">
        <f>[3]项目基本情况!$I$15</f>
        <v>28.65</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3127</v>
      </c>
      <c r="C25" s="2909">
        <f>IF(B25="容积率修正",IF(G3&lt;10,D26,J26),C27)</f>
        <v>0.79800000000000004</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0.79800000000000004</v>
      </c>
      <c r="E26" s="3018">
        <f>ROUNDDOWN(G3,1)</f>
        <v>2.1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018">
        <f>ROUNDUP(G3,1)</f>
        <v>2.2000000000000002</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f>ROUND(IF(G3&gt;1,IF(I3&lt;7,SUMPRODUCT((B107:B111=I3)*(C106:N106=G2)*(C107:N111)),SUMIF(C106:N106,G2,C113:N113)),IF(I3&lt;7,SUMPRODUCT((#REF!=I3)*(C106:N106=G2)*(#REF!)),SUMIF(C106:N106,G2,#REF!))),4)</f>
        <v>0</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1.0255000000000001</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3189</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1583</v>
      </c>
      <c r="D33" s="2006">
        <f>'[3]数据-基础表'!$I$5+'[3]数据-基础表'!$G$15</f>
        <v>20146.400000000001</v>
      </c>
      <c r="E33" s="787">
        <f>ROUND(C33*D33/10000,0)</f>
        <v>3189</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237</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79"/>
      <c r="B37" s="2960" t="s">
        <v>2301</v>
      </c>
      <c r="C37" s="3040">
        <f>ROUND(D5*C22*C23*C24*C28*F37,0)</f>
        <v>1190</v>
      </c>
      <c r="D37" s="2006"/>
      <c r="E37" s="175">
        <f>ROUND(C37*D37/10000,0)</f>
        <v>0</v>
      </c>
      <c r="F37" s="175">
        <f>SUMIF(修正!A57:A68,G2,修正!B57:B68)</f>
        <v>0.6</v>
      </c>
      <c r="G37" s="175">
        <f>ROUND(IF(E2="工业",C37*$M$42,C37*$M$41),0)</f>
        <v>179</v>
      </c>
      <c r="H37" s="175">
        <f>D37</f>
        <v>0</v>
      </c>
      <c r="I37" s="175">
        <f>ROUND(G37*H37/10000,0)</f>
        <v>0</v>
      </c>
      <c r="J37" s="3681"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80"/>
      <c r="B38" s="2961" t="s">
        <v>2302</v>
      </c>
      <c r="C38" s="3040">
        <f>ROUND(D5*C22*C23*C24*C28*F38,0)</f>
        <v>595</v>
      </c>
      <c r="D38" s="2006"/>
      <c r="E38" s="175">
        <f t="shared" ref="E38:E42" si="4">ROUND(C38*D38/10000,0)</f>
        <v>0</v>
      </c>
      <c r="F38" s="175">
        <f>SUMIF(修正!A57:A68,G2,修正!C57:C68)</f>
        <v>0.3</v>
      </c>
      <c r="G38" s="175">
        <f>ROUND(IF(E2="工业",C38*$M$42,C38*$M$41),0)</f>
        <v>89</v>
      </c>
      <c r="H38" s="175">
        <f t="shared" ref="H38:H42" si="5">D38</f>
        <v>0</v>
      </c>
      <c r="I38" s="175">
        <f t="shared" ref="I38:I42" si="6">ROUND(G38*H38/10000,0)</f>
        <v>0</v>
      </c>
      <c r="J38" s="3680"/>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80"/>
      <c r="B39" s="2961" t="s">
        <v>2970</v>
      </c>
      <c r="C39" s="3040">
        <f>ROUND(D5*C22*C23*C24*C28*F39,0)</f>
        <v>496</v>
      </c>
      <c r="D39" s="2006"/>
      <c r="E39" s="175">
        <f t="shared" si="4"/>
        <v>0</v>
      </c>
      <c r="F39" s="175">
        <f>SUMIF(修正!A57:A68,G2,修正!D57:D68)</f>
        <v>0.25</v>
      </c>
      <c r="G39" s="175">
        <f>ROUND(IF(E2="工业",C39*$M$42,C39*$M$41),0)</f>
        <v>74</v>
      </c>
      <c r="H39" s="175">
        <f t="shared" si="5"/>
        <v>0</v>
      </c>
      <c r="I39" s="175">
        <f t="shared" si="6"/>
        <v>0</v>
      </c>
      <c r="J39" s="3680"/>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496</v>
      </c>
      <c r="D40" s="2006"/>
      <c r="E40" s="175">
        <f t="shared" si="4"/>
        <v>0</v>
      </c>
      <c r="F40" s="3040">
        <f>SUMIF(修正!A57:A68,G2,修正!E57:E68)</f>
        <v>0.25</v>
      </c>
      <c r="G40" s="175">
        <f>ROUND(IF(E2="工业",C40*$M$42,C40*$M$41),0)</f>
        <v>74</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496</v>
      </c>
      <c r="D41" s="2006"/>
      <c r="E41" s="175">
        <f t="shared" si="4"/>
        <v>0</v>
      </c>
      <c r="F41" s="3040">
        <f>SUMIF(修正!A57:A68,G2,修正!F57:F68)</f>
        <v>0.25</v>
      </c>
      <c r="G41" s="175">
        <f>ROUND(IF(E2="工业",C41*$M$42,C41*$M$41),0)</f>
        <v>74</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298</v>
      </c>
      <c r="D42" s="2007"/>
      <c r="E42" s="3009">
        <f t="shared" si="4"/>
        <v>0</v>
      </c>
      <c r="F42" s="3052">
        <f>SUMIF(修正!A57:A68,G2,修正!G57:G68)</f>
        <v>0.15</v>
      </c>
      <c r="G42" s="3009">
        <f>ROUND(IF(E2="工业",C42*$M$42,C42*$M$41),0)</f>
        <v>45</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0.82479999999999998</v>
      </c>
      <c r="D44" s="175" t="s">
        <v>2264</v>
      </c>
      <c r="E44" s="3054">
        <f>G24</f>
        <v>0.05</v>
      </c>
      <c r="F44" s="175" t="s">
        <v>2273</v>
      </c>
      <c r="G44" s="186">
        <f>项目基本情况!I15</f>
        <v>28.65</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6.75">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6.75">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4">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1.0255000000000001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3372" t="s">
        <v>3125</v>
      </c>
      <c r="D84" s="3101">
        <f t="shared" ref="D84:D91" si="22">SUMIF($J$83:$N$83,C84,J84:N84)</f>
        <v>6.4999999999999997E-3</v>
      </c>
      <c r="E84" s="3102">
        <f>ROUND(SUM(D84:D91),4)</f>
        <v>2.5499999999999998E-2</v>
      </c>
      <c r="F84" s="1808">
        <f>IF(E2="工业",SUMIF(L1:L12,G2,N1:N12),"——")</f>
        <v>0.05</v>
      </c>
      <c r="G84" s="1073">
        <v>6.4999999999999997E-3</v>
      </c>
      <c r="H84" s="3156">
        <f t="shared" ref="H84:H91" si="23">IFERROR(ROUNDDOWN($F$84*I84/2,4),"——")</f>
        <v>6.4999999999999997E-3</v>
      </c>
      <c r="I84" s="3107">
        <v>0.26</v>
      </c>
      <c r="J84" s="3108">
        <f t="shared" ref="J84:J91" si="24">K84+$G84</f>
        <v>1.2999999999999999E-2</v>
      </c>
      <c r="K84" s="3108">
        <f t="shared" ref="K84:K91" si="25">$L84+$G84</f>
        <v>6.4999999999999997E-3</v>
      </c>
      <c r="L84" s="3108">
        <v>0</v>
      </c>
      <c r="M84" s="3108">
        <f t="shared" ref="M84:N91" si="26">L84-$G84</f>
        <v>-6.4999999999999997E-3</v>
      </c>
      <c r="N84" s="3108">
        <f t="shared" si="26"/>
        <v>-1.2999999999999999E-2</v>
      </c>
      <c r="Z84" s="1989"/>
      <c r="AA84" s="2012"/>
      <c r="AG84" s="1127"/>
      <c r="AK84" s="2012"/>
    </row>
    <row r="85" spans="1:37" ht="38.25">
      <c r="A85" s="3092" t="s">
        <v>2318</v>
      </c>
      <c r="B85" s="3096" t="str">
        <f>估价对象房地状况!G16</f>
        <v>估价对象周边道路状况、公共交通通达情况、停车便捷程度，综合评价交通便捷度较好</v>
      </c>
      <c r="C85" s="3372" t="s">
        <v>3125</v>
      </c>
      <c r="D85" s="3101">
        <f t="shared" si="22"/>
        <v>7.4999999999999997E-3</v>
      </c>
      <c r="E85" s="3112"/>
      <c r="F85" s="1808"/>
      <c r="G85" s="1073">
        <v>7.4999999999999997E-3</v>
      </c>
      <c r="H85" s="3156">
        <f t="shared" si="23"/>
        <v>7.4999999999999997E-3</v>
      </c>
      <c r="I85" s="3107">
        <v>0.3</v>
      </c>
      <c r="J85" s="3108">
        <f t="shared" si="24"/>
        <v>1.4999999999999999E-2</v>
      </c>
      <c r="K85" s="3108">
        <f t="shared" si="25"/>
        <v>7.4999999999999997E-3</v>
      </c>
      <c r="L85" s="3108">
        <v>0</v>
      </c>
      <c r="M85" s="3108">
        <f t="shared" si="26"/>
        <v>-7.4999999999999997E-3</v>
      </c>
      <c r="N85" s="3108">
        <f t="shared" si="26"/>
        <v>-1.4999999999999999E-2</v>
      </c>
      <c r="Z85" s="1989"/>
      <c r="AA85" s="2012"/>
      <c r="AG85" s="1127"/>
      <c r="AK85" s="2012"/>
    </row>
    <row r="86" spans="1:37" ht="36">
      <c r="A86" s="3097" t="s">
        <v>2845</v>
      </c>
      <c r="B86" s="3096">
        <f>估价对象房地状况!G17</f>
        <v>0</v>
      </c>
      <c r="C86" s="3372" t="s">
        <v>3125</v>
      </c>
      <c r="D86" s="3101">
        <f t="shared" si="22"/>
        <v>2.5000000000000001E-3</v>
      </c>
      <c r="E86" s="3112"/>
      <c r="F86" s="1808"/>
      <c r="G86" s="1073">
        <v>2.5000000000000001E-3</v>
      </c>
      <c r="H86" s="3156">
        <f t="shared" si="23"/>
        <v>2.5000000000000001E-3</v>
      </c>
      <c r="I86" s="3107">
        <v>0.1</v>
      </c>
      <c r="J86" s="3108">
        <f t="shared" si="24"/>
        <v>5.0000000000000001E-3</v>
      </c>
      <c r="K86" s="3108">
        <f t="shared" si="25"/>
        <v>2.5000000000000001E-3</v>
      </c>
      <c r="L86" s="3108">
        <v>0</v>
      </c>
      <c r="M86" s="3108">
        <f t="shared" si="26"/>
        <v>-2.5000000000000001E-3</v>
      </c>
      <c r="N86" s="3108">
        <f t="shared" si="26"/>
        <v>-5.0000000000000001E-3</v>
      </c>
      <c r="Z86" s="1989"/>
      <c r="AA86" s="2012"/>
      <c r="AG86" s="1127"/>
      <c r="AK86" s="2012"/>
    </row>
    <row r="87" spans="1:37" ht="14.25">
      <c r="A87" s="3092" t="s">
        <v>2331</v>
      </c>
      <c r="B87" s="3096">
        <f>估价对象房地状况!G22</f>
        <v>0</v>
      </c>
      <c r="C87" s="3373" t="s">
        <v>3130</v>
      </c>
      <c r="D87" s="3101">
        <f t="shared" si="22"/>
        <v>-1.1999999999999999E-3</v>
      </c>
      <c r="E87" s="3112"/>
      <c r="F87" s="1808"/>
      <c r="G87" s="1073">
        <v>1.1999999999999999E-3</v>
      </c>
      <c r="H87" s="3156">
        <f t="shared" si="23"/>
        <v>1.1999999999999999E-3</v>
      </c>
      <c r="I87" s="3107">
        <v>0.05</v>
      </c>
      <c r="J87" s="3108">
        <f t="shared" si="24"/>
        <v>2.3999999999999998E-3</v>
      </c>
      <c r="K87" s="3108">
        <f t="shared" si="25"/>
        <v>1.1999999999999999E-3</v>
      </c>
      <c r="L87" s="3108">
        <v>0</v>
      </c>
      <c r="M87" s="3108">
        <f t="shared" si="26"/>
        <v>-1.1999999999999999E-3</v>
      </c>
      <c r="N87" s="3108">
        <f t="shared" si="26"/>
        <v>-2.3999999999999998E-3</v>
      </c>
      <c r="Z87" s="1989"/>
      <c r="AA87" s="2012"/>
      <c r="AG87" s="1127"/>
      <c r="AK87" s="2012"/>
    </row>
    <row r="88" spans="1:37" ht="25.5">
      <c r="A88" s="3092" t="s">
        <v>2324</v>
      </c>
      <c r="B88" s="1324" t="str">
        <f>估价对象房地状况!G19</f>
        <v>估价对象所在区域公共配套设施齐备情况</v>
      </c>
      <c r="C88" s="3372" t="s">
        <v>3125</v>
      </c>
      <c r="D88" s="3101">
        <f t="shared" si="22"/>
        <v>1.5E-3</v>
      </c>
      <c r="E88" s="3112"/>
      <c r="F88" s="1808"/>
      <c r="G88" s="1073">
        <v>1.5E-3</v>
      </c>
      <c r="H88" s="3156">
        <f t="shared" si="23"/>
        <v>1.5E-3</v>
      </c>
      <c r="I88" s="3107">
        <v>0.06</v>
      </c>
      <c r="J88" s="3108">
        <f t="shared" si="24"/>
        <v>3.0000000000000001E-3</v>
      </c>
      <c r="K88" s="3108">
        <f t="shared" si="25"/>
        <v>1.5E-3</v>
      </c>
      <c r="L88" s="3108">
        <v>0</v>
      </c>
      <c r="M88" s="3108">
        <f t="shared" si="26"/>
        <v>-1.5E-3</v>
      </c>
      <c r="N88" s="3108">
        <f t="shared" si="26"/>
        <v>-3.0000000000000001E-3</v>
      </c>
    </row>
    <row r="89" spans="1:37" ht="24">
      <c r="A89" s="3092" t="s">
        <v>2325</v>
      </c>
      <c r="B89" s="1324" t="str">
        <f>估价对象房地状况!G20</f>
        <v>估价对象所在区域基础设施水平</v>
      </c>
      <c r="C89" s="3373" t="s">
        <v>3131</v>
      </c>
      <c r="D89" s="3101">
        <f t="shared" si="22"/>
        <v>6.0000000000000001E-3</v>
      </c>
      <c r="E89" s="3112"/>
      <c r="F89" s="1808"/>
      <c r="G89" s="1073">
        <v>3.0000000000000001E-3</v>
      </c>
      <c r="H89" s="3156">
        <f t="shared" si="23"/>
        <v>3.0000000000000001E-3</v>
      </c>
      <c r="I89" s="3107">
        <v>0.12</v>
      </c>
      <c r="J89" s="3108">
        <f t="shared" si="24"/>
        <v>6.0000000000000001E-3</v>
      </c>
      <c r="K89" s="3108">
        <f t="shared" si="25"/>
        <v>3.0000000000000001E-3</v>
      </c>
      <c r="L89" s="3108">
        <v>0</v>
      </c>
      <c r="M89" s="3108">
        <f t="shared" si="26"/>
        <v>-3.0000000000000001E-3</v>
      </c>
      <c r="N89" s="3108">
        <f t="shared" si="26"/>
        <v>-6.0000000000000001E-3</v>
      </c>
    </row>
    <row r="90" spans="1:37" ht="24">
      <c r="A90" s="3092" t="s">
        <v>2322</v>
      </c>
      <c r="B90" s="2011" t="s">
        <v>2335</v>
      </c>
      <c r="C90" s="3372" t="s">
        <v>3125</v>
      </c>
      <c r="D90" s="3101">
        <f t="shared" si="22"/>
        <v>1.5E-3</v>
      </c>
      <c r="E90" s="3112"/>
      <c r="F90" s="1808"/>
      <c r="G90" s="1073">
        <v>1.5E-3</v>
      </c>
      <c r="H90" s="3156">
        <f t="shared" si="23"/>
        <v>1.5E-3</v>
      </c>
      <c r="I90" s="3107">
        <v>0.06</v>
      </c>
      <c r="J90" s="3108">
        <f t="shared" si="24"/>
        <v>3.0000000000000001E-3</v>
      </c>
      <c r="K90" s="3108">
        <f t="shared" si="25"/>
        <v>1.5E-3</v>
      </c>
      <c r="L90" s="3108">
        <v>0</v>
      </c>
      <c r="M90" s="3108">
        <f t="shared" si="26"/>
        <v>-1.5E-3</v>
      </c>
      <c r="N90" s="3108">
        <f t="shared" si="26"/>
        <v>-3.0000000000000001E-3</v>
      </c>
    </row>
    <row r="91" spans="1:37" ht="39" thickBot="1">
      <c r="A91" s="3099" t="s">
        <v>2336</v>
      </c>
      <c r="B91" s="3114" t="str">
        <f>估价对象房地状况!G18</f>
        <v>该园区内是否有污染型企业，绿化情况，卫生条件，整体环境状况判断</v>
      </c>
      <c r="C91" s="3372" t="s">
        <v>3125</v>
      </c>
      <c r="D91" s="3101">
        <f t="shared" si="22"/>
        <v>1.1999999999999999E-3</v>
      </c>
      <c r="E91" s="3113"/>
      <c r="F91" s="1808"/>
      <c r="G91" s="1073">
        <v>1.1999999999999999E-3</v>
      </c>
      <c r="H91" s="3156">
        <f t="shared" si="23"/>
        <v>1.1999999999999999E-3</v>
      </c>
      <c r="I91" s="3109">
        <v>0.05</v>
      </c>
      <c r="J91" s="3108">
        <f t="shared" si="24"/>
        <v>2.3999999999999998E-3</v>
      </c>
      <c r="K91" s="3108">
        <f t="shared" si="25"/>
        <v>1.1999999999999999E-3</v>
      </c>
      <c r="L91" s="3108">
        <v>0</v>
      </c>
      <c r="M91" s="3108">
        <f t="shared" si="26"/>
        <v>-1.1999999999999999E-3</v>
      </c>
      <c r="N91" s="3108">
        <f t="shared" si="26"/>
        <v>-2.3999999999999998E-3</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7">IFERROR(ROUNDDOWN($F$62*I94/2,4),"——")</f>
        <v>——</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t="str">
        <f t="shared" si="27"/>
        <v>——</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t="str">
        <f t="shared" si="27"/>
        <v>——</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t="str">
        <f t="shared" si="27"/>
        <v>——</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t="str">
        <f t="shared" si="27"/>
        <v>——</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t="str">
        <f t="shared" si="27"/>
        <v>——</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t="str">
        <f t="shared" si="27"/>
        <v>——</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t="str">
        <f t="shared" si="27"/>
        <v>——</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t="str">
        <f t="shared" si="27"/>
        <v>——</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6" t="s">
        <v>2337</v>
      </c>
      <c r="B104" s="3676"/>
      <c r="C104" s="3676"/>
      <c r="D104" s="3676"/>
      <c r="E104" s="3676"/>
      <c r="F104" s="3676"/>
      <c r="G104" s="3676"/>
      <c r="H104" s="3676"/>
      <c r="I104" s="3676"/>
      <c r="J104" s="3676"/>
      <c r="K104" s="3117"/>
      <c r="L104" s="3117"/>
      <c r="M104" s="3117"/>
      <c r="N104" s="3117"/>
    </row>
    <row r="105" spans="1:37">
      <c r="A105" s="3678" t="s">
        <v>2338</v>
      </c>
      <c r="B105" s="3678" t="s">
        <v>2339</v>
      </c>
      <c r="C105" s="3044" t="s">
        <v>2340</v>
      </c>
      <c r="D105" s="3045"/>
      <c r="E105" s="3045"/>
      <c r="F105" s="3045"/>
      <c r="G105" s="3045"/>
      <c r="H105" s="3045"/>
      <c r="I105" s="3045"/>
      <c r="J105" s="3118"/>
      <c r="K105" s="3119"/>
      <c r="L105" s="3119"/>
      <c r="M105" s="3119"/>
      <c r="N105" s="3119"/>
    </row>
    <row r="106" spans="1:37">
      <c r="A106" s="3678"/>
      <c r="B106" s="3678"/>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2"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3"/>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3"/>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3"/>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3"/>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83"/>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84"/>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77" t="s">
        <v>2342</v>
      </c>
      <c r="B114" s="3677"/>
      <c r="C114" s="3677"/>
      <c r="D114" s="3677"/>
      <c r="E114" s="3677"/>
      <c r="F114" s="3677"/>
      <c r="G114" s="3677"/>
      <c r="H114" s="3677"/>
      <c r="I114" s="3677"/>
      <c r="J114" s="3677"/>
      <c r="K114" s="3124"/>
      <c r="L114" s="3124"/>
      <c r="M114" s="3124"/>
      <c r="N114" s="3124"/>
    </row>
    <row r="116" spans="1:14" ht="13.5" thickBot="1"/>
    <row r="117" spans="1:14" ht="25.5" thickBot="1">
      <c r="A117" s="3125" t="s">
        <v>2343</v>
      </c>
      <c r="B117" s="3126">
        <f>G3</f>
        <v>2.15</v>
      </c>
      <c r="C117" s="3127" t="s">
        <v>2344</v>
      </c>
      <c r="D117" s="3128">
        <f>SUMPRODUCT((A119:A123=F117)*(B118:M118=H117)*B119:M123)</f>
        <v>0.62250000000000005</v>
      </c>
      <c r="E117" s="2915" t="s">
        <v>2199</v>
      </c>
      <c r="F117" s="3129" t="str">
        <f>E2</f>
        <v>工业</v>
      </c>
      <c r="G117" s="2915" t="s">
        <v>2200</v>
      </c>
      <c r="H117" s="3129" t="str">
        <f>G2</f>
        <v>六级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0.97319999999999995</v>
      </c>
      <c r="C119" s="3138">
        <f>B119</f>
        <v>0.97319999999999995</v>
      </c>
      <c r="D119" s="3138">
        <f>ROUND(0.949-0.014*B117,4)</f>
        <v>0.91890000000000005</v>
      </c>
      <c r="E119" s="3138">
        <f>D119</f>
        <v>0.91890000000000005</v>
      </c>
      <c r="F119" s="3138">
        <f>E119</f>
        <v>0.91890000000000005</v>
      </c>
      <c r="G119" s="3138">
        <f>F119</f>
        <v>0.91890000000000005</v>
      </c>
      <c r="H119" s="3138">
        <f>G119</f>
        <v>0.91890000000000005</v>
      </c>
      <c r="I119" s="3138">
        <f>ROUND(0.8486-0.018*B117,4)</f>
        <v>0.80989999999999995</v>
      </c>
      <c r="J119" s="3138">
        <f t="shared" ref="J119:M122" si="36">I119</f>
        <v>0.80989999999999995</v>
      </c>
      <c r="K119" s="3138">
        <f t="shared" si="36"/>
        <v>0.80989999999999995</v>
      </c>
      <c r="L119" s="3138">
        <f t="shared" si="36"/>
        <v>0.80989999999999995</v>
      </c>
      <c r="M119" s="3139">
        <f t="shared" si="36"/>
        <v>0.80989999999999995</v>
      </c>
    </row>
    <row r="120" spans="1:14">
      <c r="A120" s="3137" t="s">
        <v>2256</v>
      </c>
      <c r="B120" s="3138">
        <f>ROUND(0.993-0.0112*B117,4)</f>
        <v>0.96889999999999998</v>
      </c>
      <c r="C120" s="3138">
        <f>B120</f>
        <v>0.96889999999999998</v>
      </c>
      <c r="D120" s="3138">
        <f>ROUND(0.9415-0.0142*B117,4)</f>
        <v>0.91100000000000003</v>
      </c>
      <c r="E120" s="3138">
        <f t="shared" ref="E120:H121" si="37">D120</f>
        <v>0.91100000000000003</v>
      </c>
      <c r="F120" s="3138">
        <f t="shared" si="37"/>
        <v>0.91100000000000003</v>
      </c>
      <c r="G120" s="3138">
        <f t="shared" si="37"/>
        <v>0.91100000000000003</v>
      </c>
      <c r="H120" s="3138">
        <f t="shared" si="37"/>
        <v>0.91100000000000003</v>
      </c>
      <c r="I120" s="3138">
        <f>ROUND(0.838-0.0182*B117,4)</f>
        <v>0.79890000000000005</v>
      </c>
      <c r="J120" s="3138">
        <f t="shared" si="36"/>
        <v>0.79890000000000005</v>
      </c>
      <c r="K120" s="3138">
        <f t="shared" si="36"/>
        <v>0.79890000000000005</v>
      </c>
      <c r="L120" s="3138">
        <f t="shared" si="36"/>
        <v>0.79890000000000005</v>
      </c>
      <c r="M120" s="3139">
        <f t="shared" si="36"/>
        <v>0.79890000000000005</v>
      </c>
    </row>
    <row r="121" spans="1:14">
      <c r="A121" s="3137" t="s">
        <v>2257</v>
      </c>
      <c r="B121" s="3138">
        <f>ROUND(0.9448-0.0115*B117,4)</f>
        <v>0.92010000000000003</v>
      </c>
      <c r="C121" s="3138">
        <f>B121</f>
        <v>0.92010000000000003</v>
      </c>
      <c r="D121" s="3138">
        <f>ROUND(0.937-0.0145*B117,4)</f>
        <v>0.90580000000000005</v>
      </c>
      <c r="E121" s="3138">
        <f t="shared" si="37"/>
        <v>0.90580000000000005</v>
      </c>
      <c r="F121" s="3138">
        <f t="shared" si="37"/>
        <v>0.90580000000000005</v>
      </c>
      <c r="G121" s="3138">
        <f t="shared" si="37"/>
        <v>0.90580000000000005</v>
      </c>
      <c r="H121" s="3138">
        <f t="shared" si="37"/>
        <v>0.90580000000000005</v>
      </c>
      <c r="I121" s="3138">
        <f>ROUND(0.7965-0.0185*B117,4)</f>
        <v>0.75670000000000004</v>
      </c>
      <c r="J121" s="3138">
        <f t="shared" si="36"/>
        <v>0.75670000000000004</v>
      </c>
      <c r="K121" s="3138">
        <f t="shared" si="36"/>
        <v>0.75670000000000004</v>
      </c>
      <c r="L121" s="3138">
        <f t="shared" si="36"/>
        <v>0.75670000000000004</v>
      </c>
      <c r="M121" s="3139">
        <f t="shared" si="36"/>
        <v>0.75670000000000004</v>
      </c>
    </row>
    <row r="122" spans="1:14" ht="13.5" thickBot="1">
      <c r="A122" s="3140" t="s">
        <v>2258</v>
      </c>
      <c r="B122" s="3141">
        <f>ROUND(0.7836-0.012*B117,4)</f>
        <v>0.75780000000000003</v>
      </c>
      <c r="C122" s="3141">
        <f>B122</f>
        <v>0.75780000000000003</v>
      </c>
      <c r="D122" s="3141">
        <f>ROUND(0.753-0.015*B117,4)</f>
        <v>0.7208</v>
      </c>
      <c r="E122" s="3141">
        <f>D122</f>
        <v>0.7208</v>
      </c>
      <c r="F122" s="3141">
        <f>E122</f>
        <v>0.7208</v>
      </c>
      <c r="G122" s="3141">
        <f>ROUND(0.6612-0.018*B117,4)</f>
        <v>0.62250000000000005</v>
      </c>
      <c r="H122" s="3141">
        <f>G122</f>
        <v>0.62250000000000005</v>
      </c>
      <c r="I122" s="3141">
        <f>ROUND(0.5905-0.019*B117,4)</f>
        <v>0.54969999999999997</v>
      </c>
      <c r="J122" s="3141">
        <f t="shared" si="36"/>
        <v>0.54969999999999997</v>
      </c>
      <c r="K122" s="3141">
        <f t="shared" si="36"/>
        <v>0.54969999999999997</v>
      </c>
      <c r="L122" s="3141">
        <f t="shared" si="36"/>
        <v>0.54969999999999997</v>
      </c>
      <c r="M122" s="3142">
        <f t="shared" si="36"/>
        <v>0.54969999999999997</v>
      </c>
    </row>
    <row r="123" spans="1:14">
      <c r="A123" s="3143" t="s">
        <v>2931</v>
      </c>
      <c r="B123" s="3138">
        <f>ROUND(0.9404-0.0106*B117,4)</f>
        <v>0.91759999999999997</v>
      </c>
      <c r="C123" s="3138">
        <f>B123</f>
        <v>0.91759999999999997</v>
      </c>
      <c r="D123" s="3138">
        <f>ROUND(0.8955-0.0135*B117,4)</f>
        <v>0.86650000000000005</v>
      </c>
      <c r="E123" s="3138">
        <f t="shared" ref="E123" si="38">D123</f>
        <v>0.86650000000000005</v>
      </c>
      <c r="F123" s="3138">
        <f t="shared" ref="F123" si="39">E123</f>
        <v>0.86650000000000005</v>
      </c>
      <c r="G123" s="3138">
        <f t="shared" ref="G123" si="40">F123</f>
        <v>0.86650000000000005</v>
      </c>
      <c r="H123" s="3138">
        <f t="shared" ref="H123" si="41">G123</f>
        <v>0.86650000000000005</v>
      </c>
      <c r="I123" s="3138">
        <f>ROUND(0.7632-0.0166*B117,4)</f>
        <v>0.72750000000000004</v>
      </c>
      <c r="J123" s="3138">
        <f t="shared" ref="J123" si="42">I123</f>
        <v>0.72750000000000004</v>
      </c>
      <c r="K123" s="3138">
        <f t="shared" ref="K123" si="43">J123</f>
        <v>0.72750000000000004</v>
      </c>
      <c r="L123" s="3138">
        <f t="shared" ref="L123" si="44">K123</f>
        <v>0.72750000000000004</v>
      </c>
      <c r="M123" s="3139">
        <f t="shared" ref="M123" si="45">L123</f>
        <v>0.72750000000000004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5" t="s">
        <v>180</v>
      </c>
      <c r="B20" s="3695" t="s">
        <v>2923</v>
      </c>
      <c r="C20" s="3222" t="s">
        <v>2853</v>
      </c>
      <c r="D20" s="3223"/>
      <c r="E20" s="3224">
        <v>1</v>
      </c>
      <c r="F20" s="778" t="s">
        <v>2859</v>
      </c>
      <c r="G20" s="779"/>
      <c r="H20" s="773"/>
      <c r="I20" s="773"/>
    </row>
    <row r="21" spans="1:13" s="780" customFormat="1">
      <c r="A21" s="3686"/>
      <c r="B21" s="3690"/>
      <c r="C21" s="776" t="s">
        <v>2854</v>
      </c>
      <c r="D21" s="777"/>
      <c r="E21" s="3225">
        <v>1</v>
      </c>
      <c r="F21" s="778" t="s">
        <v>2860</v>
      </c>
      <c r="G21" s="779"/>
      <c r="H21" s="773"/>
      <c r="I21" s="773"/>
    </row>
    <row r="22" spans="1:13" s="780" customFormat="1">
      <c r="A22" s="3686"/>
      <c r="B22" s="3690"/>
      <c r="C22" s="776" t="s">
        <v>2855</v>
      </c>
      <c r="D22" s="777"/>
      <c r="E22" s="3225">
        <v>0.9</v>
      </c>
      <c r="F22" s="778" t="s">
        <v>2861</v>
      </c>
      <c r="G22" s="779"/>
      <c r="H22" s="773"/>
      <c r="I22" s="773"/>
    </row>
    <row r="23" spans="1:13" s="780" customFormat="1">
      <c r="A23" s="3686"/>
      <c r="B23" s="3690"/>
      <c r="C23" s="776" t="s">
        <v>2856</v>
      </c>
      <c r="D23" s="777"/>
      <c r="E23" s="3225">
        <v>0.9</v>
      </c>
      <c r="F23" s="778" t="s">
        <v>2862</v>
      </c>
      <c r="G23" s="779"/>
      <c r="H23" s="773"/>
      <c r="I23" s="773"/>
    </row>
    <row r="24" spans="1:13" s="780" customFormat="1">
      <c r="A24" s="3686"/>
      <c r="B24" s="3690"/>
      <c r="C24" s="776" t="s">
        <v>2857</v>
      </c>
      <c r="D24" s="777"/>
      <c r="E24" s="3225">
        <v>0.8</v>
      </c>
      <c r="F24" s="778" t="s">
        <v>2863</v>
      </c>
      <c r="G24" s="779"/>
      <c r="H24" s="773"/>
      <c r="I24" s="773"/>
    </row>
    <row r="25" spans="1:13" s="780" customFormat="1" ht="14.25" thickBot="1">
      <c r="A25" s="3687"/>
      <c r="B25" s="3696"/>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2" t="s">
        <v>2866</v>
      </c>
      <c r="B27" s="3695" t="s">
        <v>2866</v>
      </c>
      <c r="C27" s="3222" t="s">
        <v>2868</v>
      </c>
      <c r="D27" s="3223"/>
      <c r="E27" s="3224">
        <v>1</v>
      </c>
      <c r="F27" s="778" t="s">
        <v>2881</v>
      </c>
      <c r="G27" s="779"/>
      <c r="H27" s="773"/>
      <c r="I27" s="773"/>
    </row>
    <row r="28" spans="1:13" s="780" customFormat="1">
      <c r="A28" s="3693"/>
      <c r="B28" s="3690"/>
      <c r="C28" s="776" t="s">
        <v>2869</v>
      </c>
      <c r="D28" s="777"/>
      <c r="E28" s="3225">
        <v>1</v>
      </c>
      <c r="F28" s="778" t="s">
        <v>2882</v>
      </c>
      <c r="G28" s="779"/>
      <c r="H28" s="773"/>
      <c r="I28" s="773"/>
    </row>
    <row r="29" spans="1:13" s="780" customFormat="1">
      <c r="A29" s="3693"/>
      <c r="B29" s="3690"/>
      <c r="C29" s="776" t="s">
        <v>2870</v>
      </c>
      <c r="D29" s="777"/>
      <c r="E29" s="3225">
        <v>0.8</v>
      </c>
      <c r="F29" s="778" t="s">
        <v>2883</v>
      </c>
      <c r="G29" s="779"/>
      <c r="H29" s="773"/>
      <c r="I29" s="773"/>
    </row>
    <row r="30" spans="1:13" s="780" customFormat="1">
      <c r="A30" s="3693"/>
      <c r="B30" s="3690"/>
      <c r="C30" s="776" t="s">
        <v>2871</v>
      </c>
      <c r="D30" s="777"/>
      <c r="E30" s="3225">
        <v>0.8</v>
      </c>
      <c r="F30" s="778" t="s">
        <v>2884</v>
      </c>
      <c r="G30" s="779"/>
      <c r="H30" s="773"/>
      <c r="I30" s="773"/>
    </row>
    <row r="31" spans="1:13" s="780" customFormat="1">
      <c r="A31" s="3693"/>
      <c r="B31" s="3690"/>
      <c r="C31" s="776" t="s">
        <v>2872</v>
      </c>
      <c r="D31" s="777"/>
      <c r="E31" s="3225">
        <v>0.8</v>
      </c>
      <c r="F31" s="778" t="s">
        <v>2885</v>
      </c>
      <c r="G31" s="779"/>
      <c r="H31" s="773"/>
      <c r="I31" s="773"/>
    </row>
    <row r="32" spans="1:13" s="780" customFormat="1">
      <c r="A32" s="3693"/>
      <c r="B32" s="3690"/>
      <c r="C32" s="776" t="s">
        <v>2873</v>
      </c>
      <c r="D32" s="777"/>
      <c r="E32" s="3225">
        <v>0.7</v>
      </c>
      <c r="F32" s="778" t="s">
        <v>2886</v>
      </c>
      <c r="G32" s="779"/>
      <c r="H32" s="773"/>
      <c r="I32" s="773"/>
    </row>
    <row r="33" spans="1:9" s="780" customFormat="1">
      <c r="A33" s="3693"/>
      <c r="B33" s="3690"/>
      <c r="C33" s="776" t="s">
        <v>2874</v>
      </c>
      <c r="D33" s="777"/>
      <c r="E33" s="3225">
        <v>0.8</v>
      </c>
      <c r="F33" s="778" t="s">
        <v>2887</v>
      </c>
      <c r="G33" s="779"/>
      <c r="H33" s="773"/>
      <c r="I33" s="773"/>
    </row>
    <row r="34" spans="1:9" s="780" customFormat="1">
      <c r="A34" s="3693"/>
      <c r="B34" s="3690"/>
      <c r="C34" s="776" t="s">
        <v>2875</v>
      </c>
      <c r="D34" s="777"/>
      <c r="E34" s="3225">
        <v>0.6</v>
      </c>
      <c r="F34" s="778" t="s">
        <v>2888</v>
      </c>
      <c r="G34" s="779"/>
      <c r="H34" s="773"/>
      <c r="I34" s="773"/>
    </row>
    <row r="35" spans="1:9" s="780" customFormat="1">
      <c r="A35" s="3693"/>
      <c r="B35" s="3690"/>
      <c r="C35" s="776" t="s">
        <v>2876</v>
      </c>
      <c r="D35" s="777"/>
      <c r="E35" s="3225">
        <v>0.2</v>
      </c>
      <c r="F35" s="778" t="s">
        <v>2889</v>
      </c>
      <c r="G35" s="779"/>
      <c r="H35" s="773"/>
      <c r="I35" s="773"/>
    </row>
    <row r="36" spans="1:9" s="780" customFormat="1">
      <c r="A36" s="3693"/>
      <c r="B36" s="3690"/>
      <c r="C36" s="776" t="s">
        <v>2877</v>
      </c>
      <c r="D36" s="777"/>
      <c r="E36" s="3225">
        <v>0.2</v>
      </c>
      <c r="F36" s="778" t="s">
        <v>2890</v>
      </c>
      <c r="G36" s="779"/>
      <c r="H36" s="773"/>
      <c r="I36" s="773"/>
    </row>
    <row r="37" spans="1:9" s="780" customFormat="1">
      <c r="A37" s="3693"/>
      <c r="B37" s="3689" t="s">
        <v>2924</v>
      </c>
      <c r="C37" s="776" t="s">
        <v>2878</v>
      </c>
      <c r="D37" s="777"/>
      <c r="E37" s="3225">
        <v>0.6</v>
      </c>
      <c r="F37" s="778" t="s">
        <v>2891</v>
      </c>
      <c r="G37" s="779"/>
      <c r="H37" s="773"/>
      <c r="I37" s="773"/>
    </row>
    <row r="38" spans="1:9" s="780" customFormat="1">
      <c r="A38" s="3693"/>
      <c r="B38" s="3690"/>
      <c r="C38" s="776" t="s">
        <v>2879</v>
      </c>
      <c r="D38" s="777"/>
      <c r="E38" s="3225">
        <v>0.6</v>
      </c>
      <c r="F38" s="778" t="s">
        <v>2892</v>
      </c>
      <c r="G38" s="779"/>
      <c r="H38" s="773"/>
      <c r="I38" s="773"/>
    </row>
    <row r="39" spans="1:9" s="780" customFormat="1" ht="14.25" thickBot="1">
      <c r="A39" s="3694"/>
      <c r="B39" s="3696"/>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5" t="s">
        <v>182</v>
      </c>
      <c r="B41" s="3695" t="s">
        <v>2920</v>
      </c>
      <c r="C41" s="3222" t="s">
        <v>2896</v>
      </c>
      <c r="D41" s="3223"/>
      <c r="E41" s="3224">
        <v>1</v>
      </c>
      <c r="F41" s="778" t="s">
        <v>2908</v>
      </c>
      <c r="G41" s="779"/>
      <c r="H41" s="773"/>
      <c r="I41" s="773"/>
    </row>
    <row r="42" spans="1:9" s="780" customFormat="1">
      <c r="A42" s="3686"/>
      <c r="B42" s="3690"/>
      <c r="C42" s="776" t="s">
        <v>2897</v>
      </c>
      <c r="D42" s="777"/>
      <c r="E42" s="3225">
        <v>1</v>
      </c>
      <c r="F42" s="778" t="s">
        <v>2909</v>
      </c>
      <c r="G42" s="779"/>
      <c r="H42" s="773"/>
      <c r="I42" s="773"/>
    </row>
    <row r="43" spans="1:9" s="780" customFormat="1">
      <c r="A43" s="3686"/>
      <c r="B43" s="3691"/>
      <c r="C43" s="776" t="s">
        <v>2898</v>
      </c>
      <c r="D43" s="777"/>
      <c r="E43" s="3225">
        <v>1.5</v>
      </c>
      <c r="F43" s="778" t="s">
        <v>2910</v>
      </c>
      <c r="G43" s="779"/>
      <c r="H43" s="773"/>
      <c r="I43" s="773"/>
    </row>
    <row r="44" spans="1:9" s="780" customFormat="1">
      <c r="A44" s="3686"/>
      <c r="B44" s="3176" t="s">
        <v>2921</v>
      </c>
      <c r="C44" s="776" t="s">
        <v>2919</v>
      </c>
      <c r="D44" s="777"/>
      <c r="E44" s="3225">
        <v>2</v>
      </c>
      <c r="F44" s="778" t="s">
        <v>2911</v>
      </c>
      <c r="G44" s="779"/>
      <c r="H44" s="773"/>
      <c r="I44" s="773"/>
    </row>
    <row r="45" spans="1:9" s="780" customFormat="1">
      <c r="A45" s="3686"/>
      <c r="B45" s="3689" t="s">
        <v>2922</v>
      </c>
      <c r="C45" s="776" t="s">
        <v>2899</v>
      </c>
      <c r="D45" s="777"/>
      <c r="E45" s="3225">
        <v>1</v>
      </c>
      <c r="F45" s="778" t="s">
        <v>2912</v>
      </c>
      <c r="G45" s="779"/>
      <c r="H45" s="773"/>
      <c r="I45" s="773"/>
    </row>
    <row r="46" spans="1:9" s="780" customFormat="1">
      <c r="A46" s="3686"/>
      <c r="B46" s="3690"/>
      <c r="C46" s="776" t="s">
        <v>2900</v>
      </c>
      <c r="D46" s="777"/>
      <c r="E46" s="3225">
        <v>1</v>
      </c>
      <c r="F46" s="778" t="s">
        <v>2913</v>
      </c>
      <c r="G46" s="779"/>
      <c r="H46" s="773"/>
      <c r="I46" s="773"/>
    </row>
    <row r="47" spans="1:9" s="780" customFormat="1">
      <c r="A47" s="3686"/>
      <c r="B47" s="3690"/>
      <c r="C47" s="776" t="s">
        <v>2901</v>
      </c>
      <c r="D47" s="777"/>
      <c r="E47" s="3225">
        <v>1</v>
      </c>
      <c r="F47" s="778" t="s">
        <v>2914</v>
      </c>
      <c r="G47" s="779"/>
      <c r="H47" s="773"/>
      <c r="I47" s="773"/>
    </row>
    <row r="48" spans="1:9" s="780" customFormat="1">
      <c r="A48" s="3686"/>
      <c r="B48" s="3690"/>
      <c r="C48" s="776" t="s">
        <v>2902</v>
      </c>
      <c r="D48" s="777"/>
      <c r="E48" s="3225">
        <v>1</v>
      </c>
      <c r="F48" s="778" t="s">
        <v>2915</v>
      </c>
      <c r="G48" s="779"/>
      <c r="H48" s="773"/>
      <c r="I48" s="773"/>
    </row>
    <row r="49" spans="1:9" s="780" customFormat="1">
      <c r="A49" s="3686"/>
      <c r="B49" s="3690"/>
      <c r="C49" s="776" t="s">
        <v>2903</v>
      </c>
      <c r="D49" s="777"/>
      <c r="E49" s="3225">
        <v>1</v>
      </c>
      <c r="F49" s="778" t="s">
        <v>2916</v>
      </c>
      <c r="G49" s="779"/>
      <c r="H49" s="773"/>
      <c r="I49" s="773"/>
    </row>
    <row r="50" spans="1:9" s="780" customFormat="1">
      <c r="A50" s="3686"/>
      <c r="B50" s="3690"/>
      <c r="C50" s="776" t="s">
        <v>2904</v>
      </c>
      <c r="D50" s="777"/>
      <c r="E50" s="3225">
        <v>1</v>
      </c>
      <c r="F50" s="778" t="s">
        <v>2917</v>
      </c>
      <c r="G50" s="779"/>
      <c r="H50" s="773"/>
      <c r="I50" s="773"/>
    </row>
    <row r="51" spans="1:9" s="780" customFormat="1" ht="14.25" thickBot="1">
      <c r="A51" s="3687"/>
      <c r="B51" s="3696"/>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9" t="s">
        <v>483</v>
      </c>
      <c r="C73" s="749" t="s">
        <v>484</v>
      </c>
      <c r="D73" s="749" t="s">
        <v>485</v>
      </c>
      <c r="E73" s="786">
        <v>0.2</v>
      </c>
      <c r="F73" s="2910">
        <v>25</v>
      </c>
      <c r="L73" s="747"/>
      <c r="M73" s="747"/>
      <c r="N73" s="747"/>
      <c r="O73" s="747"/>
    </row>
    <row r="74" spans="1:15" s="773" customFormat="1" ht="24">
      <c r="A74" s="2910">
        <v>2</v>
      </c>
      <c r="B74" s="3690"/>
      <c r="C74" s="749" t="s">
        <v>2749</v>
      </c>
      <c r="D74" s="749" t="s">
        <v>2750</v>
      </c>
      <c r="E74" s="786">
        <v>0.2</v>
      </c>
      <c r="F74" s="2910">
        <v>25</v>
      </c>
      <c r="L74" s="747"/>
      <c r="M74" s="747"/>
      <c r="N74" s="747"/>
      <c r="O74" s="747"/>
    </row>
    <row r="75" spans="1:15" s="773" customFormat="1" ht="24">
      <c r="A75" s="2910">
        <v>3</v>
      </c>
      <c r="B75" s="3690"/>
      <c r="C75" s="749" t="s">
        <v>2751</v>
      </c>
      <c r="D75" s="749" t="s">
        <v>2752</v>
      </c>
      <c r="E75" s="786">
        <v>0.2</v>
      </c>
      <c r="F75" s="2910">
        <v>25</v>
      </c>
      <c r="L75" s="747"/>
      <c r="M75" s="747"/>
      <c r="N75" s="747"/>
      <c r="O75" s="747"/>
    </row>
    <row r="76" spans="1:15" s="773" customFormat="1">
      <c r="A76" s="2910">
        <v>4</v>
      </c>
      <c r="B76" s="3690"/>
      <c r="C76" s="749" t="s">
        <v>2753</v>
      </c>
      <c r="D76" s="749" t="s">
        <v>2754</v>
      </c>
      <c r="E76" s="786">
        <v>0.15</v>
      </c>
      <c r="F76" s="2910">
        <v>20</v>
      </c>
      <c r="L76" s="747"/>
      <c r="M76" s="747"/>
      <c r="N76" s="747"/>
      <c r="O76" s="747"/>
    </row>
    <row r="77" spans="1:15" s="773" customFormat="1" ht="24">
      <c r="A77" s="2910">
        <v>5</v>
      </c>
      <c r="B77" s="3690"/>
      <c r="C77" s="749" t="s">
        <v>2755</v>
      </c>
      <c r="D77" s="749" t="s">
        <v>2756</v>
      </c>
      <c r="E77" s="786">
        <v>0.15</v>
      </c>
      <c r="F77" s="2910">
        <v>20</v>
      </c>
      <c r="L77" s="747"/>
      <c r="M77" s="747"/>
      <c r="N77" s="747"/>
      <c r="O77" s="747"/>
    </row>
    <row r="78" spans="1:15" s="773" customFormat="1" ht="24">
      <c r="A78" s="2910">
        <v>6</v>
      </c>
      <c r="B78" s="3690"/>
      <c r="C78" s="749" t="s">
        <v>2757</v>
      </c>
      <c r="D78" s="749" t="s">
        <v>2758</v>
      </c>
      <c r="E78" s="786">
        <v>0.15</v>
      </c>
      <c r="F78" s="2910">
        <v>20</v>
      </c>
      <c r="L78" s="747"/>
      <c r="M78" s="747"/>
      <c r="N78" s="747"/>
      <c r="O78" s="747"/>
    </row>
    <row r="79" spans="1:15" s="773" customFormat="1" ht="24">
      <c r="A79" s="2910">
        <v>7</v>
      </c>
      <c r="B79" s="3690"/>
      <c r="C79" s="749" t="s">
        <v>2759</v>
      </c>
      <c r="D79" s="749" t="s">
        <v>2760</v>
      </c>
      <c r="E79" s="786">
        <v>0.15</v>
      </c>
      <c r="F79" s="2910">
        <v>20</v>
      </c>
      <c r="L79" s="747"/>
      <c r="M79" s="747"/>
      <c r="N79" s="747"/>
      <c r="O79" s="747"/>
    </row>
    <row r="80" spans="1:15" s="773" customFormat="1" ht="24">
      <c r="A80" s="2910">
        <v>8</v>
      </c>
      <c r="B80" s="3690"/>
      <c r="C80" s="749" t="s">
        <v>2761</v>
      </c>
      <c r="D80" s="749" t="s">
        <v>2762</v>
      </c>
      <c r="E80" s="786">
        <v>0.1</v>
      </c>
      <c r="F80" s="2910">
        <v>15</v>
      </c>
      <c r="L80" s="747"/>
      <c r="M80" s="747"/>
      <c r="N80" s="747"/>
      <c r="O80" s="747"/>
    </row>
    <row r="81" spans="1:15" s="773" customFormat="1" ht="24">
      <c r="A81" s="2910">
        <v>9</v>
      </c>
      <c r="B81" s="3690"/>
      <c r="C81" s="749" t="s">
        <v>2763</v>
      </c>
      <c r="D81" s="749" t="s">
        <v>2764</v>
      </c>
      <c r="E81" s="786">
        <v>0.1</v>
      </c>
      <c r="F81" s="2910">
        <v>15</v>
      </c>
      <c r="L81" s="747"/>
      <c r="M81" s="747"/>
      <c r="N81" s="747"/>
      <c r="O81" s="747"/>
    </row>
    <row r="82" spans="1:15" s="773" customFormat="1" ht="24">
      <c r="A82" s="2910">
        <v>10</v>
      </c>
      <c r="B82" s="3690"/>
      <c r="C82" s="749" t="s">
        <v>2765</v>
      </c>
      <c r="D82" s="749" t="s">
        <v>2766</v>
      </c>
      <c r="E82" s="786">
        <v>0.1</v>
      </c>
      <c r="F82" s="2910">
        <v>15</v>
      </c>
      <c r="L82" s="747"/>
      <c r="M82" s="747"/>
      <c r="N82" s="747"/>
      <c r="O82" s="747"/>
    </row>
    <row r="83" spans="1:15" s="773" customFormat="1" ht="24">
      <c r="A83" s="2910">
        <v>11</v>
      </c>
      <c r="B83" s="3690"/>
      <c r="C83" s="749" t="s">
        <v>2767</v>
      </c>
      <c r="D83" s="749" t="s">
        <v>2768</v>
      </c>
      <c r="E83" s="786">
        <v>0.1</v>
      </c>
      <c r="F83" s="2910">
        <v>15</v>
      </c>
      <c r="L83" s="747"/>
      <c r="M83" s="747"/>
      <c r="N83" s="747"/>
      <c r="O83" s="747"/>
    </row>
    <row r="84" spans="1:15" s="773" customFormat="1" ht="24">
      <c r="A84" s="2910">
        <v>12</v>
      </c>
      <c r="B84" s="3690"/>
      <c r="C84" s="749" t="s">
        <v>2769</v>
      </c>
      <c r="D84" s="749" t="s">
        <v>2770</v>
      </c>
      <c r="E84" s="786">
        <v>0.1</v>
      </c>
      <c r="F84" s="2910">
        <v>15</v>
      </c>
      <c r="L84" s="747"/>
      <c r="M84" s="747"/>
      <c r="N84" s="747"/>
      <c r="O84" s="747"/>
    </row>
    <row r="85" spans="1:15" s="773" customFormat="1">
      <c r="A85" s="2910">
        <v>13</v>
      </c>
      <c r="B85" s="3690"/>
      <c r="C85" s="749" t="s">
        <v>2771</v>
      </c>
      <c r="D85" s="749" t="s">
        <v>2772</v>
      </c>
      <c r="E85" s="786">
        <v>0.1</v>
      </c>
      <c r="F85" s="2910">
        <v>15</v>
      </c>
      <c r="L85" s="747"/>
      <c r="M85" s="747"/>
      <c r="N85" s="747"/>
      <c r="O85" s="747"/>
    </row>
    <row r="86" spans="1:15" s="773" customFormat="1">
      <c r="A86" s="2910">
        <v>14</v>
      </c>
      <c r="B86" s="3690"/>
      <c r="C86" s="749" t="s">
        <v>2773</v>
      </c>
      <c r="D86" s="749" t="s">
        <v>2774</v>
      </c>
      <c r="E86" s="786">
        <v>0.1</v>
      </c>
      <c r="F86" s="2910">
        <v>15</v>
      </c>
      <c r="L86" s="747"/>
      <c r="M86" s="747"/>
      <c r="N86" s="747"/>
      <c r="O86" s="747"/>
    </row>
    <row r="87" spans="1:15" s="773" customFormat="1">
      <c r="A87" s="2910">
        <v>15</v>
      </c>
      <c r="B87" s="3690"/>
      <c r="C87" s="749" t="s">
        <v>2775</v>
      </c>
      <c r="D87" s="749" t="s">
        <v>2776</v>
      </c>
      <c r="E87" s="786">
        <v>0.1</v>
      </c>
      <c r="F87" s="2910">
        <v>15</v>
      </c>
      <c r="L87" s="747"/>
      <c r="M87" s="747"/>
      <c r="N87" s="747"/>
      <c r="O87" s="747"/>
    </row>
    <row r="88" spans="1:15" s="773" customFormat="1" ht="24">
      <c r="A88" s="2910">
        <v>16</v>
      </c>
      <c r="B88" s="3690"/>
      <c r="C88" s="749" t="s">
        <v>2777</v>
      </c>
      <c r="D88" s="749" t="s">
        <v>2778</v>
      </c>
      <c r="E88" s="786">
        <v>0.1</v>
      </c>
      <c r="F88" s="2910">
        <v>15</v>
      </c>
      <c r="L88" s="747"/>
      <c r="M88" s="747"/>
      <c r="N88" s="747"/>
      <c r="O88" s="747"/>
    </row>
    <row r="89" spans="1:15" s="773" customFormat="1" ht="24">
      <c r="A89" s="2910">
        <v>17</v>
      </c>
      <c r="B89" s="3691"/>
      <c r="C89" s="749" t="s">
        <v>2779</v>
      </c>
      <c r="D89" s="749" t="s">
        <v>2780</v>
      </c>
      <c r="E89" s="786">
        <v>0.1</v>
      </c>
      <c r="F89" s="2910">
        <v>15</v>
      </c>
      <c r="L89" s="747"/>
      <c r="M89" s="747"/>
      <c r="N89" s="747"/>
      <c r="O89" s="747"/>
    </row>
    <row r="90" spans="1:15" s="773" customFormat="1">
      <c r="A90" s="2910">
        <v>18</v>
      </c>
      <c r="B90" s="3689" t="s">
        <v>486</v>
      </c>
      <c r="C90" s="749" t="s">
        <v>487</v>
      </c>
      <c r="D90" s="749" t="s">
        <v>488</v>
      </c>
      <c r="E90" s="786">
        <v>0.2</v>
      </c>
      <c r="F90" s="2910">
        <v>25</v>
      </c>
      <c r="L90" s="747"/>
      <c r="M90" s="747"/>
    </row>
    <row r="91" spans="1:15" s="773" customFormat="1" ht="24">
      <c r="A91" s="2910">
        <v>19</v>
      </c>
      <c r="B91" s="3690"/>
      <c r="C91" s="749" t="s">
        <v>2781</v>
      </c>
      <c r="D91" s="749" t="s">
        <v>491</v>
      </c>
      <c r="E91" s="786">
        <v>0.2</v>
      </c>
      <c r="F91" s="2910">
        <v>25</v>
      </c>
      <c r="L91" s="747"/>
      <c r="M91" s="747"/>
    </row>
    <row r="92" spans="1:15" s="773" customFormat="1">
      <c r="A92" s="2910">
        <v>20</v>
      </c>
      <c r="B92" s="3690"/>
      <c r="C92" s="749" t="s">
        <v>489</v>
      </c>
      <c r="D92" s="749" t="s">
        <v>490</v>
      </c>
      <c r="E92" s="786">
        <v>0.15</v>
      </c>
      <c r="F92" s="2910">
        <v>20</v>
      </c>
      <c r="L92" s="747"/>
      <c r="M92" s="747"/>
    </row>
    <row r="93" spans="1:15" s="773" customFormat="1">
      <c r="A93" s="2910">
        <v>21</v>
      </c>
      <c r="B93" s="3690"/>
      <c r="C93" s="749" t="s">
        <v>2782</v>
      </c>
      <c r="D93" s="749" t="s">
        <v>492</v>
      </c>
      <c r="E93" s="786">
        <v>0.15</v>
      </c>
      <c r="F93" s="2910">
        <v>20</v>
      </c>
      <c r="L93" s="747"/>
      <c r="M93" s="747"/>
    </row>
    <row r="94" spans="1:15" s="773" customFormat="1">
      <c r="A94" s="2910">
        <v>22</v>
      </c>
      <c r="B94" s="3690"/>
      <c r="C94" s="749" t="s">
        <v>2784</v>
      </c>
      <c r="D94" s="749" t="s">
        <v>2785</v>
      </c>
      <c r="E94" s="786">
        <v>0.15</v>
      </c>
      <c r="F94" s="2910">
        <v>20</v>
      </c>
      <c r="L94" s="747"/>
      <c r="M94" s="747"/>
    </row>
    <row r="95" spans="1:15" s="773" customFormat="1" ht="36">
      <c r="A95" s="2910">
        <v>23</v>
      </c>
      <c r="B95" s="3690"/>
      <c r="C95" s="749" t="s">
        <v>2786</v>
      </c>
      <c r="D95" s="749" t="s">
        <v>2787</v>
      </c>
      <c r="E95" s="786">
        <v>0.15</v>
      </c>
      <c r="F95" s="2910">
        <v>20</v>
      </c>
      <c r="L95" s="747"/>
      <c r="M95" s="747"/>
    </row>
    <row r="96" spans="1:15" s="773" customFormat="1">
      <c r="A96" s="2910">
        <v>24</v>
      </c>
      <c r="B96" s="3690"/>
      <c r="C96" s="749" t="s">
        <v>2788</v>
      </c>
      <c r="D96" s="749" t="s">
        <v>2789</v>
      </c>
      <c r="E96" s="786">
        <v>0.1</v>
      </c>
      <c r="F96" s="2910">
        <v>15</v>
      </c>
      <c r="L96" s="747"/>
      <c r="M96" s="747"/>
    </row>
    <row r="97" spans="1:13" s="773" customFormat="1">
      <c r="A97" s="2910">
        <v>25</v>
      </c>
      <c r="B97" s="3690"/>
      <c r="C97" s="749" t="s">
        <v>2783</v>
      </c>
      <c r="D97" s="749" t="s">
        <v>2790</v>
      </c>
      <c r="E97" s="786">
        <v>0.1</v>
      </c>
      <c r="F97" s="2910">
        <v>15</v>
      </c>
      <c r="L97" s="747"/>
      <c r="M97" s="747"/>
    </row>
    <row r="98" spans="1:13" s="773" customFormat="1" ht="24">
      <c r="A98" s="2910">
        <v>26</v>
      </c>
      <c r="B98" s="3690"/>
      <c r="C98" s="749" t="s">
        <v>2791</v>
      </c>
      <c r="D98" s="749" t="s">
        <v>2792</v>
      </c>
      <c r="E98" s="786">
        <v>0.1</v>
      </c>
      <c r="F98" s="2910">
        <v>15</v>
      </c>
      <c r="L98" s="747"/>
      <c r="M98" s="747"/>
    </row>
    <row r="99" spans="1:13" s="773" customFormat="1" ht="24">
      <c r="A99" s="2910">
        <v>27</v>
      </c>
      <c r="B99" s="3690"/>
      <c r="C99" s="749" t="s">
        <v>2793</v>
      </c>
      <c r="D99" s="749" t="s">
        <v>2794</v>
      </c>
      <c r="E99" s="786">
        <v>0.1</v>
      </c>
      <c r="F99" s="2910">
        <v>15</v>
      </c>
      <c r="L99" s="747"/>
      <c r="M99" s="747"/>
    </row>
    <row r="100" spans="1:13" s="773" customFormat="1">
      <c r="A100" s="2910">
        <v>28</v>
      </c>
      <c r="B100" s="3690"/>
      <c r="C100" s="749" t="s">
        <v>2795</v>
      </c>
      <c r="D100" s="749" t="s">
        <v>2796</v>
      </c>
      <c r="E100" s="786">
        <v>0.1</v>
      </c>
      <c r="F100" s="2910">
        <v>15</v>
      </c>
      <c r="L100" s="747"/>
      <c r="M100" s="747"/>
    </row>
    <row r="101" spans="1:13" s="773" customFormat="1">
      <c r="A101" s="2910">
        <v>29</v>
      </c>
      <c r="B101" s="3690"/>
      <c r="C101" s="749" t="s">
        <v>2797</v>
      </c>
      <c r="D101" s="749" t="s">
        <v>2798</v>
      </c>
      <c r="E101" s="786">
        <v>0.1</v>
      </c>
      <c r="F101" s="2910">
        <v>15</v>
      </c>
      <c r="L101" s="747"/>
      <c r="M101" s="747"/>
    </row>
    <row r="102" spans="1:13" s="773" customFormat="1">
      <c r="A102" s="2910">
        <v>30</v>
      </c>
      <c r="B102" s="3690"/>
      <c r="C102" s="749" t="s">
        <v>2799</v>
      </c>
      <c r="D102" s="749" t="s">
        <v>2800</v>
      </c>
      <c r="E102" s="786">
        <v>0.1</v>
      </c>
      <c r="F102" s="2910">
        <v>15</v>
      </c>
      <c r="L102" s="747"/>
      <c r="M102" s="747"/>
    </row>
    <row r="103" spans="1:13" s="773" customFormat="1" ht="24">
      <c r="A103" s="2910">
        <v>31</v>
      </c>
      <c r="B103" s="3690"/>
      <c r="C103" s="749" t="s">
        <v>2801</v>
      </c>
      <c r="D103" s="749" t="s">
        <v>2802</v>
      </c>
      <c r="E103" s="786">
        <v>0.1</v>
      </c>
      <c r="F103" s="2910">
        <v>15</v>
      </c>
      <c r="L103" s="747"/>
      <c r="M103" s="747"/>
    </row>
    <row r="104" spans="1:13" s="773" customFormat="1" ht="24">
      <c r="A104" s="2910">
        <v>32</v>
      </c>
      <c r="B104" s="3690"/>
      <c r="C104" s="749" t="s">
        <v>2803</v>
      </c>
      <c r="D104" s="749" t="s">
        <v>2804</v>
      </c>
      <c r="E104" s="786">
        <v>0.1</v>
      </c>
      <c r="F104" s="2910">
        <v>15</v>
      </c>
      <c r="L104" s="747"/>
      <c r="M104" s="747"/>
    </row>
    <row r="105" spans="1:13" s="773" customFormat="1" ht="24">
      <c r="A105" s="2910">
        <v>33</v>
      </c>
      <c r="B105" s="3690"/>
      <c r="C105" s="749" t="s">
        <v>2805</v>
      </c>
      <c r="D105" s="749" t="s">
        <v>2806</v>
      </c>
      <c r="E105" s="786">
        <v>0.1</v>
      </c>
      <c r="F105" s="2910">
        <v>15</v>
      </c>
      <c r="L105" s="747"/>
      <c r="M105" s="747"/>
    </row>
    <row r="106" spans="1:13" s="773" customFormat="1" ht="24">
      <c r="A106" s="2910">
        <v>34</v>
      </c>
      <c r="B106" s="3691"/>
      <c r="C106" s="749" t="s">
        <v>2807</v>
      </c>
      <c r="D106" s="749" t="s">
        <v>2808</v>
      </c>
      <c r="E106" s="786">
        <v>0.1</v>
      </c>
      <c r="F106" s="2910">
        <v>15</v>
      </c>
      <c r="L106" s="747"/>
      <c r="M106" s="747"/>
    </row>
    <row r="107" spans="1:13" s="773" customFormat="1" ht="24">
      <c r="A107" s="2910">
        <v>35</v>
      </c>
      <c r="B107" s="3689" t="s">
        <v>493</v>
      </c>
      <c r="C107" s="2910" t="s">
        <v>494</v>
      </c>
      <c r="D107" s="749" t="s">
        <v>2809</v>
      </c>
      <c r="E107" s="786">
        <v>0.15</v>
      </c>
      <c r="F107" s="2910">
        <v>20</v>
      </c>
      <c r="L107" s="747"/>
      <c r="M107" s="747"/>
    </row>
    <row r="108" spans="1:13" s="773" customFormat="1">
      <c r="A108" s="2910">
        <v>36</v>
      </c>
      <c r="B108" s="3690"/>
      <c r="C108" s="2910" t="s">
        <v>2811</v>
      </c>
      <c r="D108" s="749" t="s">
        <v>2812</v>
      </c>
      <c r="E108" s="786">
        <v>0.15</v>
      </c>
      <c r="F108" s="2910">
        <v>20</v>
      </c>
      <c r="L108" s="747"/>
      <c r="M108" s="747"/>
    </row>
    <row r="109" spans="1:13" s="773" customFormat="1">
      <c r="A109" s="2910">
        <v>37</v>
      </c>
      <c r="B109" s="3690"/>
      <c r="C109" s="2910" t="s">
        <v>2810</v>
      </c>
      <c r="D109" s="749" t="s">
        <v>2817</v>
      </c>
      <c r="E109" s="786">
        <v>0.15</v>
      </c>
      <c r="F109" s="2910">
        <v>20</v>
      </c>
      <c r="L109" s="747"/>
      <c r="M109" s="747"/>
    </row>
    <row r="110" spans="1:13" s="773" customFormat="1">
      <c r="A110" s="2910">
        <v>38</v>
      </c>
      <c r="B110" s="3690"/>
      <c r="C110" s="2910" t="s">
        <v>2813</v>
      </c>
      <c r="D110" s="749" t="s">
        <v>2818</v>
      </c>
      <c r="E110" s="786">
        <v>0.1</v>
      </c>
      <c r="F110" s="2910">
        <v>15</v>
      </c>
      <c r="L110" s="747"/>
      <c r="M110" s="747"/>
    </row>
    <row r="111" spans="1:13" s="773" customFormat="1" ht="24">
      <c r="A111" s="2910">
        <v>39</v>
      </c>
      <c r="B111" s="3690"/>
      <c r="C111" s="2910" t="s">
        <v>2814</v>
      </c>
      <c r="D111" s="749" t="s">
        <v>2815</v>
      </c>
      <c r="E111" s="786">
        <v>0.1</v>
      </c>
      <c r="F111" s="2910">
        <v>15</v>
      </c>
      <c r="L111" s="747"/>
      <c r="M111" s="747"/>
    </row>
    <row r="112" spans="1:13" s="773" customFormat="1" ht="24">
      <c r="A112" s="2910">
        <v>40</v>
      </c>
      <c r="B112" s="3691"/>
      <c r="C112" s="2910" t="s">
        <v>2816</v>
      </c>
      <c r="D112" s="749" t="s">
        <v>2819</v>
      </c>
      <c r="E112" s="786">
        <v>0.1</v>
      </c>
      <c r="F112" s="2910">
        <v>15</v>
      </c>
      <c r="L112" s="747"/>
      <c r="M112" s="747"/>
    </row>
    <row r="113" spans="1:6" s="773" customFormat="1">
      <c r="A113" s="2910">
        <v>41</v>
      </c>
      <c r="B113" s="3688" t="s">
        <v>495</v>
      </c>
      <c r="C113" s="2910" t="s">
        <v>496</v>
      </c>
      <c r="D113" s="749" t="s">
        <v>497</v>
      </c>
      <c r="E113" s="786">
        <v>0.1</v>
      </c>
      <c r="F113" s="2910">
        <v>15</v>
      </c>
    </row>
    <row r="114" spans="1:6" s="773" customFormat="1">
      <c r="A114" s="2910">
        <v>42</v>
      </c>
      <c r="B114" s="3688"/>
      <c r="C114" s="2910" t="s">
        <v>498</v>
      </c>
      <c r="D114" s="749" t="s">
        <v>499</v>
      </c>
      <c r="E114" s="786">
        <v>0.1</v>
      </c>
      <c r="F114" s="2910">
        <v>15</v>
      </c>
    </row>
    <row r="115" spans="1:6" s="773" customFormat="1" ht="24">
      <c r="A115" s="2910">
        <v>43</v>
      </c>
      <c r="B115" s="3688"/>
      <c r="C115" s="2910" t="s">
        <v>2820</v>
      </c>
      <c r="D115" s="749" t="s">
        <v>2821</v>
      </c>
      <c r="E115" s="786">
        <v>0.1</v>
      </c>
      <c r="F115" s="2910">
        <v>15</v>
      </c>
    </row>
    <row r="116" spans="1:6" s="773" customFormat="1">
      <c r="A116" s="2910">
        <v>44</v>
      </c>
      <c r="B116" s="3689" t="s">
        <v>500</v>
      </c>
      <c r="C116" s="2910" t="s">
        <v>2822</v>
      </c>
      <c r="D116" s="749" t="s">
        <v>2823</v>
      </c>
      <c r="E116" s="786">
        <v>0.1</v>
      </c>
      <c r="F116" s="2910">
        <v>15</v>
      </c>
    </row>
    <row r="117" spans="1:6" s="773" customFormat="1" ht="24">
      <c r="A117" s="2910">
        <v>45</v>
      </c>
      <c r="B117" s="3691"/>
      <c r="C117" s="749" t="s">
        <v>2824</v>
      </c>
      <c r="D117" s="749" t="s">
        <v>2825</v>
      </c>
      <c r="E117" s="786">
        <v>0.1</v>
      </c>
      <c r="F117" s="2910">
        <v>15</v>
      </c>
    </row>
    <row r="118" spans="1:6" s="773" customFormat="1" ht="24">
      <c r="A118" s="2910">
        <v>46</v>
      </c>
      <c r="B118" s="3689" t="s">
        <v>501</v>
      </c>
      <c r="C118" s="2910" t="s">
        <v>2828</v>
      </c>
      <c r="D118" s="749" t="s">
        <v>2826</v>
      </c>
      <c r="E118" s="786">
        <v>0.1</v>
      </c>
      <c r="F118" s="2910">
        <v>15</v>
      </c>
    </row>
    <row r="119" spans="1:6" s="773" customFormat="1" ht="24">
      <c r="A119" s="2910">
        <v>47</v>
      </c>
      <c r="B119" s="3691"/>
      <c r="C119" s="2910" t="s">
        <v>2827</v>
      </c>
      <c r="D119" s="749" t="s">
        <v>2829</v>
      </c>
      <c r="E119" s="786">
        <v>0.1</v>
      </c>
      <c r="F119" s="2910">
        <v>15</v>
      </c>
    </row>
    <row r="120" spans="1:6" s="773" customFormat="1">
      <c r="A120" s="2910">
        <v>48</v>
      </c>
      <c r="B120" s="3689" t="s">
        <v>502</v>
      </c>
      <c r="C120" s="2910" t="s">
        <v>503</v>
      </c>
      <c r="D120" s="749" t="s">
        <v>504</v>
      </c>
      <c r="E120" s="786">
        <v>0.1</v>
      </c>
      <c r="F120" s="2910">
        <v>15</v>
      </c>
    </row>
    <row r="121" spans="1:6" s="773" customFormat="1">
      <c r="A121" s="2910">
        <v>49</v>
      </c>
      <c r="B121" s="3691"/>
      <c r="C121" s="2910" t="s">
        <v>2830</v>
      </c>
      <c r="D121" s="749" t="s">
        <v>2831</v>
      </c>
      <c r="E121" s="786">
        <v>0.1</v>
      </c>
      <c r="F121" s="2910">
        <v>15</v>
      </c>
    </row>
    <row r="122" spans="1:6" s="773" customFormat="1" ht="24">
      <c r="A122" s="2910">
        <v>50</v>
      </c>
      <c r="B122" s="3688" t="s">
        <v>505</v>
      </c>
      <c r="C122" s="2910" t="s">
        <v>506</v>
      </c>
      <c r="D122" s="749" t="s">
        <v>507</v>
      </c>
      <c r="E122" s="786">
        <v>0.1</v>
      </c>
      <c r="F122" s="2910">
        <v>15</v>
      </c>
    </row>
    <row r="123" spans="1:6" s="773" customFormat="1" ht="24">
      <c r="A123" s="2910">
        <v>51</v>
      </c>
      <c r="B123" s="3688"/>
      <c r="C123" s="2910" t="s">
        <v>508</v>
      </c>
      <c r="D123" s="749" t="s">
        <v>509</v>
      </c>
      <c r="E123" s="786">
        <v>0.1</v>
      </c>
      <c r="F123" s="2910">
        <v>15</v>
      </c>
    </row>
    <row r="124" spans="1:6" s="773" customFormat="1" ht="24">
      <c r="A124" s="2910">
        <v>52</v>
      </c>
      <c r="B124" s="3688" t="s">
        <v>510</v>
      </c>
      <c r="C124" s="2910" t="s">
        <v>511</v>
      </c>
      <c r="D124" s="749" t="s">
        <v>2832</v>
      </c>
      <c r="E124" s="786">
        <v>0.1</v>
      </c>
      <c r="F124" s="2910">
        <v>15</v>
      </c>
    </row>
    <row r="125" spans="1:6" s="773" customFormat="1" ht="24">
      <c r="A125" s="2910">
        <v>53</v>
      </c>
      <c r="B125" s="3688"/>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8" t="s">
        <v>518</v>
      </c>
      <c r="C127" s="2910" t="s">
        <v>521</v>
      </c>
      <c r="D127" s="749" t="s">
        <v>522</v>
      </c>
      <c r="E127" s="786">
        <v>0.1</v>
      </c>
      <c r="F127" s="2910">
        <v>15</v>
      </c>
    </row>
    <row r="128" spans="1:6" s="773" customFormat="1">
      <c r="A128" s="2910">
        <v>56</v>
      </c>
      <c r="B128" s="3688"/>
      <c r="C128" s="2910" t="s">
        <v>523</v>
      </c>
      <c r="D128" s="749" t="s">
        <v>524</v>
      </c>
      <c r="E128" s="786">
        <v>0.1</v>
      </c>
      <c r="F128" s="2910">
        <v>15</v>
      </c>
    </row>
    <row r="129" spans="1:6" s="773" customFormat="1" ht="24">
      <c r="A129" s="2910">
        <v>57</v>
      </c>
      <c r="B129" s="3688"/>
      <c r="C129" s="2910" t="s">
        <v>519</v>
      </c>
      <c r="D129" s="749" t="s">
        <v>520</v>
      </c>
      <c r="E129" s="786">
        <v>0.1</v>
      </c>
      <c r="F129" s="2910">
        <v>15</v>
      </c>
    </row>
    <row r="130" spans="1:6" s="773" customFormat="1" ht="24">
      <c r="A130" s="2910">
        <v>58</v>
      </c>
      <c r="B130" s="3688" t="s">
        <v>517</v>
      </c>
      <c r="C130" s="2910" t="s">
        <v>2833</v>
      </c>
      <c r="D130" s="749" t="s">
        <v>2834</v>
      </c>
      <c r="E130" s="786">
        <v>0.1</v>
      </c>
      <c r="F130" s="2910">
        <v>15</v>
      </c>
    </row>
    <row r="131" spans="1:6">
      <c r="A131" s="2910">
        <v>59</v>
      </c>
      <c r="B131" s="3688"/>
      <c r="C131" s="2910" t="s">
        <v>2835</v>
      </c>
      <c r="D131" s="749" t="s">
        <v>2836</v>
      </c>
      <c r="E131" s="786">
        <v>0.1</v>
      </c>
      <c r="F131" s="2910">
        <v>15</v>
      </c>
    </row>
    <row r="132" spans="1:6">
      <c r="A132" s="2910">
        <v>60</v>
      </c>
      <c r="B132" s="3689" t="s">
        <v>528</v>
      </c>
      <c r="C132" s="2910" t="s">
        <v>529</v>
      </c>
      <c r="D132" s="749" t="s">
        <v>2839</v>
      </c>
      <c r="E132" s="786">
        <v>0.1</v>
      </c>
      <c r="F132" s="2910">
        <v>15</v>
      </c>
    </row>
    <row r="133" spans="1:6">
      <c r="A133" s="2910">
        <v>61</v>
      </c>
      <c r="B133" s="3691"/>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8" t="s">
        <v>530</v>
      </c>
      <c r="C135" s="2910" t="s">
        <v>531</v>
      </c>
      <c r="D135" s="749" t="s">
        <v>2841</v>
      </c>
      <c r="E135" s="786">
        <v>0.1</v>
      </c>
      <c r="F135" s="2910">
        <v>15</v>
      </c>
    </row>
    <row r="136" spans="1:6">
      <c r="A136" s="2910">
        <v>64</v>
      </c>
      <c r="B136" s="3688"/>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80" zoomScaleNormal="80" workbookViewId="0">
      <selection activeCell="A279" sqref="A279"/>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1.0397000000000001</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0.98899999999999999</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3189</v>
      </c>
      <c r="C2" s="2014" t="s">
        <v>2358</v>
      </c>
      <c r="D2" s="2014" t="s">
        <v>2359</v>
      </c>
      <c r="E2" s="2438">
        <f ca="1">SUMIF(E6:E13,"&lt;&gt;#ref!",E6:E13)</f>
        <v>20146.400000000001</v>
      </c>
      <c r="F2" s="2618"/>
      <c r="G2" s="2618"/>
      <c r="H2" s="2618"/>
      <c r="I2" s="2618"/>
      <c r="J2" s="2618"/>
      <c r="K2" s="2618"/>
      <c r="L2" s="2618"/>
      <c r="M2" s="2618"/>
      <c r="N2" s="2618"/>
      <c r="O2" s="2618"/>
      <c r="P2" s="2618"/>
    </row>
    <row r="3" spans="1:16" ht="15.75">
      <c r="A3" s="2014" t="s">
        <v>2360</v>
      </c>
      <c r="B3" s="2428">
        <f ca="1">ROUND(B2*10000/E2,0)</f>
        <v>1583</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3189</v>
      </c>
      <c r="C6" s="2014" t="s">
        <v>2358</v>
      </c>
      <c r="D6" s="2618"/>
      <c r="E6" s="2438">
        <f ca="1">SUMIF(INDIRECT("'"&amp;A6&amp;"'"&amp;"!C:C"),"建筑面积",INDIRECT("'"&amp;A6&amp;"'"&amp;"!D:D"))</f>
        <v>20146.400000000001</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2" t="s">
        <v>695</v>
      </c>
      <c r="C1" s="3702"/>
      <c r="D1" s="3702"/>
      <c r="E1" s="3702"/>
      <c r="F1" s="3702"/>
      <c r="G1" s="3702"/>
      <c r="H1" s="3701" t="s">
        <v>696</v>
      </c>
      <c r="I1" s="3701"/>
      <c r="J1" s="3701"/>
      <c r="K1" s="3701"/>
      <c r="L1" s="3701"/>
      <c r="M1" s="3701"/>
      <c r="N1" s="3301"/>
      <c r="O1" s="3701" t="s">
        <v>697</v>
      </c>
      <c r="P1" s="3701"/>
      <c r="Q1" s="3701"/>
      <c r="R1" s="3701"/>
      <c r="S1" s="3301"/>
      <c r="T1" s="3701" t="s">
        <v>698</v>
      </c>
      <c r="U1" s="3701"/>
      <c r="V1" s="3701"/>
      <c r="W1" s="3701"/>
      <c r="X1" s="3301"/>
      <c r="Y1" s="3700" t="s">
        <v>699</v>
      </c>
      <c r="Z1" s="3701"/>
      <c r="AA1" s="3701"/>
      <c r="AB1" s="3701"/>
      <c r="AC1" s="3701"/>
      <c r="AD1" s="3701"/>
      <c r="AE1" s="3301"/>
      <c r="AF1" s="3700" t="s">
        <v>700</v>
      </c>
      <c r="AG1" s="3701"/>
      <c r="AH1" s="3701"/>
      <c r="AI1" s="3701"/>
      <c r="AJ1" s="3701"/>
      <c r="AK1" s="3701"/>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8">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8"/>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8"/>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7"/>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3">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8"/>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8"/>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7"/>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3">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8"/>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8"/>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9"/>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7">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8"/>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8"/>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9"/>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7">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8"/>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8"/>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9"/>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4">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5"/>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5"/>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6"/>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7">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8"/>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8"/>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9"/>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7">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8">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8">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9">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7">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8">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8">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9">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7">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8">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8">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9">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7">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8">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8">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9">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7">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8">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8">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9">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7">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8">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8">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9">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7">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8">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8">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9">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7">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8">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8">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9">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7">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8">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8">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9">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7">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8">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8">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9">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1" t="s">
        <v>2368</v>
      </c>
      <c r="D1" s="3712"/>
      <c r="E1" s="3712"/>
      <c r="F1" s="3712"/>
      <c r="G1" s="3712"/>
      <c r="H1" s="3712"/>
      <c r="I1" s="3712"/>
      <c r="J1" s="3712"/>
      <c r="K1" s="3712"/>
      <c r="L1" s="3712"/>
      <c r="M1" s="3712"/>
      <c r="N1" s="3712"/>
      <c r="O1" s="3712"/>
      <c r="P1" s="3712"/>
      <c r="Q1" s="3712"/>
      <c r="R1" s="3712"/>
      <c r="S1" s="3713"/>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8" t="s">
        <v>33</v>
      </c>
      <c r="D22" s="3709"/>
      <c r="E22" s="3709"/>
      <c r="F22" s="3709"/>
      <c r="G22" s="3709"/>
      <c r="H22" s="3709"/>
      <c r="I22" s="3709"/>
      <c r="J22" s="3709"/>
      <c r="K22" s="3709"/>
      <c r="L22" s="3709"/>
      <c r="M22" s="3709"/>
      <c r="N22" s="3709"/>
      <c r="O22" s="3709"/>
      <c r="P22" s="3709"/>
      <c r="Q22" s="3710"/>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spans="1:5" ht="18">
      <c r="A3" s="3380" t="str">
        <f>IF(项目基本情况!B9="房地产市场价值","估价结果一览表（市场价值不需“结果表-1”）","估价结果一览表")</f>
        <v>估价结果一览表</v>
      </c>
      <c r="B3" s="3380"/>
      <c r="C3" s="3380"/>
      <c r="D3" s="3380"/>
      <c r="E3" s="3380"/>
    </row>
    <row r="4" spans="1:5" ht="19.5" thickBot="1">
      <c r="A4" s="1486"/>
      <c r="B4" s="3378" t="s">
        <v>1159</v>
      </c>
      <c r="C4" s="3378"/>
      <c r="D4" s="3378"/>
      <c r="E4" s="1486"/>
    </row>
    <row r="5" spans="1:5" ht="16.5" thickTop="1">
      <c r="A5" s="1484"/>
      <c r="B5" s="3376" t="s">
        <v>1151</v>
      </c>
      <c r="C5" s="1487" t="s">
        <v>1152</v>
      </c>
      <c r="D5" s="864" t="e">
        <f ca="1">结果表!H101</f>
        <v>#REF!</v>
      </c>
      <c r="E5" s="1484"/>
    </row>
    <row r="6" spans="1:5" ht="15.75">
      <c r="A6" s="1484"/>
      <c r="B6" s="3376"/>
      <c r="C6" s="1487" t="s">
        <v>1153</v>
      </c>
      <c r="D6" s="864" t="e">
        <f ca="1">NUMBERSTRING(INT(D5*10000),2)&amp;"元整"</f>
        <v>#REF!</v>
      </c>
      <c r="E6" s="1484"/>
    </row>
    <row r="7" spans="1:5" ht="15.75">
      <c r="A7" s="1484"/>
      <c r="B7" s="3381"/>
      <c r="C7" s="1488" t="s">
        <v>1154</v>
      </c>
      <c r="D7" s="865" t="e">
        <f ca="1">结果表!H102</f>
        <v>#REF!</v>
      </c>
      <c r="E7" s="1484"/>
    </row>
    <row r="8" spans="1:5" ht="15.75">
      <c r="A8" s="1484"/>
      <c r="B8" s="3382" t="str">
        <f>结果表!E103</f>
        <v>2.估价师知悉的法定优先受偿款</v>
      </c>
      <c r="C8" s="1489" t="s">
        <v>1155</v>
      </c>
      <c r="D8" s="865">
        <f>结果表!H103</f>
        <v>0</v>
      </c>
      <c r="E8" s="1484"/>
    </row>
    <row r="9" spans="1:5" ht="15.75">
      <c r="A9" s="1484"/>
      <c r="B9" s="3384"/>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5" t="str">
        <f>结果表!E107</f>
        <v>3.房地产抵押价值</v>
      </c>
      <c r="C13" s="1492" t="s">
        <v>1152</v>
      </c>
      <c r="D13" s="867" t="e">
        <f ca="1">结果表!H107</f>
        <v>#REF!</v>
      </c>
      <c r="E13" s="1484"/>
    </row>
    <row r="14" spans="1:5" ht="15.75">
      <c r="A14" s="1484"/>
      <c r="B14" s="3376"/>
      <c r="C14" s="1487" t="s">
        <v>1153</v>
      </c>
      <c r="D14" s="864" t="e">
        <f ca="1">NUMBERSTRING(INT(D13*10000),2)&amp;"元整"</f>
        <v>#REF!</v>
      </c>
      <c r="E14" s="1484"/>
    </row>
    <row r="15" spans="1:5" ht="15">
      <c r="A15" s="1484"/>
      <c r="B15" s="3381"/>
      <c r="C15" s="1488" t="s">
        <v>1163</v>
      </c>
      <c r="D15" s="873" t="e">
        <f ca="1">结果表!H108</f>
        <v>#REF!</v>
      </c>
      <c r="E15" s="1484"/>
    </row>
    <row r="16" spans="1:5" ht="15">
      <c r="A16" s="1484"/>
      <c r="B16" s="3382" t="str">
        <f>结果表!E109</f>
        <v>——</v>
      </c>
      <c r="C16" s="1492" t="s">
        <v>1164</v>
      </c>
      <c r="D16" s="1493" t="str">
        <f>结果表!H109</f>
        <v>——</v>
      </c>
      <c r="E16" s="1484"/>
    </row>
    <row r="17" spans="1:5" ht="15.75">
      <c r="A17" s="1484"/>
      <c r="B17" s="3383"/>
      <c r="C17" s="1487" t="s">
        <v>1165</v>
      </c>
      <c r="D17" s="864" t="e">
        <f>NUMBERSTRING(INT(D16*10000),2)&amp;"元整"</f>
        <v>#VALUE!</v>
      </c>
      <c r="E17" s="1484"/>
    </row>
    <row r="18" spans="1:5" ht="15">
      <c r="A18" s="1484"/>
      <c r="B18" s="3384"/>
      <c r="C18" s="1488" t="s">
        <v>1154</v>
      </c>
      <c r="D18" s="873" t="str">
        <f>结果表!H110</f>
        <v>——</v>
      </c>
      <c r="E18" s="1484"/>
    </row>
    <row r="19" spans="1:5" ht="15.75">
      <c r="A19" s="1484"/>
      <c r="B19" s="3375" t="str">
        <f>结果表!E111</f>
        <v>——</v>
      </c>
      <c r="C19" s="1492" t="s">
        <v>1152</v>
      </c>
      <c r="D19" s="865" t="str">
        <f>结果表!H111</f>
        <v>——</v>
      </c>
      <c r="E19" s="1484"/>
    </row>
    <row r="20" spans="1:5" ht="15.75">
      <c r="A20" s="1484"/>
      <c r="B20" s="3376"/>
      <c r="C20" s="1487" t="s">
        <v>1165</v>
      </c>
      <c r="D20" s="864" t="e">
        <f>NUMBERSTRING(INT(D19*10000),2)&amp;"元整"</f>
        <v>#VALUE!</v>
      </c>
      <c r="E20" s="1484"/>
    </row>
    <row r="21" spans="1:5" ht="15.75" thickBot="1">
      <c r="A21" s="1484"/>
      <c r="B21" s="3377"/>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3" t="s">
        <v>121</v>
      </c>
    </row>
    <row r="43" spans="1:7" ht="13.5" customHeight="1">
      <c r="A43" s="794" t="s">
        <v>580</v>
      </c>
      <c r="B43" s="217" t="s">
        <v>669</v>
      </c>
      <c r="C43" s="240" t="e">
        <f ca="1">ROUND(IF('数据-取费表'!B22&lt;=1,C39*F22*'数据-取费表'!B21/2,C39*(POWER((1+F22),'数据-取费表'!B21/2)-1)),0)</f>
        <v>#VALUE!</v>
      </c>
      <c r="D43" s="240"/>
      <c r="E43" s="240"/>
      <c r="F43" s="241"/>
      <c r="G43" s="3564"/>
    </row>
    <row r="44" spans="1:7" ht="13.5" customHeight="1">
      <c r="A44" s="794" t="s">
        <v>581</v>
      </c>
      <c r="B44" s="217" t="s">
        <v>671</v>
      </c>
      <c r="C44" s="240" t="e">
        <f ca="1">ROUND(IF('数据-取费表'!B22&lt;=1,C40*F22*'数据-取费表'!B21/2,C40*(POWER((1+F22),'数据-取费表'!B21/2)-1)),4)</f>
        <v>#VALUE!</v>
      </c>
      <c r="D44" s="240"/>
      <c r="E44" s="240"/>
      <c r="F44" s="241"/>
      <c r="G44" s="3565"/>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313" zoomScale="80" zoomScaleNormal="90" zoomScaleSheetLayoutView="80" workbookViewId="0">
      <selection activeCell="A327" sqref="A327:G357"/>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4" t="s">
        <v>3069</v>
      </c>
      <c r="B1" s="3714"/>
      <c r="C1" s="3714"/>
      <c r="D1" s="3714"/>
      <c r="E1" s="3714"/>
      <c r="F1" s="3714"/>
      <c r="G1" s="3715"/>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6"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7"/>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6" workbookViewId="0">
      <selection activeCell="B327" sqref="B327:G357"/>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8" t="s">
        <v>626</v>
      </c>
      <c r="B1" s="3718"/>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44680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9" t="s">
        <v>2733</v>
      </c>
      <c r="B1" s="3719"/>
      <c r="C1" s="3719"/>
      <c r="D1" s="3719"/>
      <c r="E1" s="3719"/>
      <c r="F1" s="3720"/>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4" t="str">
        <f>IF(项目基本情况!B9="房地产市场价值","估价结果一览表","结果表-2")</f>
        <v>结果表-2</v>
      </c>
      <c r="B1" s="3394"/>
      <c r="C1" s="3394"/>
      <c r="D1" s="3394"/>
      <c r="E1" s="3394"/>
      <c r="F1" s="3394"/>
      <c r="G1" s="3394"/>
      <c r="H1" s="3394"/>
      <c r="I1" s="3394"/>
    </row>
    <row r="2" spans="1:9" ht="30" customHeight="1" thickTop="1">
      <c r="A2" s="3395" t="s">
        <v>1170</v>
      </c>
      <c r="B2" s="3395" t="s">
        <v>1171</v>
      </c>
      <c r="C2" s="3395" t="s">
        <v>1172</v>
      </c>
      <c r="D2" s="3395" t="str">
        <f>结果表!D116</f>
        <v>出让国有建设用地使用权价值</v>
      </c>
      <c r="E2" s="3395"/>
      <c r="F2" s="3395" t="str">
        <f>结果表!F116</f>
        <v>在建建筑物价值</v>
      </c>
      <c r="G2" s="3395"/>
      <c r="H2" s="3395" t="str">
        <f>IF(项目基本情况!B9="房地产市场价值","房地产市场价值","房地产价值")</f>
        <v>房地产价值</v>
      </c>
      <c r="I2" s="3395"/>
    </row>
    <row r="3" spans="1:9" ht="15">
      <c r="A3" s="3389"/>
      <c r="B3" s="3389"/>
      <c r="C3" s="3389"/>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9" t="s">
        <v>1169</v>
      </c>
      <c r="B5" s="3389"/>
      <c r="C5" s="3389"/>
      <c r="D5" s="3390" t="e">
        <f ca="1">结果表!D119</f>
        <v>#REF!</v>
      </c>
      <c r="E5" s="3390"/>
      <c r="F5" s="3390" t="e">
        <f ca="1">结果表!F119</f>
        <v>#REF!</v>
      </c>
      <c r="G5" s="3390"/>
      <c r="H5" s="3390" t="e">
        <f ca="1">结果表!H119</f>
        <v>#REF!</v>
      </c>
      <c r="I5" s="3390"/>
    </row>
    <row r="6" spans="1:9" ht="15.75">
      <c r="A6" s="3388" t="str">
        <f>结果表!A120</f>
        <v>估价师知悉的法定优先受偿款</v>
      </c>
      <c r="B6" s="3388"/>
      <c r="C6" s="3388"/>
      <c r="D6" s="3388">
        <f>结果表!D120</f>
        <v>0</v>
      </c>
      <c r="E6" s="3388"/>
      <c r="F6" s="3388"/>
      <c r="G6" s="3388"/>
      <c r="H6" s="3388"/>
      <c r="I6" s="3388"/>
    </row>
    <row r="7" spans="1:9" ht="15">
      <c r="A7" s="3389" t="s">
        <v>1169</v>
      </c>
      <c r="B7" s="3389"/>
      <c r="C7" s="3389"/>
      <c r="D7" s="3391" t="str">
        <f>结果表!D121</f>
        <v>零元整</v>
      </c>
      <c r="E7" s="3392"/>
      <c r="F7" s="3392"/>
      <c r="G7" s="3392"/>
      <c r="H7" s="3392"/>
      <c r="I7" s="3393"/>
    </row>
    <row r="8" spans="1:9" ht="15.75">
      <c r="A8" s="3388" t="str">
        <f>结果表!A122</f>
        <v>房地产抵押价值</v>
      </c>
      <c r="B8" s="3388"/>
      <c r="C8" s="3388"/>
      <c r="D8" s="3388" t="e">
        <f ca="1">结果表!D122</f>
        <v>#REF!</v>
      </c>
      <c r="E8" s="3388"/>
      <c r="F8" s="3388"/>
      <c r="G8" s="3388"/>
      <c r="H8" s="3388"/>
      <c r="I8" s="3388"/>
    </row>
    <row r="9" spans="1:9" ht="15">
      <c r="A9" s="3389" t="s">
        <v>1169</v>
      </c>
      <c r="B9" s="3389"/>
      <c r="C9" s="3389"/>
      <c r="D9" s="3390" t="e">
        <f ca="1">结果表!D123</f>
        <v>#REF!</v>
      </c>
      <c r="E9" s="3390"/>
      <c r="F9" s="3390"/>
      <c r="G9" s="3390"/>
      <c r="H9" s="3390"/>
      <c r="I9" s="3390"/>
    </row>
    <row r="10" spans="1:9" ht="15.75">
      <c r="A10" s="3388" t="str">
        <f>结果表!A124</f>
        <v/>
      </c>
      <c r="B10" s="3388"/>
      <c r="C10" s="3388"/>
      <c r="D10" s="3388" t="str">
        <f>结果表!D124</f>
        <v>——</v>
      </c>
      <c r="E10" s="3388"/>
      <c r="F10" s="3388"/>
      <c r="G10" s="3388"/>
      <c r="H10" s="3388"/>
      <c r="I10" s="3388"/>
    </row>
    <row r="11" spans="1:9" ht="15">
      <c r="A11" s="3389" t="s">
        <v>1169</v>
      </c>
      <c r="B11" s="3389"/>
      <c r="C11" s="3389"/>
      <c r="D11" s="3390" t="e">
        <f>结果表!D125</f>
        <v>#VALUE!</v>
      </c>
      <c r="E11" s="3390"/>
      <c r="F11" s="3390"/>
      <c r="G11" s="3390"/>
      <c r="H11" s="3390"/>
      <c r="I11" s="3390"/>
    </row>
    <row r="12" spans="1:9" ht="15.75">
      <c r="A12" s="3388" t="str">
        <f>结果表!A126</f>
        <v/>
      </c>
      <c r="B12" s="3388"/>
      <c r="C12" s="3388"/>
      <c r="D12" s="3388" t="str">
        <f>结果表!D126</f>
        <v>——</v>
      </c>
      <c r="E12" s="3388"/>
      <c r="F12" s="3388"/>
      <c r="G12" s="3388"/>
      <c r="H12" s="3388"/>
      <c r="I12" s="3388"/>
    </row>
    <row r="13" spans="1:9" ht="15.75" thickBot="1">
      <c r="A13" s="3385" t="s">
        <v>1169</v>
      </c>
      <c r="B13" s="3385"/>
      <c r="C13" s="3385"/>
      <c r="D13" s="3386" t="e">
        <f>结果表!D127</f>
        <v>#VALUE!</v>
      </c>
      <c r="E13" s="3386"/>
      <c r="F13" s="3386"/>
      <c r="G13" s="3386"/>
      <c r="H13" s="3386"/>
      <c r="I13" s="3386"/>
    </row>
    <row r="14" spans="1:9" ht="15" thickTop="1">
      <c r="A14" s="3387" t="s">
        <v>1174</v>
      </c>
      <c r="B14" s="3387"/>
      <c r="C14" s="3387"/>
      <c r="D14" s="3387"/>
      <c r="E14" s="3387"/>
      <c r="F14" s="3387"/>
      <c r="G14" s="3387"/>
      <c r="H14" s="3387"/>
      <c r="I14" s="3387"/>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2" t="s">
        <v>1191</v>
      </c>
      <c r="B1" s="3402"/>
      <c r="C1" s="3402"/>
      <c r="D1" s="3402"/>
    </row>
    <row r="2" spans="1:4" ht="18">
      <c r="A2" s="3403" t="s">
        <v>1175</v>
      </c>
      <c r="B2" s="3403"/>
      <c r="C2" s="3403"/>
      <c r="D2" s="3403"/>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3" t="s">
        <v>1181</v>
      </c>
      <c r="B6" s="3403"/>
      <c r="C6" s="3403"/>
      <c r="D6" s="3403"/>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4" t="s">
        <v>1184</v>
      </c>
      <c r="B11" s="3396"/>
      <c r="C11" s="3396"/>
      <c r="D11" s="3396"/>
    </row>
    <row r="12" spans="1:4" ht="15.75">
      <c r="A12" s="33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3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396" t="str">
        <f>IF(项目基本情况!B8="抵押","4.本次评估估价师所知悉的法定优先受偿款情况说明如下：","——")</f>
        <v>4.本次评估估价师所知悉的法定优先受偿款情况说明如下：</v>
      </c>
      <c r="B14" s="3401"/>
      <c r="C14" s="3401"/>
      <c r="D14" s="3401"/>
    </row>
    <row r="15" spans="1:4" ht="42" customHeight="1">
      <c r="A15" s="33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6"/>
      <c r="C15" s="3396"/>
      <c r="D15" s="3396"/>
    </row>
    <row r="16" spans="1:4" ht="30" customHeight="1">
      <c r="A16" s="3398" t="s">
        <v>1185</v>
      </c>
      <c r="B16" s="3398"/>
      <c r="C16" s="3398"/>
      <c r="D16" s="3398"/>
    </row>
    <row r="17" spans="1:4" ht="144" customHeight="1">
      <c r="A17" s="3398" t="s">
        <v>1186</v>
      </c>
      <c r="B17" s="3398"/>
      <c r="C17" s="3398"/>
      <c r="D17" s="3398"/>
    </row>
    <row r="18" spans="1:4" ht="15.75" customHeight="1">
      <c r="A18" s="3396" t="str">
        <f>IF(项目基本情况!B8="抵押",结果表!K120,"——")</f>
        <v>故，本次评估不存在估价师知悉的法定优先受偿款</v>
      </c>
      <c r="B18" s="3396"/>
      <c r="C18" s="3396"/>
      <c r="D18" s="3396"/>
    </row>
    <row r="19" spans="1:4" ht="46.5" customHeight="1">
      <c r="A19" s="33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c r="A20" s="33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6"/>
      <c r="C20" s="3396"/>
      <c r="D20" s="3396"/>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1187</v>
      </c>
      <c r="B22" s="3400"/>
      <c r="C22" s="3400"/>
      <c r="D22" s="3400"/>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7">
        <v>42551</v>
      </c>
      <c r="D31" s="33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10" t="s">
        <v>1198</v>
      </c>
      <c r="B15" s="3405" t="s">
        <v>136</v>
      </c>
      <c r="C15" s="3406"/>
    </row>
    <row r="16" spans="1:7" ht="13.5">
      <c r="A16" s="3411"/>
      <c r="B16" s="3405" t="s">
        <v>69</v>
      </c>
      <c r="C16" s="3406"/>
    </row>
    <row r="17" spans="1:3" ht="13.5">
      <c r="A17" s="3411"/>
      <c r="B17" s="3408" t="s">
        <v>1199</v>
      </c>
      <c r="C17" s="1525" t="s">
        <v>1198</v>
      </c>
    </row>
    <row r="18" spans="1:3" ht="13.5">
      <c r="A18" s="3411"/>
      <c r="B18" s="3408"/>
      <c r="C18" s="1525" t="s">
        <v>1200</v>
      </c>
    </row>
    <row r="19" spans="1:3" ht="13.5">
      <c r="A19" s="3411"/>
      <c r="B19" s="3408"/>
      <c r="C19" s="1525" t="s">
        <v>1201</v>
      </c>
    </row>
    <row r="20" spans="1:3" ht="13.5">
      <c r="A20" s="3412"/>
      <c r="B20" s="3407" t="s">
        <v>1202</v>
      </c>
      <c r="C20" s="3406"/>
    </row>
    <row r="21" spans="1:3" ht="13.5">
      <c r="A21" s="1526" t="s">
        <v>1203</v>
      </c>
      <c r="B21" s="1527"/>
      <c r="C21" s="1528"/>
    </row>
    <row r="22" spans="1:3" ht="13.5">
      <c r="A22" s="3409" t="s">
        <v>1204</v>
      </c>
      <c r="B22" s="3407" t="s">
        <v>1205</v>
      </c>
      <c r="C22" s="3406"/>
    </row>
    <row r="23" spans="1:3" ht="13.5">
      <c r="A23" s="3409"/>
      <c r="B23" s="3407" t="s">
        <v>1206</v>
      </c>
      <c r="C23" s="3406"/>
    </row>
    <row r="24" spans="1:3" ht="13.5">
      <c r="A24" s="3409"/>
      <c r="B24" s="3407" t="s">
        <v>1207</v>
      </c>
      <c r="C24" s="3406"/>
    </row>
    <row r="25" spans="1:3" ht="13.5">
      <c r="A25" s="3409"/>
      <c r="B25" s="3408" t="s">
        <v>1208</v>
      </c>
      <c r="C25" s="1525" t="s">
        <v>1209</v>
      </c>
    </row>
    <row r="26" spans="1:3" ht="13.5">
      <c r="A26" s="3409"/>
      <c r="B26" s="3408"/>
      <c r="C26" s="1525" t="s">
        <v>1210</v>
      </c>
    </row>
    <row r="27" spans="1:3" ht="13.5">
      <c r="A27" s="3409"/>
      <c r="B27" s="3408"/>
      <c r="C27" s="1525" t="s">
        <v>1211</v>
      </c>
    </row>
    <row r="28" spans="1:3" ht="13.5">
      <c r="A28" s="3409"/>
      <c r="B28" s="3408"/>
      <c r="C28" s="1525" t="s">
        <v>1212</v>
      </c>
    </row>
    <row r="29" spans="1:3" ht="13.5">
      <c r="A29" s="3409"/>
      <c r="B29" s="3408"/>
      <c r="C29" s="1525" t="s">
        <v>1213</v>
      </c>
    </row>
    <row r="30" spans="1:3" ht="13.5">
      <c r="A30" s="3409"/>
      <c r="B30" s="3408"/>
      <c r="C30" s="1525" t="s">
        <v>1214</v>
      </c>
    </row>
    <row r="31" spans="1:3" ht="13.5">
      <c r="A31" s="3409"/>
      <c r="B31" s="3408"/>
      <c r="C31" s="1525" t="s">
        <v>1215</v>
      </c>
    </row>
    <row r="32" spans="1:3" ht="13.5">
      <c r="A32" s="3409"/>
      <c r="B32" s="3408"/>
      <c r="C32" s="1525" t="s">
        <v>1216</v>
      </c>
    </row>
    <row r="33" spans="1:3" ht="13.5">
      <c r="A33" s="3409"/>
      <c r="B33" s="3408"/>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44688</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3" t="s">
        <v>2444</v>
      </c>
      <c r="B17" s="3413"/>
      <c r="C17" s="3413"/>
      <c r="D17" s="3413"/>
      <c r="E17" s="3413"/>
      <c r="F17" s="3413"/>
      <c r="G17" s="3413"/>
      <c r="H17" s="3413"/>
    </row>
    <row r="18" spans="1:8" ht="24" customHeight="1">
      <c r="A18" s="3414" t="s">
        <v>2445</v>
      </c>
      <c r="B18" s="3414"/>
      <c r="C18" s="3414"/>
      <c r="D18" s="2166"/>
      <c r="E18" s="3415" t="s">
        <v>2446</v>
      </c>
      <c r="F18" s="3414"/>
      <c r="G18" s="3414"/>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2022-05-07T07:52:56Z</dcterms:modified>
</cp:coreProperties>
</file>