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京精医疗\"/>
    </mc:Choice>
  </mc:AlternateContent>
  <xr:revisionPtr revIDLastSave="0" documentId="13_ncr:1_{7E6880B2-5F63-4419-BBC9-DF33B1E4245F}" xr6:coauthVersionLast="47" xr6:coauthVersionMax="47" xr10:uidLastSave="{00000000-0000-0000-0000-000000000000}"/>
  <bookViews>
    <workbookView xWindow="-108" yWindow="-108" windowWidth="23256" windowHeight="12576"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42" i="43" l="1"/>
  <c r="D33" i="43"/>
  <c r="I24" i="43"/>
  <c r="U5" i="43" l="1"/>
  <c r="U4" i="43"/>
  <c r="U3" i="43"/>
  <c r="U2" i="43"/>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M94" i="43"/>
  <c r="N94" i="43" s="1"/>
  <c r="K94" i="43"/>
  <c r="J94" i="43" s="1"/>
  <c r="B94" i="43"/>
  <c r="E16" i="43"/>
  <c r="C17" i="45"/>
  <c r="D17" i="45"/>
  <c r="E17" i="45"/>
  <c r="F17" i="45"/>
  <c r="G17" i="45"/>
  <c r="H17" i="45"/>
  <c r="L37" i="43"/>
  <c r="Q37" i="43" s="1"/>
  <c r="N36" i="43"/>
  <c r="O36" i="43"/>
  <c r="P36" i="43"/>
  <c r="Q36" i="43"/>
  <c r="M36" i="43"/>
  <c r="G14" i="73"/>
  <c r="F14" i="73"/>
  <c r="E14" i="73"/>
  <c r="G13" i="73"/>
  <c r="F13" i="73"/>
  <c r="E13" i="73"/>
  <c r="R9" i="71"/>
  <c r="Q9" i="71"/>
  <c r="P9" i="71"/>
  <c r="O9" i="71"/>
  <c r="R43" i="77"/>
  <c r="R40" i="77"/>
  <c r="R41" i="77" s="1"/>
  <c r="R35" i="77" s="1"/>
  <c r="U34" i="77" s="1"/>
  <c r="F36" i="77"/>
  <c r="R34" i="77"/>
  <c r="R33" i="77"/>
  <c r="C30" i="77"/>
  <c r="D29" i="77" s="1"/>
  <c r="R27" i="77"/>
  <c r="M24" i="77"/>
  <c r="R23" i="77"/>
  <c r="D23" i="77"/>
  <c r="D38" i="77"/>
  <c r="D39" i="77" s="1"/>
  <c r="C23" i="77"/>
  <c r="R22" i="77"/>
  <c r="R21" i="77"/>
  <c r="N19" i="77"/>
  <c r="R18" i="77"/>
  <c r="D18" i="77"/>
  <c r="R17" i="77"/>
  <c r="D17" i="77"/>
  <c r="R16" i="77"/>
  <c r="R19" i="77" s="1"/>
  <c r="D16" i="77"/>
  <c r="D15" i="77"/>
  <c r="N14" i="77"/>
  <c r="M14" i="77"/>
  <c r="D14" i="77"/>
  <c r="R13" i="77"/>
  <c r="R12" i="77"/>
  <c r="D12" i="77"/>
  <c r="R11" i="77"/>
  <c r="R10" i="77"/>
  <c r="D10" i="77"/>
  <c r="R9" i="77"/>
  <c r="D9" i="77"/>
  <c r="R8" i="77"/>
  <c r="R14" i="77" s="1"/>
  <c r="R7" i="77"/>
  <c r="R4" i="77"/>
  <c r="R3" i="77"/>
  <c r="E23" i="77"/>
  <c r="E26" i="77" s="1"/>
  <c r="D26"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G25" i="71" s="1"/>
  <c r="Q25" i="71"/>
  <c r="F25" i="71" s="1"/>
  <c r="F24" i="71" s="1"/>
  <c r="F23" i="71" s="1"/>
  <c r="P25" i="71"/>
  <c r="C25" i="71" s="1"/>
  <c r="R26" i="71"/>
  <c r="Q26" i="71"/>
  <c r="P26" i="71"/>
  <c r="O26" i="71"/>
  <c r="B25" i="71"/>
  <c r="B24" i="71" s="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R27" i="71"/>
  <c r="Q27" i="71"/>
  <c r="P27" i="71"/>
  <c r="O27" i="71"/>
  <c r="A15" i="51"/>
  <c r="B12" i="72" s="1"/>
  <c r="C76" i="9"/>
  <c r="I107" i="40"/>
  <c r="K6" i="4"/>
  <c r="K56" i="9" s="1"/>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B80" i="71"/>
  <c r="B79" i="71" s="1"/>
  <c r="R79" i="71"/>
  <c r="Q79" i="71"/>
  <c r="P79" i="71"/>
  <c r="O79" i="71"/>
  <c r="R78" i="71"/>
  <c r="Q78" i="71"/>
  <c r="P78" i="71"/>
  <c r="O78" i="71"/>
  <c r="D78" i="71"/>
  <c r="R77" i="71"/>
  <c r="Q77" i="71"/>
  <c r="P77" i="71"/>
  <c r="O77" i="71"/>
  <c r="G77" i="71"/>
  <c r="W77" i="71" s="1"/>
  <c r="F77" i="71"/>
  <c r="F76" i="71" s="1"/>
  <c r="F75" i="71" s="1"/>
  <c r="C77" i="71"/>
  <c r="B77" i="71"/>
  <c r="B76" i="71" s="1"/>
  <c r="B75" i="71" s="1"/>
  <c r="T77" i="7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R71" i="71"/>
  <c r="Q71" i="71"/>
  <c r="P71" i="71"/>
  <c r="O71" i="71"/>
  <c r="R70" i="71"/>
  <c r="Q70" i="71"/>
  <c r="P70" i="71"/>
  <c r="O70" i="71"/>
  <c r="D70" i="71"/>
  <c r="G69" i="71"/>
  <c r="F69" i="71"/>
  <c r="Q69" i="71"/>
  <c r="C69" i="71"/>
  <c r="P69" i="71" s="1"/>
  <c r="B69" i="71"/>
  <c r="T69" i="71" s="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G52"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G36" i="71" s="1"/>
  <c r="Q34" i="71"/>
  <c r="F35" i="71" s="1"/>
  <c r="P34" i="71"/>
  <c r="O34" i="71"/>
  <c r="B35" i="71" s="1"/>
  <c r="D34" i="71"/>
  <c r="R33" i="71"/>
  <c r="Q33" i="71"/>
  <c r="P33" i="71"/>
  <c r="O33" i="71"/>
  <c r="R32" i="71"/>
  <c r="Q32" i="71"/>
  <c r="P32" i="71"/>
  <c r="O32" i="71"/>
  <c r="R31" i="71"/>
  <c r="Q31" i="71"/>
  <c r="P31" i="71"/>
  <c r="O31" i="71"/>
  <c r="R30" i="71"/>
  <c r="G31" i="71" s="1"/>
  <c r="G32" i="71" s="1"/>
  <c r="Q30" i="71"/>
  <c r="F31" i="71" s="1"/>
  <c r="F32" i="71" s="1"/>
  <c r="P30" i="71"/>
  <c r="C31" i="71" s="1"/>
  <c r="O30" i="71"/>
  <c r="D30" i="71"/>
  <c r="P29" i="71"/>
  <c r="C29" i="71" s="1"/>
  <c r="O29" i="71"/>
  <c r="B29" i="71" s="1"/>
  <c r="B31" i="71"/>
  <c r="C35" i="71"/>
  <c r="Q29" i="71"/>
  <c r="F29" i="71" s="1"/>
  <c r="V69" i="71"/>
  <c r="F68" i="71"/>
  <c r="Q68" i="71" s="1"/>
  <c r="R29" i="71"/>
  <c r="G29" i="71" s="1"/>
  <c r="G28" i="71" s="1"/>
  <c r="G27" i="71" s="1"/>
  <c r="U69" i="71"/>
  <c r="D69" i="71"/>
  <c r="F72" i="71"/>
  <c r="F71" i="71" s="1"/>
  <c r="C8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Z21" i="33"/>
  <c r="Q21" i="33"/>
  <c r="D83" i="33"/>
  <c r="E83" i="33" s="1"/>
  <c r="F83" i="33" s="1"/>
  <c r="G83" i="33" s="1"/>
  <c r="C21" i="33"/>
  <c r="C21" i="21"/>
  <c r="Q21" i="21"/>
  <c r="Z21" i="21" s="1"/>
  <c r="H19" i="21"/>
  <c r="D83" i="21"/>
  <c r="E83" i="21" s="1"/>
  <c r="F21" i="21"/>
  <c r="D81" i="21"/>
  <c r="G20" i="20"/>
  <c r="C25" i="40" s="1"/>
  <c r="C22" i="20"/>
  <c r="B78" i="43" s="1"/>
  <c r="C29" i="39"/>
  <c r="S29" i="39"/>
  <c r="S18" i="36"/>
  <c r="U18" i="36"/>
  <c r="H25" i="40"/>
  <c r="U25" i="40" s="1"/>
  <c r="J25" i="40"/>
  <c r="AC25" i="40" s="1"/>
  <c r="H29" i="39"/>
  <c r="AB29" i="39" s="1"/>
  <c r="J29" i="39"/>
  <c r="W29" i="39" s="1"/>
  <c r="J18" i="36"/>
  <c r="W18" i="36" s="1"/>
  <c r="H18" i="35"/>
  <c r="U18" i="35" s="1"/>
  <c r="J18" i="35"/>
  <c r="AC18" i="35" s="1"/>
  <c r="H21" i="37"/>
  <c r="AB21" i="37" s="1"/>
  <c r="F21" i="37"/>
  <c r="AA21" i="37" s="1"/>
  <c r="H21" i="34"/>
  <c r="H21" i="33"/>
  <c r="U21" i="33" s="1"/>
  <c r="F21" i="33"/>
  <c r="AA21" i="33" s="1"/>
  <c r="H1" i="69"/>
  <c r="W25" i="40"/>
  <c r="AB25" i="40"/>
  <c r="S21" i="37"/>
  <c r="AB21" i="33"/>
  <c r="S21" i="33"/>
  <c r="AB18" i="35"/>
  <c r="W18" i="35"/>
  <c r="J21" i="37"/>
  <c r="W21" i="37" s="1"/>
  <c r="J21" i="34"/>
  <c r="AC21" i="34" s="1"/>
  <c r="J21" i="33"/>
  <c r="F83" i="21"/>
  <c r="G83" i="21" s="1"/>
  <c r="H21" i="21"/>
  <c r="AB21" i="21" s="1"/>
  <c r="F38" i="69"/>
  <c r="E37" i="69"/>
  <c r="F36" i="69"/>
  <c r="F35" i="69"/>
  <c r="F21" i="69"/>
  <c r="F40" i="69" s="1"/>
  <c r="F20" i="69"/>
  <c r="F39" i="69" s="1"/>
  <c r="E10" i="69"/>
  <c r="E9" i="69"/>
  <c r="C7" i="69"/>
  <c r="AC21" i="37"/>
  <c r="U21" i="21"/>
  <c r="J21" i="21"/>
  <c r="AC21" i="21" s="1"/>
  <c r="F38" i="68"/>
  <c r="E37" i="68"/>
  <c r="F36" i="68"/>
  <c r="F35" i="68"/>
  <c r="F21" i="68"/>
  <c r="F40" i="68" s="1"/>
  <c r="F20" i="68"/>
  <c r="F39" i="68" s="1"/>
  <c r="E10" i="68"/>
  <c r="E9" i="68"/>
  <c r="C40" i="68"/>
  <c r="Q72" i="67"/>
  <c r="Q59" i="67"/>
  <c r="Q58" i="67"/>
  <c r="Q51" i="67"/>
  <c r="J50" i="67"/>
  <c r="M47" i="67"/>
  <c r="D46" i="67"/>
  <c r="F33" i="67"/>
  <c r="F61" i="67" s="1"/>
  <c r="F23" i="67"/>
  <c r="D22" i="67" s="1"/>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70" i="43"/>
  <c r="D63" i="43"/>
  <c r="D64" i="43"/>
  <c r="D65" i="43"/>
  <c r="D66" i="43"/>
  <c r="D67" i="43"/>
  <c r="D68" i="43"/>
  <c r="D69"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c r="K70" i="43"/>
  <c r="J70" i="43" s="1"/>
  <c r="M69" i="43"/>
  <c r="N69" i="43" s="1"/>
  <c r="K69" i="43"/>
  <c r="J69" i="43" s="1"/>
  <c r="M68" i="43"/>
  <c r="N68" i="43" s="1"/>
  <c r="K68" i="43"/>
  <c r="J68" i="43" s="1"/>
  <c r="M67" i="43"/>
  <c r="N67" i="43"/>
  <c r="K67" i="43"/>
  <c r="J67" i="43"/>
  <c r="M66" i="43"/>
  <c r="N66" i="43" s="1"/>
  <c r="K66" i="43"/>
  <c r="J66" i="43"/>
  <c r="M65" i="43"/>
  <c r="N65" i="43" s="1"/>
  <c r="K65" i="43"/>
  <c r="J65" i="43" s="1"/>
  <c r="M64" i="43"/>
  <c r="N64" i="43" s="1"/>
  <c r="K64" i="43"/>
  <c r="J64" i="43"/>
  <c r="M63" i="43"/>
  <c r="N63" i="43" s="1"/>
  <c r="K63" i="43"/>
  <c r="J63" i="43" s="1"/>
  <c r="M62" i="43"/>
  <c r="N62" i="43" s="1"/>
  <c r="K62" i="43"/>
  <c r="J62" i="43"/>
  <c r="M59" i="43"/>
  <c r="N59" i="43" s="1"/>
  <c r="K59" i="43"/>
  <c r="J59" i="43" s="1"/>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L105" i="3" s="1"/>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L83" i="3" s="1"/>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L81" i="3" s="1"/>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A53" i="3" s="1"/>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L37" i="3" s="1"/>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L117" i="3" s="1"/>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A302" i="3" s="1"/>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A261" i="3" s="1"/>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L221" i="3" s="1"/>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L381" i="3" s="1"/>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L348" i="3" s="1"/>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L483" i="3" s="1"/>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A428" i="3" s="1"/>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S30" i="31" s="1"/>
  <c r="R31" i="31"/>
  <c r="R32" i="31"/>
  <c r="R33" i="31"/>
  <c r="R34" i="31"/>
  <c r="R35" i="31"/>
  <c r="R36" i="31"/>
  <c r="R37" i="31"/>
  <c r="R38" i="31"/>
  <c r="R39" i="31"/>
  <c r="R40" i="31"/>
  <c r="R41" i="31"/>
  <c r="R42" i="31"/>
  <c r="S42" i="31" s="1"/>
  <c r="R43" i="31"/>
  <c r="R44" i="31"/>
  <c r="R45" i="31"/>
  <c r="R46" i="31"/>
  <c r="R47" i="31"/>
  <c r="R48" i="31"/>
  <c r="R49" i="31"/>
  <c r="R50" i="31"/>
  <c r="R51" i="31"/>
  <c r="R52" i="31"/>
  <c r="R53" i="31"/>
  <c r="R54" i="31"/>
  <c r="S54" i="31" s="1"/>
  <c r="R55" i="31"/>
  <c r="R56" i="31"/>
  <c r="R57" i="31"/>
  <c r="R58" i="31"/>
  <c r="R59" i="31"/>
  <c r="R60" i="31"/>
  <c r="R61" i="31"/>
  <c r="R62" i="31"/>
  <c r="R63" i="31"/>
  <c r="R64" i="31"/>
  <c r="R65" i="31"/>
  <c r="R66" i="31"/>
  <c r="S66" i="31" s="1"/>
  <c r="R67" i="31"/>
  <c r="R68" i="31"/>
  <c r="R69" i="31"/>
  <c r="R70" i="31"/>
  <c r="R71" i="31"/>
  <c r="R72" i="31"/>
  <c r="R73" i="31"/>
  <c r="R74" i="31"/>
  <c r="R75" i="31"/>
  <c r="R76" i="31"/>
  <c r="R77" i="31"/>
  <c r="R78" i="31"/>
  <c r="S78" i="31" s="1"/>
  <c r="R79" i="31"/>
  <c r="R80" i="31"/>
  <c r="R81" i="31"/>
  <c r="R82" i="31"/>
  <c r="R83" i="31"/>
  <c r="R84" i="31"/>
  <c r="R85" i="31"/>
  <c r="R86" i="31"/>
  <c r="R87" i="31"/>
  <c r="R88" i="31"/>
  <c r="R89" i="31"/>
  <c r="R90" i="31"/>
  <c r="S90" i="31" s="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S114" i="31" s="1"/>
  <c r="R115" i="31"/>
  <c r="R116" i="31"/>
  <c r="R117" i="31"/>
  <c r="R118" i="31"/>
  <c r="R119" i="31"/>
  <c r="R120" i="31"/>
  <c r="R121" i="31"/>
  <c r="R122" i="31"/>
  <c r="R123" i="31"/>
  <c r="R124" i="31"/>
  <c r="R125" i="31"/>
  <c r="R126" i="31"/>
  <c r="S126" i="31" s="1"/>
  <c r="R127" i="31"/>
  <c r="R128" i="31"/>
  <c r="R129" i="31"/>
  <c r="R130" i="31"/>
  <c r="R131" i="31"/>
  <c r="R132" i="31"/>
  <c r="R133" i="31"/>
  <c r="R134" i="31"/>
  <c r="R135" i="31"/>
  <c r="R136" i="31"/>
  <c r="R137" i="31"/>
  <c r="R138" i="31"/>
  <c r="S138" i="31" s="1"/>
  <c r="R139" i="31"/>
  <c r="R140" i="31"/>
  <c r="R141" i="31"/>
  <c r="R142" i="31"/>
  <c r="R143" i="31"/>
  <c r="R144" i="31"/>
  <c r="R145" i="31"/>
  <c r="R146" i="31"/>
  <c r="R147" i="31"/>
  <c r="R148" i="31"/>
  <c r="R149" i="31"/>
  <c r="R150" i="31"/>
  <c r="S150" i="31" s="1"/>
  <c r="R151" i="31"/>
  <c r="R152" i="31"/>
  <c r="R153" i="31"/>
  <c r="R154" i="31"/>
  <c r="R155" i="31"/>
  <c r="R156" i="31"/>
  <c r="R157" i="31"/>
  <c r="R158" i="31"/>
  <c r="R159" i="31"/>
  <c r="R160" i="31"/>
  <c r="R161" i="31"/>
  <c r="R162" i="31"/>
  <c r="S162" i="31" s="1"/>
  <c r="R163" i="31"/>
  <c r="R164" i="31"/>
  <c r="R165" i="31"/>
  <c r="R166" i="31"/>
  <c r="R167" i="31"/>
  <c r="R168" i="31"/>
  <c r="R169" i="31"/>
  <c r="R170" i="31"/>
  <c r="R171" i="31"/>
  <c r="R172" i="31"/>
  <c r="R173" i="31"/>
  <c r="R174" i="31"/>
  <c r="S174" i="31" s="1"/>
  <c r="R175" i="31"/>
  <c r="R176" i="31"/>
  <c r="R177" i="31"/>
  <c r="R178" i="31"/>
  <c r="R179" i="31"/>
  <c r="R180" i="31"/>
  <c r="R181" i="31"/>
  <c r="R182" i="31"/>
  <c r="R183" i="31"/>
  <c r="R184" i="31"/>
  <c r="R185" i="31"/>
  <c r="R186" i="31"/>
  <c r="S186" i="31" s="1"/>
  <c r="R187" i="31"/>
  <c r="R188" i="31"/>
  <c r="R189" i="31"/>
  <c r="R190" i="31"/>
  <c r="R191" i="31"/>
  <c r="R192" i="31"/>
  <c r="R193" i="31"/>
  <c r="R194" i="31"/>
  <c r="R195" i="31"/>
  <c r="R196" i="31"/>
  <c r="R197" i="31"/>
  <c r="R198" i="31"/>
  <c r="S198" i="31" s="1"/>
  <c r="R199" i="31"/>
  <c r="R200" i="31"/>
  <c r="R201" i="31"/>
  <c r="R202" i="31"/>
  <c r="R203" i="31"/>
  <c r="R204" i="31"/>
  <c r="R205" i="31"/>
  <c r="R206" i="31"/>
  <c r="R207" i="31"/>
  <c r="R208" i="31"/>
  <c r="R209" i="31"/>
  <c r="R210" i="31"/>
  <c r="S210" i="31" s="1"/>
  <c r="R211" i="31"/>
  <c r="R212" i="31"/>
  <c r="R213" i="31"/>
  <c r="R214" i="31"/>
  <c r="R215" i="31"/>
  <c r="R216" i="31"/>
  <c r="R217" i="31"/>
  <c r="R218" i="31"/>
  <c r="R219" i="31"/>
  <c r="R220" i="31"/>
  <c r="R221" i="31"/>
  <c r="R222" i="31"/>
  <c r="S222" i="31" s="1"/>
  <c r="R223" i="31"/>
  <c r="R224" i="31"/>
  <c r="R225" i="31"/>
  <c r="R226" i="31"/>
  <c r="R227" i="31"/>
  <c r="R228" i="31"/>
  <c r="R229" i="31"/>
  <c r="R230" i="31"/>
  <c r="R231" i="31"/>
  <c r="R232" i="31"/>
  <c r="R233" i="31"/>
  <c r="R234" i="31"/>
  <c r="S234" i="31" s="1"/>
  <c r="R235" i="31"/>
  <c r="R236" i="31"/>
  <c r="R237" i="31"/>
  <c r="R238" i="31"/>
  <c r="R239" i="31"/>
  <c r="R240" i="31"/>
  <c r="R241" i="31"/>
  <c r="R242" i="31"/>
  <c r="R243" i="31"/>
  <c r="R244" i="31"/>
  <c r="R245" i="31"/>
  <c r="R246" i="31"/>
  <c r="S246" i="31" s="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S461" i="31" s="1"/>
  <c r="R462" i="31"/>
  <c r="R463" i="31"/>
  <c r="R464" i="31"/>
  <c r="R465" i="31"/>
  <c r="R466" i="31"/>
  <c r="R467" i="31"/>
  <c r="R468" i="31"/>
  <c r="R469" i="31"/>
  <c r="R470" i="31"/>
  <c r="R471" i="31"/>
  <c r="R472" i="31"/>
  <c r="R473" i="31"/>
  <c r="S473" i="31" s="1"/>
  <c r="R474" i="31"/>
  <c r="R475" i="31"/>
  <c r="R476" i="31"/>
  <c r="R477" i="31"/>
  <c r="R478" i="31"/>
  <c r="R479" i="31"/>
  <c r="R480" i="31"/>
  <c r="R481" i="31"/>
  <c r="R482" i="31"/>
  <c r="R483" i="31"/>
  <c r="R484" i="31"/>
  <c r="R485" i="31"/>
  <c r="S485" i="31" s="1"/>
  <c r="R486" i="31"/>
  <c r="R487" i="31"/>
  <c r="R488" i="31"/>
  <c r="R489" i="31"/>
  <c r="R490" i="31"/>
  <c r="R491" i="31"/>
  <c r="R492" i="31"/>
  <c r="R493" i="31"/>
  <c r="R494" i="31"/>
  <c r="R495" i="31"/>
  <c r="R496" i="31"/>
  <c r="R497" i="31"/>
  <c r="S497" i="31" s="1"/>
  <c r="R498" i="3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G44" i="43" s="1"/>
  <c r="H15" i="4"/>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37" i="43"/>
  <c r="J24" i="43"/>
  <c r="C22" i="43"/>
  <c r="D16" i="43"/>
  <c r="C16" i="43"/>
  <c r="C13" i="43" s="1"/>
  <c r="C10" i="43"/>
  <c r="C11" i="43" s="1"/>
  <c r="C9" i="43"/>
  <c r="A7" i="43"/>
  <c r="F33" i="15"/>
  <c r="F61" i="15" s="1"/>
  <c r="M19" i="15"/>
  <c r="BR13" i="3"/>
  <c r="M10" i="1"/>
  <c r="O10" i="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5" i="31"/>
  <c r="S244" i="31"/>
  <c r="S243" i="31"/>
  <c r="S242" i="31"/>
  <c r="S241" i="31"/>
  <c r="S240" i="31"/>
  <c r="S239" i="31"/>
  <c r="S238" i="31"/>
  <c r="S237" i="31"/>
  <c r="S236" i="31"/>
  <c r="S235" i="31"/>
  <c r="S233" i="31"/>
  <c r="S232" i="31"/>
  <c r="S231" i="31"/>
  <c r="S230" i="31"/>
  <c r="S229" i="31"/>
  <c r="S228" i="31"/>
  <c r="S227" i="31"/>
  <c r="S226" i="31"/>
  <c r="S225" i="31"/>
  <c r="S224" i="31"/>
  <c r="S223" i="31"/>
  <c r="S429" i="31"/>
  <c r="S428" i="31"/>
  <c r="S427" i="31"/>
  <c r="S426" i="31"/>
  <c r="S221" i="31"/>
  <c r="S220" i="31"/>
  <c r="S219" i="31"/>
  <c r="S218" i="31"/>
  <c r="S217" i="31"/>
  <c r="S216" i="31"/>
  <c r="S215" i="31"/>
  <c r="S214" i="31"/>
  <c r="S213" i="31"/>
  <c r="S212" i="31"/>
  <c r="S211" i="31"/>
  <c r="S209" i="31"/>
  <c r="S208" i="31"/>
  <c r="S207" i="31"/>
  <c r="S206" i="31"/>
  <c r="S205" i="31"/>
  <c r="S204" i="31"/>
  <c r="S203" i="31"/>
  <c r="S202" i="31"/>
  <c r="S201" i="31"/>
  <c r="S200" i="31"/>
  <c r="S199" i="31"/>
  <c r="S197" i="31"/>
  <c r="S196" i="31"/>
  <c r="S195" i="31"/>
  <c r="S194" i="31"/>
  <c r="S193" i="31"/>
  <c r="S192" i="31"/>
  <c r="S191" i="31"/>
  <c r="S190" i="31"/>
  <c r="S189" i="31"/>
  <c r="S188" i="31"/>
  <c r="S187" i="31"/>
  <c r="S185" i="31"/>
  <c r="S184" i="31"/>
  <c r="S183" i="31"/>
  <c r="S182" i="31"/>
  <c r="S181" i="31"/>
  <c r="S180" i="31"/>
  <c r="S179" i="31"/>
  <c r="S178" i="31"/>
  <c r="S177" i="31"/>
  <c r="S176" i="31"/>
  <c r="S175" i="31"/>
  <c r="S173" i="31"/>
  <c r="S172" i="31"/>
  <c r="S171" i="31"/>
  <c r="S170" i="31"/>
  <c r="S169" i="31"/>
  <c r="S168" i="31"/>
  <c r="S167" i="31"/>
  <c r="S166" i="31"/>
  <c r="S165" i="31"/>
  <c r="S164" i="31"/>
  <c r="S163" i="31"/>
  <c r="S161" i="31"/>
  <c r="S160" i="31"/>
  <c r="S159" i="31"/>
  <c r="S158" i="31"/>
  <c r="S157" i="31"/>
  <c r="S156" i="31"/>
  <c r="S155" i="31"/>
  <c r="S154" i="31"/>
  <c r="S153" i="31"/>
  <c r="S152" i="31"/>
  <c r="S151" i="31"/>
  <c r="S149" i="31"/>
  <c r="S148" i="31"/>
  <c r="S147" i="31"/>
  <c r="S146" i="31"/>
  <c r="S145" i="31"/>
  <c r="S144" i="31"/>
  <c r="S143" i="31"/>
  <c r="S142" i="31"/>
  <c r="S141" i="31"/>
  <c r="S140" i="31"/>
  <c r="S139" i="31"/>
  <c r="S137" i="31"/>
  <c r="S136" i="31"/>
  <c r="S135" i="31"/>
  <c r="S134" i="31"/>
  <c r="S133" i="31"/>
  <c r="S132" i="31"/>
  <c r="S131" i="31"/>
  <c r="S130" i="31"/>
  <c r="S129" i="31"/>
  <c r="S128" i="31"/>
  <c r="S127" i="31"/>
  <c r="S125" i="31"/>
  <c r="S124" i="31"/>
  <c r="S123" i="31"/>
  <c r="S496" i="31"/>
  <c r="S495" i="31"/>
  <c r="S494" i="31"/>
  <c r="S493" i="31"/>
  <c r="S492" i="31"/>
  <c r="S491" i="31"/>
  <c r="S490" i="31"/>
  <c r="S489" i="31"/>
  <c r="S488" i="31"/>
  <c r="S487" i="31"/>
  <c r="S486" i="31"/>
  <c r="S484" i="31"/>
  <c r="S483" i="31"/>
  <c r="S482" i="31"/>
  <c r="S481" i="31"/>
  <c r="S480" i="31"/>
  <c r="S479" i="31"/>
  <c r="S478" i="31"/>
  <c r="S477" i="31"/>
  <c r="S476" i="31"/>
  <c r="S475" i="31"/>
  <c r="S474" i="31"/>
  <c r="S472" i="31"/>
  <c r="S471" i="31"/>
  <c r="S470" i="31"/>
  <c r="S469" i="31"/>
  <c r="S468" i="31"/>
  <c r="S444" i="31"/>
  <c r="S443" i="31"/>
  <c r="S442" i="31"/>
  <c r="S441" i="31"/>
  <c r="S440" i="31"/>
  <c r="S439" i="31"/>
  <c r="S438" i="31"/>
  <c r="S436" i="31"/>
  <c r="S435" i="31"/>
  <c r="S434" i="31"/>
  <c r="S433" i="31"/>
  <c r="S432" i="31"/>
  <c r="S431" i="31"/>
  <c r="S430" i="31"/>
  <c r="S122" i="31"/>
  <c r="S121" i="31"/>
  <c r="S120" i="31"/>
  <c r="S119" i="31"/>
  <c r="S118" i="31"/>
  <c r="S117" i="31"/>
  <c r="S116" i="31"/>
  <c r="S115" i="31"/>
  <c r="S113" i="31"/>
  <c r="S112" i="31"/>
  <c r="S506" i="31"/>
  <c r="S504" i="31"/>
  <c r="S502" i="31"/>
  <c r="S500" i="31"/>
  <c r="S498" i="31"/>
  <c r="S467" i="31"/>
  <c r="S466" i="31"/>
  <c r="S465" i="31"/>
  <c r="S464" i="31"/>
  <c r="S463" i="31"/>
  <c r="S462" i="31"/>
  <c r="S460" i="31"/>
  <c r="S459" i="31"/>
  <c r="S458" i="31"/>
  <c r="S457" i="31"/>
  <c r="S456" i="31"/>
  <c r="S455" i="31"/>
  <c r="S454" i="31"/>
  <c r="S453" i="31"/>
  <c r="S452" i="31"/>
  <c r="S451" i="31"/>
  <c r="S450" i="31"/>
  <c r="S53" i="31"/>
  <c r="S52" i="31"/>
  <c r="S51" i="31"/>
  <c r="S50" i="31"/>
  <c r="S49" i="31"/>
  <c r="S48" i="31"/>
  <c r="S47" i="31"/>
  <c r="S46" i="31"/>
  <c r="S45" i="31"/>
  <c r="S44" i="31"/>
  <c r="S43" i="31"/>
  <c r="S41" i="31"/>
  <c r="S40" i="31"/>
  <c r="S39" i="31"/>
  <c r="S38" i="31"/>
  <c r="S37" i="31"/>
  <c r="S36" i="31"/>
  <c r="S35" i="31"/>
  <c r="S34" i="31"/>
  <c r="S33" i="31"/>
  <c r="S32" i="31"/>
  <c r="S77" i="31"/>
  <c r="S76" i="31"/>
  <c r="S75" i="31"/>
  <c r="S74" i="31"/>
  <c r="S73" i="31"/>
  <c r="S72" i="31"/>
  <c r="S71" i="31"/>
  <c r="S70" i="31"/>
  <c r="S69" i="31"/>
  <c r="S68" i="31"/>
  <c r="S67" i="31"/>
  <c r="S65" i="31"/>
  <c r="S64" i="31"/>
  <c r="S63" i="31"/>
  <c r="S62" i="31"/>
  <c r="S61" i="31"/>
  <c r="S60" i="31"/>
  <c r="S59" i="31"/>
  <c r="S58" i="31"/>
  <c r="S57" i="31"/>
  <c r="S56" i="31"/>
  <c r="S55" i="31"/>
  <c r="S24" i="31"/>
  <c r="S97" i="31"/>
  <c r="S96" i="31"/>
  <c r="S95" i="31"/>
  <c r="S94" i="31"/>
  <c r="S93" i="31"/>
  <c r="S92" i="31"/>
  <c r="S91" i="31"/>
  <c r="S89" i="31"/>
  <c r="S88" i="31"/>
  <c r="S87" i="31"/>
  <c r="S86" i="31"/>
  <c r="S85" i="31"/>
  <c r="S84" i="31"/>
  <c r="S83" i="31"/>
  <c r="S82"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s="1"/>
  <c r="I44" i="35"/>
  <c r="J44" i="35" s="1"/>
  <c r="G44" i="35"/>
  <c r="H44" i="35" s="1"/>
  <c r="E44" i="35"/>
  <c r="F44" i="35" s="1"/>
  <c r="I54" i="33"/>
  <c r="J54" i="33" s="1"/>
  <c r="G54" i="33"/>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A494" i="3" s="1"/>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A495" i="3" s="1"/>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A497" i="3" s="1"/>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A502" i="3" s="1"/>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A511" i="3" s="1"/>
  <c r="BM511" i="3"/>
  <c r="BL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A513" i="3" s="1"/>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A516" i="3" s="1"/>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H519" i="3"/>
  <c r="BI519" i="3"/>
  <c r="BJ519" i="3"/>
  <c r="BK519" i="3"/>
  <c r="BA519" i="3" s="1"/>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L520" i="3" s="1"/>
  <c r="AZ520" i="3" s="1"/>
  <c r="BR520" i="3"/>
  <c r="BS520" i="3"/>
  <c r="BT520" i="3"/>
  <c r="H521" i="3"/>
  <c r="BB521" i="3"/>
  <c r="BC521" i="3"/>
  <c r="BD521" i="3"/>
  <c r="BE521" i="3"/>
  <c r="BF521" i="3"/>
  <c r="BG521" i="3"/>
  <c r="BH521" i="3"/>
  <c r="BI521" i="3"/>
  <c r="BA521" i="3" s="1"/>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A523" i="3" s="1"/>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L528" i="3" s="1"/>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A532" i="3" s="1"/>
  <c r="AZ532" i="3" s="1"/>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A534" i="3" s="1"/>
  <c r="AZ534" i="3" s="1"/>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L535" i="3" s="1"/>
  <c r="AZ535" i="3" s="1"/>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A537" i="3" s="1"/>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A540" i="3" s="1"/>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A556" i="3" s="1"/>
  <c r="AZ556" i="3" s="1"/>
  <c r="BM556" i="3"/>
  <c r="BL556" i="3" s="1"/>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AZ560" i="3" s="1"/>
  <c r="BF560" i="3"/>
  <c r="BG560" i="3"/>
  <c r="BH560" i="3"/>
  <c r="BI560" i="3"/>
  <c r="BJ560" i="3"/>
  <c r="BK560" i="3"/>
  <c r="BM560" i="3"/>
  <c r="BN560" i="3"/>
  <c r="BO560" i="3"/>
  <c r="BP560" i="3"/>
  <c r="BQ560" i="3"/>
  <c r="BR560" i="3"/>
  <c r="BL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A580" i="3" s="1"/>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6" i="39" s="1"/>
  <c r="J30" i="36"/>
  <c r="H30" i="36"/>
  <c r="F30" i="36"/>
  <c r="S30" i="36" s="1"/>
  <c r="C26" i="35"/>
  <c r="C79" i="35"/>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c r="I112" i="34" s="1"/>
  <c r="J112" i="34" s="1"/>
  <c r="K112" i="34"/>
  <c r="L112" i="34" s="1"/>
  <c r="M112" i="34" s="1"/>
  <c r="F40" i="33"/>
  <c r="S40" i="33" s="1"/>
  <c r="J41" i="33"/>
  <c r="D113" i="33"/>
  <c r="F37" i="33"/>
  <c r="D111" i="33"/>
  <c r="E111" i="33" s="1"/>
  <c r="F111" i="33" s="1"/>
  <c r="S515" i="31"/>
  <c r="S516" i="31"/>
  <c r="S517" i="31"/>
  <c r="S518" i="31"/>
  <c r="S519" i="31"/>
  <c r="S520"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Q38" i="40"/>
  <c r="Z38" i="40" s="1"/>
  <c r="J38" i="40"/>
  <c r="AC38" i="40" s="1"/>
  <c r="Q37" i="40"/>
  <c r="Z37" i="40" s="1"/>
  <c r="Q36" i="40"/>
  <c r="Z36" i="40"/>
  <c r="Q35" i="40"/>
  <c r="Z35" i="40"/>
  <c r="Q34" i="40"/>
  <c r="Z34" i="40"/>
  <c r="J34" i="40"/>
  <c r="AC34" i="40"/>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c r="Q15" i="40"/>
  <c r="Z15" i="40" s="1"/>
  <c r="Q14" i="40"/>
  <c r="Z14" i="40" s="1"/>
  <c r="Q13" i="40"/>
  <c r="Z13" i="40"/>
  <c r="Q12" i="40"/>
  <c r="Z12" i="40"/>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c r="Q36" i="39"/>
  <c r="Z36" i="39"/>
  <c r="Q37" i="39"/>
  <c r="Z37" i="39"/>
  <c r="B131" i="39"/>
  <c r="H45" i="39" s="1"/>
  <c r="B129" i="39"/>
  <c r="B127" i="39"/>
  <c r="J43" i="39"/>
  <c r="D126" i="39"/>
  <c r="E126" i="39" s="1"/>
  <c r="F126" i="39" s="1"/>
  <c r="G126" i="39" s="1"/>
  <c r="H126" i="39" s="1"/>
  <c r="I126" i="39" s="1"/>
  <c r="J126" i="39" s="1"/>
  <c r="K126" i="39" s="1"/>
  <c r="L126" i="39" s="1"/>
  <c r="M126" i="39" s="1"/>
  <c r="D122" i="39"/>
  <c r="E122" i="39" s="1"/>
  <c r="F122" i="39" s="1"/>
  <c r="G122" i="39"/>
  <c r="H122" i="39" s="1"/>
  <c r="I122" i="39" s="1"/>
  <c r="J122" i="39" s="1"/>
  <c r="K122" i="39" s="1"/>
  <c r="L122" i="39" s="1"/>
  <c r="M122" i="39" s="1"/>
  <c r="B104" i="39"/>
  <c r="D97" i="39"/>
  <c r="J23" i="39"/>
  <c r="AC23" i="39" s="1"/>
  <c r="D95" i="39"/>
  <c r="E95" i="39"/>
  <c r="F95" i="39" s="1"/>
  <c r="D93" i="39"/>
  <c r="E93" i="39" s="1"/>
  <c r="F93" i="39"/>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Q35" i="39"/>
  <c r="Z35" i="39" s="1"/>
  <c r="Q34" i="39"/>
  <c r="Z34" i="39" s="1"/>
  <c r="Q32" i="39"/>
  <c r="Z32" i="39" s="1"/>
  <c r="Q31" i="39"/>
  <c r="Z31" i="39" s="1"/>
  <c r="Q27" i="39"/>
  <c r="Z27" i="39"/>
  <c r="Q25" i="39"/>
  <c r="Z25" i="39"/>
  <c r="Q23" i="39"/>
  <c r="Z23" i="39" s="1"/>
  <c r="Q21" i="39"/>
  <c r="Z21" i="39" s="1"/>
  <c r="Q19" i="39"/>
  <c r="Z19" i="39"/>
  <c r="Q17" i="39"/>
  <c r="Z17" i="39"/>
  <c r="Q15" i="39"/>
  <c r="Z15" i="39" s="1"/>
  <c r="Q14" i="39"/>
  <c r="Z14" i="39"/>
  <c r="Q13" i="39"/>
  <c r="Z13" i="39" s="1"/>
  <c r="Q12" i="39"/>
  <c r="Z12" i="39" s="1"/>
  <c r="Q11" i="39"/>
  <c r="Z11" i="39" s="1"/>
  <c r="Q10" i="39"/>
  <c r="Z10" i="39" s="1"/>
  <c r="Q9" i="39"/>
  <c r="Z9" i="39" s="1"/>
  <c r="J9" i="39"/>
  <c r="AC9" i="39"/>
  <c r="H9" i="39"/>
  <c r="AB9" i="39" s="1"/>
  <c r="F9" i="39"/>
  <c r="AA9" i="39" s="1"/>
  <c r="J8" i="39"/>
  <c r="AC8" i="39" s="1"/>
  <c r="H8" i="39"/>
  <c r="AB8" i="39" s="1"/>
  <c r="F8" i="39"/>
  <c r="AA8" i="39" s="1"/>
  <c r="C20" i="36"/>
  <c r="C20" i="35"/>
  <c r="C16" i="36"/>
  <c r="C16" i="35"/>
  <c r="C14" i="36"/>
  <c r="C14" i="35"/>
  <c r="B80" i="37"/>
  <c r="J25" i="37" s="1"/>
  <c r="AC25" i="37" s="1"/>
  <c r="B110" i="37"/>
  <c r="J39" i="37" s="1"/>
  <c r="AC39" i="37" s="1"/>
  <c r="B108" i="37"/>
  <c r="F38" i="37" s="1"/>
  <c r="S38" i="37" s="1"/>
  <c r="C23" i="37"/>
  <c r="C19" i="37"/>
  <c r="C17" i="37"/>
  <c r="C15" i="37"/>
  <c r="B112" i="37"/>
  <c r="D107" i="37"/>
  <c r="E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J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c r="Q27" i="37"/>
  <c r="Z27" i="37" s="1"/>
  <c r="Q26" i="37"/>
  <c r="Z26" i="37" s="1"/>
  <c r="F26" i="37"/>
  <c r="AA26" i="37" s="1"/>
  <c r="Q25" i="37"/>
  <c r="Z25" i="37"/>
  <c r="Q23" i="37"/>
  <c r="Z23" i="37" s="1"/>
  <c r="Q19" i="37"/>
  <c r="Z19" i="37" s="1"/>
  <c r="Q17" i="37"/>
  <c r="Z17" i="37" s="1"/>
  <c r="Q15" i="37"/>
  <c r="Z15" i="37"/>
  <c r="Q14" i="37"/>
  <c r="Z14" i="37" s="1"/>
  <c r="Q13" i="37"/>
  <c r="Z13" i="37" s="1"/>
  <c r="Q12" i="37"/>
  <c r="Z12" i="37" s="1"/>
  <c r="Q11" i="37"/>
  <c r="Z11" i="37" s="1"/>
  <c r="Q10" i="37"/>
  <c r="Z10" i="37" s="1"/>
  <c r="F10" i="37"/>
  <c r="S10" i="37" s="1"/>
  <c r="Q9" i="37"/>
  <c r="Z9" i="37" s="1"/>
  <c r="J8" i="37"/>
  <c r="W8" i="37" s="1"/>
  <c r="H8" i="37"/>
  <c r="AB8" i="37"/>
  <c r="F8" i="37"/>
  <c r="S8" i="37" s="1"/>
  <c r="J31" i="36"/>
  <c r="H31" i="36"/>
  <c r="U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s="1"/>
  <c r="F62" i="36" s="1"/>
  <c r="G62" i="36" s="1"/>
  <c r="B59" i="36"/>
  <c r="B57" i="36"/>
  <c r="B55" i="36"/>
  <c r="F54" i="36"/>
  <c r="G54" i="36" s="1"/>
  <c r="H54" i="36"/>
  <c r="I54" i="36" s="1"/>
  <c r="C51" i="36"/>
  <c r="J9" i="36" s="1"/>
  <c r="AC9" i="36" s="1"/>
  <c r="P37" i="36"/>
  <c r="P36" i="36"/>
  <c r="V35" i="36"/>
  <c r="T35" i="36"/>
  <c r="R35" i="36"/>
  <c r="P35" i="36"/>
  <c r="Q34" i="36"/>
  <c r="Z34" i="36" s="1"/>
  <c r="Q33" i="36"/>
  <c r="Z33" i="36"/>
  <c r="Q32" i="36"/>
  <c r="Z32" i="36" s="1"/>
  <c r="Q31" i="36"/>
  <c r="Z31" i="36" s="1"/>
  <c r="Q30" i="36"/>
  <c r="Z30" i="36"/>
  <c r="AC30" i="36"/>
  <c r="Q29" i="36"/>
  <c r="Z29" i="36"/>
  <c r="Q28" i="36"/>
  <c r="Z28" i="36" s="1"/>
  <c r="J28" i="36"/>
  <c r="W28" i="36" s="1"/>
  <c r="Q27" i="36"/>
  <c r="Z27" i="36" s="1"/>
  <c r="Q26" i="36"/>
  <c r="Z26" i="36" s="1"/>
  <c r="H26" i="36"/>
  <c r="AB26" i="36" s="1"/>
  <c r="Q25" i="36"/>
  <c r="Z25" i="36" s="1"/>
  <c r="Q24" i="36"/>
  <c r="Z24" i="36" s="1"/>
  <c r="Q23" i="36"/>
  <c r="Z23" i="36" s="1"/>
  <c r="H23" i="36"/>
  <c r="AB23" i="36"/>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U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B59" i="35"/>
  <c r="B131" i="34"/>
  <c r="B129" i="34"/>
  <c r="B127" i="34"/>
  <c r="B99" i="34"/>
  <c r="J32" i="34" s="1"/>
  <c r="W32" i="34" s="1"/>
  <c r="B97" i="34"/>
  <c r="B95" i="34"/>
  <c r="B93" i="34"/>
  <c r="B75" i="34"/>
  <c r="B73" i="34"/>
  <c r="B71" i="34"/>
  <c r="F12" i="34" s="1"/>
  <c r="B130" i="33"/>
  <c r="B128" i="33"/>
  <c r="B126" i="33"/>
  <c r="B98" i="33"/>
  <c r="B96" i="33"/>
  <c r="B94" i="33"/>
  <c r="J29" i="33" s="1"/>
  <c r="B74" i="33"/>
  <c r="B72" i="33"/>
  <c r="J13" i="33" s="1"/>
  <c r="B70" i="33"/>
  <c r="H12" i="33" s="1"/>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c r="Q34" i="35"/>
  <c r="Z34" i="35" s="1"/>
  <c r="J34" i="35"/>
  <c r="Q33" i="35"/>
  <c r="Z33" i="35" s="1"/>
  <c r="Q32" i="35"/>
  <c r="Z32" i="35" s="1"/>
  <c r="H32" i="35"/>
  <c r="AB32" i="35" s="1"/>
  <c r="F32" i="35"/>
  <c r="AA32" i="35"/>
  <c r="Q31" i="35"/>
  <c r="Z31" i="35" s="1"/>
  <c r="AC31" i="35"/>
  <c r="Q30" i="35"/>
  <c r="Z30" i="35" s="1"/>
  <c r="Q29" i="35"/>
  <c r="Z29" i="35"/>
  <c r="Q28" i="35"/>
  <c r="Z28" i="35" s="1"/>
  <c r="J28" i="35"/>
  <c r="AC28" i="35"/>
  <c r="H28" i="35"/>
  <c r="AB28" i="35"/>
  <c r="F28" i="35"/>
  <c r="AA28" i="35" s="1"/>
  <c r="Q27" i="35"/>
  <c r="Z27" i="35" s="1"/>
  <c r="Q26" i="35"/>
  <c r="Z26" i="35"/>
  <c r="Q25" i="35"/>
  <c r="Z25" i="35"/>
  <c r="Q24" i="35"/>
  <c r="Z24" i="35" s="1"/>
  <c r="Q23" i="35"/>
  <c r="Z23" i="35"/>
  <c r="Q22" i="35"/>
  <c r="Z22" i="35" s="1"/>
  <c r="Q20" i="35"/>
  <c r="Z20" i="35" s="1"/>
  <c r="Q16" i="35"/>
  <c r="Z16" i="35" s="1"/>
  <c r="Q14" i="35"/>
  <c r="Z14" i="35"/>
  <c r="Q13" i="35"/>
  <c r="Z13" i="35" s="1"/>
  <c r="Q12" i="35"/>
  <c r="Z12" i="35" s="1"/>
  <c r="Q11" i="35"/>
  <c r="Z11" i="35"/>
  <c r="Q10" i="35"/>
  <c r="Z10" i="35"/>
  <c r="Q9" i="35"/>
  <c r="Z9" i="35" s="1"/>
  <c r="J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c r="K124" i="34" s="1"/>
  <c r="L124" i="34" s="1"/>
  <c r="M124" i="34" s="1"/>
  <c r="H43" i="34"/>
  <c r="AB43" i="34" s="1"/>
  <c r="D118" i="34"/>
  <c r="E118" i="34" s="1"/>
  <c r="F118" i="34" s="1"/>
  <c r="G118" i="34" s="1"/>
  <c r="D116" i="34"/>
  <c r="E116" i="34"/>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c r="Q44" i="34"/>
  <c r="Z44" i="34" s="1"/>
  <c r="Q43" i="34"/>
  <c r="Z43" i="34" s="1"/>
  <c r="Q42" i="34"/>
  <c r="Z42" i="34" s="1"/>
  <c r="Q41" i="34"/>
  <c r="Z41" i="34" s="1"/>
  <c r="Q40" i="34"/>
  <c r="Z40" i="34"/>
  <c r="Q39" i="34"/>
  <c r="Z39" i="34" s="1"/>
  <c r="H39" i="34"/>
  <c r="AB39" i="34" s="1"/>
  <c r="Q38" i="34"/>
  <c r="Z38" i="34"/>
  <c r="Q37" i="34"/>
  <c r="Z37" i="34" s="1"/>
  <c r="Q36" i="34"/>
  <c r="Z36" i="34" s="1"/>
  <c r="Q35" i="34"/>
  <c r="Z35" i="34" s="1"/>
  <c r="Q34" i="34"/>
  <c r="Z34" i="34" s="1"/>
  <c r="J34" i="34"/>
  <c r="AC34" i="34" s="1"/>
  <c r="H34" i="34"/>
  <c r="U34" i="34" s="1"/>
  <c r="AB34" i="34"/>
  <c r="F34" i="34"/>
  <c r="AA34" i="34" s="1"/>
  <c r="Q33" i="34"/>
  <c r="Z33" i="34" s="1"/>
  <c r="Q32" i="34"/>
  <c r="Z32" i="34"/>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c r="J12" i="34"/>
  <c r="W12" i="34" s="1"/>
  <c r="H12" i="34"/>
  <c r="Q11" i="34"/>
  <c r="Z11" i="34" s="1"/>
  <c r="Q10" i="34"/>
  <c r="Z10" i="34"/>
  <c r="F10" i="34"/>
  <c r="AA10" i="34" s="1"/>
  <c r="Q9" i="34"/>
  <c r="Z9" i="34" s="1"/>
  <c r="H9" i="34"/>
  <c r="J8" i="34"/>
  <c r="AC8" i="34" s="1"/>
  <c r="H8" i="34"/>
  <c r="U8" i="34"/>
  <c r="F8" i="34"/>
  <c r="D121" i="33"/>
  <c r="E121" i="33" s="1"/>
  <c r="F109" i="33"/>
  <c r="E109" i="33"/>
  <c r="D109" i="33"/>
  <c r="C109" i="33"/>
  <c r="D91" i="33"/>
  <c r="E91" i="33"/>
  <c r="B88" i="33"/>
  <c r="J26" i="33" s="1"/>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H27" i="33" s="1"/>
  <c r="D87" i="33"/>
  <c r="E87" i="33"/>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s="1"/>
  <c r="Q43" i="33"/>
  <c r="Z43" i="33" s="1"/>
  <c r="Q42" i="33"/>
  <c r="Z42" i="33" s="1"/>
  <c r="J42" i="33"/>
  <c r="AC42" i="33"/>
  <c r="AC41" i="33"/>
  <c r="W41" i="33"/>
  <c r="Q41" i="33"/>
  <c r="Z41" i="33" s="1"/>
  <c r="Q40" i="33"/>
  <c r="Z40" i="33" s="1"/>
  <c r="J40" i="33"/>
  <c r="AC40" i="33" s="1"/>
  <c r="H40" i="33"/>
  <c r="AB40" i="33" s="1"/>
  <c r="AA40" i="33"/>
  <c r="Q39" i="33"/>
  <c r="Z39" i="33" s="1"/>
  <c r="J39" i="33"/>
  <c r="Q38" i="33"/>
  <c r="Z38" i="33" s="1"/>
  <c r="J38" i="33"/>
  <c r="AC38" i="33" s="1"/>
  <c r="H38" i="33"/>
  <c r="AB38" i="33" s="1"/>
  <c r="F38" i="33"/>
  <c r="S38" i="33" s="1"/>
  <c r="Q37" i="33"/>
  <c r="Z37" i="33" s="1"/>
  <c r="Q36" i="33"/>
  <c r="Z36" i="33" s="1"/>
  <c r="Q35" i="33"/>
  <c r="Z35" i="33" s="1"/>
  <c r="H35" i="33"/>
  <c r="AB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1" i="43" s="1"/>
  <c r="G19" i="20"/>
  <c r="B88" i="43"/>
  <c r="G16" i="20"/>
  <c r="B85" i="43"/>
  <c r="G15" i="20"/>
  <c r="B84" i="43" s="1"/>
  <c r="C24" i="20"/>
  <c r="C21" i="20"/>
  <c r="C20" i="20"/>
  <c r="B102" i="43" s="1"/>
  <c r="B80" i="43"/>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B94" i="21"/>
  <c r="J29" i="21" s="1"/>
  <c r="AC29" i="21" s="1"/>
  <c r="B92" i="21"/>
  <c r="B90" i="21"/>
  <c r="B74" i="21"/>
  <c r="B72" i="21"/>
  <c r="H13" i="21"/>
  <c r="B70" i="21"/>
  <c r="C19" i="21"/>
  <c r="C17" i="21"/>
  <c r="C23" i="21"/>
  <c r="Q9" i="21"/>
  <c r="Z9" i="21" s="1"/>
  <c r="Q10" i="21"/>
  <c r="Z10" i="21" s="1"/>
  <c r="Q11" i="21"/>
  <c r="Z11" i="21" s="1"/>
  <c r="Q12" i="21"/>
  <c r="Z12" i="21"/>
  <c r="Q13" i="21"/>
  <c r="Z13" i="21" s="1"/>
  <c r="Q14" i="21"/>
  <c r="Z14" i="21" s="1"/>
  <c r="Q15" i="21"/>
  <c r="Z15" i="21" s="1"/>
  <c r="Q17" i="21"/>
  <c r="Z17" i="21" s="1"/>
  <c r="Q19" i="21"/>
  <c r="Z19" i="21"/>
  <c r="Q23" i="21"/>
  <c r="Z23" i="21"/>
  <c r="Q25" i="21"/>
  <c r="Z25" i="21" s="1"/>
  <c r="Q26" i="21"/>
  <c r="Z26" i="21" s="1"/>
  <c r="Q27" i="21"/>
  <c r="Z27" i="21" s="1"/>
  <c r="Q28" i="21"/>
  <c r="Z28" i="21" s="1"/>
  <c r="Q29" i="21"/>
  <c r="Z29" i="21" s="1"/>
  <c r="Q30" i="21"/>
  <c r="Z30" i="21" s="1"/>
  <c r="Q31" i="21"/>
  <c r="Z31" i="21"/>
  <c r="Q32" i="21"/>
  <c r="Z32" i="21" s="1"/>
  <c r="Q33" i="21"/>
  <c r="Z33" i="21" s="1"/>
  <c r="Q34" i="21"/>
  <c r="Z34" i="21"/>
  <c r="J35" i="21"/>
  <c r="W35" i="21" s="1"/>
  <c r="Q35" i="21"/>
  <c r="Z35" i="21"/>
  <c r="Q36" i="21"/>
  <c r="Z36" i="21"/>
  <c r="Q37" i="21"/>
  <c r="Z37" i="21"/>
  <c r="J38" i="21"/>
  <c r="W38" i="21" s="1"/>
  <c r="Q38" i="21"/>
  <c r="Z38" i="21" s="1"/>
  <c r="J39" i="21"/>
  <c r="AC39" i="21" s="1"/>
  <c r="Q39" i="21"/>
  <c r="Z39" i="21" s="1"/>
  <c r="H40" i="21"/>
  <c r="AB40" i="21" s="1"/>
  <c r="Q40" i="21"/>
  <c r="Z40" i="21"/>
  <c r="Q41" i="21"/>
  <c r="Z41" i="21" s="1"/>
  <c r="Q42" i="21"/>
  <c r="Z42" i="21" s="1"/>
  <c r="J43" i="21"/>
  <c r="AC43" i="2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E8" i="6" s="1"/>
  <c r="F27" i="6" s="1"/>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c r="J34" i="21"/>
  <c r="W34" i="21"/>
  <c r="H36" i="21"/>
  <c r="U36" i="21" s="1"/>
  <c r="F35" i="21"/>
  <c r="AA35" i="21"/>
  <c r="J10" i="21"/>
  <c r="AC10" i="21" s="1"/>
  <c r="H26" i="21"/>
  <c r="AB26" i="21"/>
  <c r="AB19" i="21"/>
  <c r="J19" i="21"/>
  <c r="W19" i="21" s="1"/>
  <c r="J26" i="21"/>
  <c r="W26" i="21" s="1"/>
  <c r="F26" i="21"/>
  <c r="S26" i="21" s="1"/>
  <c r="AB41" i="21"/>
  <c r="S41" i="21"/>
  <c r="AA41" i="21"/>
  <c r="F45" i="39"/>
  <c r="S45" i="39" s="1"/>
  <c r="J45" i="39"/>
  <c r="W45" i="39" s="1"/>
  <c r="J44" i="39"/>
  <c r="H36" i="39"/>
  <c r="AB36" i="39" s="1"/>
  <c r="J35" i="39"/>
  <c r="AC35" i="39"/>
  <c r="F35" i="39"/>
  <c r="AA35" i="39" s="1"/>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AA31" i="36"/>
  <c r="AC31" i="36"/>
  <c r="W31" i="36"/>
  <c r="H22" i="35"/>
  <c r="AB22" i="35" s="1"/>
  <c r="AC27" i="35"/>
  <c r="W28" i="35"/>
  <c r="U31" i="35"/>
  <c r="W22" i="35"/>
  <c r="F36" i="34"/>
  <c r="J35" i="34"/>
  <c r="S34" i="34"/>
  <c r="H39" i="33"/>
  <c r="AB39" i="33" s="1"/>
  <c r="F26" i="33"/>
  <c r="U35" i="33"/>
  <c r="H39" i="37"/>
  <c r="AB39" i="37" s="1"/>
  <c r="S27" i="35"/>
  <c r="F11" i="40"/>
  <c r="AA11" i="40" s="1"/>
  <c r="H11" i="40"/>
  <c r="AB11" i="40"/>
  <c r="W8" i="40"/>
  <c r="AA9" i="40"/>
  <c r="U9" i="40"/>
  <c r="S34" i="40"/>
  <c r="W31" i="40"/>
  <c r="U34" i="40"/>
  <c r="F42" i="39"/>
  <c r="AA42" i="39" s="1"/>
  <c r="F41" i="39"/>
  <c r="S41" i="39" s="1"/>
  <c r="H40" i="39"/>
  <c r="H39" i="39"/>
  <c r="U39" i="39" s="1"/>
  <c r="S34" i="39"/>
  <c r="H34" i="39"/>
  <c r="U34" i="39" s="1"/>
  <c r="H31" i="39"/>
  <c r="AB31" i="39" s="1"/>
  <c r="F31" i="39"/>
  <c r="AA31" i="39"/>
  <c r="E101" i="39"/>
  <c r="F101" i="39" s="1"/>
  <c r="G10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U34" i="21"/>
  <c r="S34" i="21"/>
  <c r="C25" i="39"/>
  <c r="C27" i="39"/>
  <c r="H11" i="39"/>
  <c r="C15" i="39"/>
  <c r="H32" i="33"/>
  <c r="H11" i="21"/>
  <c r="J11" i="21"/>
  <c r="W11" i="21"/>
  <c r="H37" i="40"/>
  <c r="U37" i="40" s="1"/>
  <c r="H36" i="40"/>
  <c r="AB36" i="40"/>
  <c r="F35" i="40"/>
  <c r="AA35" i="40" s="1"/>
  <c r="H23" i="40"/>
  <c r="AB23" i="40" s="1"/>
  <c r="H17" i="40"/>
  <c r="U17" i="40" s="1"/>
  <c r="J15" i="40"/>
  <c r="W15" i="40" s="1"/>
  <c r="J11" i="40"/>
  <c r="W11" i="40"/>
  <c r="AC12" i="34"/>
  <c r="W32" i="40"/>
  <c r="F37" i="39"/>
  <c r="AA37" i="39" s="1"/>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24" i="36"/>
  <c r="AA24" i="36" s="1"/>
  <c r="F34" i="36"/>
  <c r="S34" i="36" s="1"/>
  <c r="AB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U42" i="34"/>
  <c r="H40" i="34"/>
  <c r="U40" i="34"/>
  <c r="E114" i="34"/>
  <c r="F114" i="34" s="1"/>
  <c r="G114" i="34" s="1"/>
  <c r="H114" i="34" s="1"/>
  <c r="I114" i="34" s="1"/>
  <c r="J114" i="34" s="1"/>
  <c r="K114" i="34" s="1"/>
  <c r="L114" i="34" s="1"/>
  <c r="M114" i="34" s="1"/>
  <c r="H36" i="34"/>
  <c r="U36" i="34" s="1"/>
  <c r="F37" i="34"/>
  <c r="AA37" i="34" s="1"/>
  <c r="S35" i="34"/>
  <c r="AA28" i="34"/>
  <c r="F27" i="34"/>
  <c r="AA27" i="34"/>
  <c r="F25" i="34"/>
  <c r="S25" i="34"/>
  <c r="H23" i="34"/>
  <c r="U23" i="34" s="1"/>
  <c r="J23" i="34"/>
  <c r="F19" i="34"/>
  <c r="H17" i="34"/>
  <c r="U17" i="34" s="1"/>
  <c r="F15" i="34"/>
  <c r="J15" i="34"/>
  <c r="W15" i="34" s="1"/>
  <c r="H15" i="34"/>
  <c r="AB15" i="34" s="1"/>
  <c r="W8" i="34"/>
  <c r="J28" i="34"/>
  <c r="F41" i="33"/>
  <c r="AA41" i="33" s="1"/>
  <c r="E113" i="33"/>
  <c r="F113" i="33" s="1"/>
  <c r="G113" i="33" s="1"/>
  <c r="H113" i="33" s="1"/>
  <c r="I113" i="33" s="1"/>
  <c r="J113" i="33" s="1"/>
  <c r="K113" i="33" s="1"/>
  <c r="L113" i="33" s="1"/>
  <c r="M113" i="33" s="1"/>
  <c r="F32" i="33"/>
  <c r="AA32" i="33" s="1"/>
  <c r="J19" i="33"/>
  <c r="AC19" i="33"/>
  <c r="J15" i="33"/>
  <c r="AC15" i="33"/>
  <c r="F11" i="33"/>
  <c r="AA11" i="33" s="1"/>
  <c r="W40" i="33"/>
  <c r="U8" i="33"/>
  <c r="S8" i="33"/>
  <c r="F37" i="40"/>
  <c r="AA37" i="40" s="1"/>
  <c r="F36" i="40"/>
  <c r="AA36" i="40" s="1"/>
  <c r="H28" i="40"/>
  <c r="U28" i="40"/>
  <c r="F23" i="40"/>
  <c r="AA23" i="40" s="1"/>
  <c r="F17" i="40"/>
  <c r="AA17" i="40" s="1"/>
  <c r="J17" i="40"/>
  <c r="W17" i="40" s="1"/>
  <c r="F15" i="40"/>
  <c r="H15" i="40"/>
  <c r="AB15" i="40" s="1"/>
  <c r="AC11" i="40"/>
  <c r="AB30" i="36"/>
  <c r="U33" i="35"/>
  <c r="F29" i="35"/>
  <c r="S29" i="35" s="1"/>
  <c r="H29" i="35"/>
  <c r="AB29" i="35"/>
  <c r="H33" i="37"/>
  <c r="AB33" i="37"/>
  <c r="F33" i="37"/>
  <c r="AA33" i="37" s="1"/>
  <c r="U34" i="37"/>
  <c r="S34" i="37"/>
  <c r="AA34" i="37"/>
  <c r="J43" i="34"/>
  <c r="AB42" i="34"/>
  <c r="J40" i="34"/>
  <c r="H38" i="34"/>
  <c r="AB38" i="34" s="1"/>
  <c r="J36" i="34"/>
  <c r="W36" i="34" s="1"/>
  <c r="H37" i="34"/>
  <c r="U37" i="34" s="1"/>
  <c r="H25" i="34"/>
  <c r="J25" i="34"/>
  <c r="AC25" i="34" s="1"/>
  <c r="F23" i="34"/>
  <c r="AA23" i="34"/>
  <c r="J19" i="34"/>
  <c r="AC19" i="34" s="1"/>
  <c r="F17" i="34"/>
  <c r="AA17" i="34"/>
  <c r="J17" i="34"/>
  <c r="W17" i="34" s="1"/>
  <c r="AB17" i="34"/>
  <c r="AA15" i="34"/>
  <c r="S15" i="34"/>
  <c r="H37" i="33"/>
  <c r="H15" i="33"/>
  <c r="AB15" i="33" s="1"/>
  <c r="H11" i="33"/>
  <c r="AB11" i="33"/>
  <c r="F28" i="40"/>
  <c r="AA28" i="40" s="1"/>
  <c r="AA29" i="35"/>
  <c r="AA42" i="34"/>
  <c r="S42" i="34"/>
  <c r="AC38" i="34"/>
  <c r="J37" i="34"/>
  <c r="J11" i="33"/>
  <c r="W11" i="33" s="1"/>
  <c r="S28" i="34"/>
  <c r="J42" i="21"/>
  <c r="AC42" i="21"/>
  <c r="H42" i="21"/>
  <c r="U42" i="21" s="1"/>
  <c r="J44" i="34"/>
  <c r="W44" i="34" s="1"/>
  <c r="F44" i="34"/>
  <c r="AA44" i="34" s="1"/>
  <c r="J10" i="35"/>
  <c r="W10" i="35" s="1"/>
  <c r="H30" i="21"/>
  <c r="U30" i="21" s="1"/>
  <c r="F30" i="21"/>
  <c r="S30" i="21" s="1"/>
  <c r="J30" i="21"/>
  <c r="AC30" i="21"/>
  <c r="J44" i="21"/>
  <c r="AC44" i="21" s="1"/>
  <c r="H44" i="21"/>
  <c r="U44" i="21"/>
  <c r="F44" i="21"/>
  <c r="AA44" i="21" s="1"/>
  <c r="E119" i="21"/>
  <c r="F119" i="21"/>
  <c r="G119" i="21" s="1"/>
  <c r="H119" i="21" s="1"/>
  <c r="I119" i="21" s="1"/>
  <c r="J119" i="21" s="1"/>
  <c r="K119" i="21" s="1"/>
  <c r="L119" i="21" s="1"/>
  <c r="M119" i="21" s="1"/>
  <c r="H26" i="33"/>
  <c r="U26" i="33" s="1"/>
  <c r="H28" i="33"/>
  <c r="U28" i="33" s="1"/>
  <c r="F28" i="33"/>
  <c r="AA28" i="33" s="1"/>
  <c r="F33" i="35"/>
  <c r="S33" i="35"/>
  <c r="J33" i="35"/>
  <c r="AC33" i="35" s="1"/>
  <c r="F30" i="35"/>
  <c r="S30" i="35" s="1"/>
  <c r="E89" i="35"/>
  <c r="F89" i="35" s="1"/>
  <c r="G89" i="35" s="1"/>
  <c r="H89" i="35" s="1"/>
  <c r="I89" i="35"/>
  <c r="J89" i="35" s="1"/>
  <c r="K89" i="35" s="1"/>
  <c r="L89" i="35" s="1"/>
  <c r="M89" i="35" s="1"/>
  <c r="H10" i="36"/>
  <c r="AB10" i="36" s="1"/>
  <c r="J14" i="36"/>
  <c r="AC14" i="36"/>
  <c r="H14" i="36"/>
  <c r="U14" i="36" s="1"/>
  <c r="F28" i="36"/>
  <c r="AA28" i="36"/>
  <c r="J13" i="21"/>
  <c r="AC13" i="21" s="1"/>
  <c r="H29" i="21"/>
  <c r="U29" i="21" s="1"/>
  <c r="J31" i="21"/>
  <c r="AC31" i="21"/>
  <c r="F31" i="21"/>
  <c r="S31" i="21" s="1"/>
  <c r="F27" i="33"/>
  <c r="AA27" i="33" s="1"/>
  <c r="H13" i="33"/>
  <c r="F13" i="33"/>
  <c r="S13" i="33" s="1"/>
  <c r="F29" i="33"/>
  <c r="S29" i="33" s="1"/>
  <c r="J31" i="33"/>
  <c r="W31" i="33" s="1"/>
  <c r="H31" i="33"/>
  <c r="F31" i="33"/>
  <c r="H45" i="33"/>
  <c r="U45" i="33" s="1"/>
  <c r="J45" i="33"/>
  <c r="W45" i="33" s="1"/>
  <c r="F45" i="33"/>
  <c r="AA45" i="33"/>
  <c r="H30" i="34"/>
  <c r="U30" i="34" s="1"/>
  <c r="F30" i="34"/>
  <c r="S30" i="34" s="1"/>
  <c r="J30" i="34"/>
  <c r="H32" i="34"/>
  <c r="U32" i="34" s="1"/>
  <c r="F32" i="34"/>
  <c r="H46" i="34"/>
  <c r="U46" i="34" s="1"/>
  <c r="F46" i="34"/>
  <c r="J46" i="34"/>
  <c r="H11" i="35"/>
  <c r="U11" i="35" s="1"/>
  <c r="J11" i="35"/>
  <c r="AC11" i="35" s="1"/>
  <c r="F11" i="35"/>
  <c r="S11" i="35" s="1"/>
  <c r="J26" i="36"/>
  <c r="W26" i="36" s="1"/>
  <c r="H28" i="36"/>
  <c r="U28" i="36" s="1"/>
  <c r="H32" i="36"/>
  <c r="AB32" i="36" s="1"/>
  <c r="J32" i="36"/>
  <c r="J11" i="36"/>
  <c r="AC11" i="36" s="1"/>
  <c r="H11" i="36"/>
  <c r="U11" i="36" s="1"/>
  <c r="F11" i="36"/>
  <c r="S11" i="36" s="1"/>
  <c r="AA11" i="36"/>
  <c r="H13" i="36"/>
  <c r="AB13" i="36" s="1"/>
  <c r="E89" i="37"/>
  <c r="F89" i="37" s="1"/>
  <c r="G89" i="37" s="1"/>
  <c r="H89" i="37" s="1"/>
  <c r="I89" i="37"/>
  <c r="J89" i="37" s="1"/>
  <c r="K89" i="37" s="1"/>
  <c r="L89" i="37" s="1"/>
  <c r="M89" i="37" s="1"/>
  <c r="J29" i="37"/>
  <c r="W29" i="37" s="1"/>
  <c r="F29" i="37"/>
  <c r="S29" i="37" s="1"/>
  <c r="F105" i="37"/>
  <c r="H36" i="37"/>
  <c r="AB36" i="37"/>
  <c r="F107" i="37"/>
  <c r="J37" i="37"/>
  <c r="AC37" i="37"/>
  <c r="H37" i="37"/>
  <c r="U37" i="37" s="1"/>
  <c r="H40" i="37"/>
  <c r="U40" i="37"/>
  <c r="J40" i="37"/>
  <c r="F40" i="37"/>
  <c r="AA40" i="37" s="1"/>
  <c r="H14" i="33"/>
  <c r="U14" i="33" s="1"/>
  <c r="F14" i="33"/>
  <c r="J14" i="33"/>
  <c r="H30" i="33"/>
  <c r="AB30" i="33" s="1"/>
  <c r="F30" i="33"/>
  <c r="J30" i="33"/>
  <c r="H44" i="33"/>
  <c r="J44" i="33"/>
  <c r="AC44" i="33" s="1"/>
  <c r="F44" i="33"/>
  <c r="S44" i="33" s="1"/>
  <c r="J46" i="33"/>
  <c r="AC46" i="33" s="1"/>
  <c r="F46" i="33"/>
  <c r="AA46" i="33"/>
  <c r="H46" i="33"/>
  <c r="AB46" i="33" s="1"/>
  <c r="H13" i="34"/>
  <c r="U13" i="34" s="1"/>
  <c r="J13" i="34"/>
  <c r="W13" i="34"/>
  <c r="F13" i="34"/>
  <c r="AA13" i="34" s="1"/>
  <c r="H29" i="34"/>
  <c r="AB29" i="34" s="1"/>
  <c r="J31" i="34"/>
  <c r="AC31" i="34" s="1"/>
  <c r="H31" i="34"/>
  <c r="U31" i="34" s="1"/>
  <c r="AB31" i="34"/>
  <c r="F31" i="34"/>
  <c r="S31" i="34" s="1"/>
  <c r="H45" i="34"/>
  <c r="U45" i="34" s="1"/>
  <c r="J45" i="34"/>
  <c r="W45" i="34" s="1"/>
  <c r="F45" i="34"/>
  <c r="S45" i="34" s="1"/>
  <c r="H47" i="34"/>
  <c r="U47" i="34"/>
  <c r="F47" i="34"/>
  <c r="S47" i="34" s="1"/>
  <c r="J47" i="34"/>
  <c r="AC47" i="34"/>
  <c r="F13" i="35"/>
  <c r="S13" i="35" s="1"/>
  <c r="J13" i="35"/>
  <c r="AC13" i="35"/>
  <c r="H13" i="35"/>
  <c r="U13" i="35" s="1"/>
  <c r="J25" i="35"/>
  <c r="W25" i="35"/>
  <c r="F25" i="35"/>
  <c r="S25" i="35"/>
  <c r="H25" i="35"/>
  <c r="AB25" i="35" s="1"/>
  <c r="J35" i="35"/>
  <c r="AC35" i="35" s="1"/>
  <c r="F35" i="35"/>
  <c r="AA35" i="35" s="1"/>
  <c r="H35" i="35"/>
  <c r="AB35" i="35" s="1"/>
  <c r="J25" i="36"/>
  <c r="W25" i="36"/>
  <c r="F25" i="36"/>
  <c r="S25" i="36"/>
  <c r="H25" i="36"/>
  <c r="AB25" i="36" s="1"/>
  <c r="H13" i="37"/>
  <c r="AB13" i="37" s="1"/>
  <c r="F13" i="37"/>
  <c r="S13" i="37"/>
  <c r="J13" i="37"/>
  <c r="W13" i="37" s="1"/>
  <c r="F28" i="37"/>
  <c r="AA28" i="37" s="1"/>
  <c r="J28" i="37"/>
  <c r="AC28" i="37"/>
  <c r="H28" i="37"/>
  <c r="U28" i="37"/>
  <c r="H38" i="37"/>
  <c r="AB38" i="37" s="1"/>
  <c r="J38" i="37"/>
  <c r="AC38" i="37" s="1"/>
  <c r="F43" i="39"/>
  <c r="AA43" i="39"/>
  <c r="H43" i="39"/>
  <c r="J14" i="39"/>
  <c r="AC14" i="39"/>
  <c r="F14" i="39"/>
  <c r="AA14" i="39" s="1"/>
  <c r="H14" i="39"/>
  <c r="AB14" i="39" s="1"/>
  <c r="F12" i="40"/>
  <c r="S12" i="40"/>
  <c r="H12" i="40"/>
  <c r="AB12" i="40" s="1"/>
  <c r="H30" i="40"/>
  <c r="AB30" i="40" s="1"/>
  <c r="F33" i="40"/>
  <c r="AA33" i="40"/>
  <c r="H33" i="40"/>
  <c r="U33" i="40" s="1"/>
  <c r="J35" i="40"/>
  <c r="AC35" i="40" s="1"/>
  <c r="J37" i="40"/>
  <c r="AC37" i="40" s="1"/>
  <c r="H13" i="40"/>
  <c r="U13" i="40" s="1"/>
  <c r="J13" i="40"/>
  <c r="W13" i="40" s="1"/>
  <c r="F13" i="40"/>
  <c r="AA13" i="40" s="1"/>
  <c r="F14" i="37"/>
  <c r="AA14" i="37" s="1"/>
  <c r="S14" i="37"/>
  <c r="F27" i="37"/>
  <c r="AA27" i="37" s="1"/>
  <c r="F13" i="39"/>
  <c r="J13" i="39"/>
  <c r="W13" i="39" s="1"/>
  <c r="H13" i="39"/>
  <c r="H14" i="40"/>
  <c r="U14" i="40" s="1"/>
  <c r="AB14" i="40"/>
  <c r="J14" i="40"/>
  <c r="W14" i="40"/>
  <c r="F14" i="40"/>
  <c r="AA14" i="40" s="1"/>
  <c r="J14" i="37"/>
  <c r="AC14" i="37" s="1"/>
  <c r="J36" i="37"/>
  <c r="AC36" i="37" s="1"/>
  <c r="G105" i="37"/>
  <c r="AB11" i="35"/>
  <c r="J10" i="36"/>
  <c r="AC10" i="36" s="1"/>
  <c r="AB26" i="33"/>
  <c r="AB30" i="21"/>
  <c r="W31" i="34"/>
  <c r="W11" i="35"/>
  <c r="AB46" i="34"/>
  <c r="S45" i="33"/>
  <c r="BA586" i="3"/>
  <c r="F17" i="21"/>
  <c r="AA17" i="21"/>
  <c r="H17" i="21"/>
  <c r="AB17" i="21" s="1"/>
  <c r="F15" i="21"/>
  <c r="S15" i="21" s="1"/>
  <c r="J41" i="39"/>
  <c r="W41" i="39" s="1"/>
  <c r="AC45" i="39"/>
  <c r="W35" i="39"/>
  <c r="U36" i="39"/>
  <c r="S35" i="39"/>
  <c r="G544" i="3"/>
  <c r="G536" i="3"/>
  <c r="G531" i="3"/>
  <c r="G528" i="3"/>
  <c r="G523" i="3"/>
  <c r="G518" i="3"/>
  <c r="G514" i="3"/>
  <c r="G510" i="3"/>
  <c r="G508" i="3"/>
  <c r="G504" i="3"/>
  <c r="G500" i="3"/>
  <c r="G496" i="3"/>
  <c r="G584" i="3"/>
  <c r="G576" i="3"/>
  <c r="G568" i="3"/>
  <c r="G560" i="3"/>
  <c r="G554" i="3"/>
  <c r="G550" i="3"/>
  <c r="BL584" i="3"/>
  <c r="BL568" i="3"/>
  <c r="BL564" i="3"/>
  <c r="BL538" i="3"/>
  <c r="BL534" i="3"/>
  <c r="BL526" i="3"/>
  <c r="BL522" i="3"/>
  <c r="BL516" i="3"/>
  <c r="AZ516" i="3" s="1"/>
  <c r="BL512" i="3"/>
  <c r="BL506" i="3"/>
  <c r="BL502" i="3"/>
  <c r="AZ502" i="3" s="1"/>
  <c r="BL582" i="3"/>
  <c r="BL574" i="3"/>
  <c r="BL566" i="3"/>
  <c r="BL552" i="3"/>
  <c r="BL544" i="3"/>
  <c r="BL540" i="3"/>
  <c r="AZ540" i="3" s="1"/>
  <c r="BL536" i="3"/>
  <c r="G533" i="3"/>
  <c r="G529" i="3"/>
  <c r="G525" i="3"/>
  <c r="BL510" i="3"/>
  <c r="BL504" i="3"/>
  <c r="BL500" i="3"/>
  <c r="AZ500" i="3" s="1"/>
  <c r="BL496" i="3"/>
  <c r="G493" i="3"/>
  <c r="BA572" i="3"/>
  <c r="BA564" i="3"/>
  <c r="AZ564" i="3" s="1"/>
  <c r="BA562" i="3"/>
  <c r="AZ562" i="3" s="1"/>
  <c r="BA558" i="3"/>
  <c r="BA536" i="3"/>
  <c r="AZ536" i="3" s="1"/>
  <c r="BA530" i="3"/>
  <c r="BA528" i="3"/>
  <c r="AZ528" i="3" s="1"/>
  <c r="BA526" i="3"/>
  <c r="AZ526" i="3" s="1"/>
  <c r="BA524" i="3"/>
  <c r="AZ524" i="3" s="1"/>
  <c r="BA518" i="3"/>
  <c r="AZ518" i="3" s="1"/>
  <c r="BA512" i="3"/>
  <c r="AZ512" i="3" s="1"/>
  <c r="BA510" i="3"/>
  <c r="BA508" i="3"/>
  <c r="BA506" i="3"/>
  <c r="BA504" i="3"/>
  <c r="BA498" i="3"/>
  <c r="BA496" i="3"/>
  <c r="AZ496" i="3" s="1"/>
  <c r="BA583" i="3"/>
  <c r="BA569" i="3"/>
  <c r="BA567" i="3"/>
  <c r="BA565" i="3"/>
  <c r="AZ565" i="3" s="1"/>
  <c r="BA563" i="3"/>
  <c r="BA561" i="3"/>
  <c r="AZ561" i="3" s="1"/>
  <c r="BA559" i="3"/>
  <c r="BA547" i="3"/>
  <c r="BA535" i="3"/>
  <c r="BA533" i="3"/>
  <c r="BA531" i="3"/>
  <c r="BA529" i="3"/>
  <c r="AZ529" i="3" s="1"/>
  <c r="BA527" i="3"/>
  <c r="BA517" i="3"/>
  <c r="AZ517" i="3" s="1"/>
  <c r="BA507" i="3"/>
  <c r="BA505" i="3"/>
  <c r="BA503" i="3"/>
  <c r="BA501" i="3"/>
  <c r="BA499" i="3"/>
  <c r="G579" i="3"/>
  <c r="G577" i="3"/>
  <c r="G575" i="3"/>
  <c r="G573" i="3"/>
  <c r="G571" i="3"/>
  <c r="G569" i="3"/>
  <c r="G563" i="3"/>
  <c r="G561" i="3"/>
  <c r="BL558" i="3"/>
  <c r="AC557" i="3"/>
  <c r="G557" i="3"/>
  <c r="BQ557" i="3"/>
  <c r="BL557" i="3" s="1"/>
  <c r="BQ583" i="3"/>
  <c r="BL583" i="3" s="1"/>
  <c r="BQ581" i="3"/>
  <c r="BQ579" i="3"/>
  <c r="BQ577" i="3"/>
  <c r="BL577" i="3"/>
  <c r="BQ575" i="3"/>
  <c r="BQ573" i="3"/>
  <c r="BQ571" i="3"/>
  <c r="BQ569" i="3"/>
  <c r="BL569" i="3"/>
  <c r="BQ567" i="3"/>
  <c r="BQ565" i="3"/>
  <c r="BL565" i="3"/>
  <c r="BQ563" i="3"/>
  <c r="BQ561" i="3"/>
  <c r="BL561" i="3" s="1"/>
  <c r="BQ559" i="3"/>
  <c r="BL559" i="3" s="1"/>
  <c r="AZ559" i="3" s="1"/>
  <c r="G553" i="3"/>
  <c r="G549" i="3"/>
  <c r="G545" i="3"/>
  <c r="G543" i="3"/>
  <c r="G541" i="3"/>
  <c r="G539" i="3"/>
  <c r="G537" i="3"/>
  <c r="BQ555" i="3"/>
  <c r="BQ553" i="3"/>
  <c r="BQ551" i="3"/>
  <c r="BL551" i="3"/>
  <c r="BQ549" i="3"/>
  <c r="BQ547" i="3"/>
  <c r="BQ545" i="3"/>
  <c r="BQ543" i="3"/>
  <c r="BQ541" i="3"/>
  <c r="BL541" i="3" s="1"/>
  <c r="AZ541" i="3" s="1"/>
  <c r="BQ539" i="3"/>
  <c r="BQ537" i="3"/>
  <c r="BL537" i="3" s="1"/>
  <c r="BQ535" i="3"/>
  <c r="BQ533" i="3"/>
  <c r="BQ531" i="3"/>
  <c r="BQ529" i="3"/>
  <c r="BL529" i="3" s="1"/>
  <c r="BQ527" i="3"/>
  <c r="BL527" i="3"/>
  <c r="AZ527" i="3" s="1"/>
  <c r="BQ525" i="3"/>
  <c r="BL525" i="3"/>
  <c r="BQ523" i="3"/>
  <c r="AC521" i="3"/>
  <c r="G521" i="3" s="1"/>
  <c r="BQ521" i="3"/>
  <c r="BL521" i="3" s="1"/>
  <c r="G519" i="3"/>
  <c r="G517" i="3"/>
  <c r="G515" i="3"/>
  <c r="G513" i="3"/>
  <c r="G511" i="3"/>
  <c r="BQ519" i="3"/>
  <c r="BQ517" i="3"/>
  <c r="BQ515" i="3"/>
  <c r="BL515" i="3" s="1"/>
  <c r="BQ513" i="3"/>
  <c r="BL513" i="3" s="1"/>
  <c r="BQ511" i="3"/>
  <c r="BA509" i="3"/>
  <c r="AC509" i="3"/>
  <c r="BQ509" i="3"/>
  <c r="BL509" i="3"/>
  <c r="BL508" i="3"/>
  <c r="G507" i="3"/>
  <c r="G505" i="3"/>
  <c r="G503" i="3"/>
  <c r="G501" i="3"/>
  <c r="G499" i="3"/>
  <c r="G497" i="3"/>
  <c r="G495" i="3"/>
  <c r="BQ507" i="3"/>
  <c r="BL507" i="3" s="1"/>
  <c r="AZ507" i="3" s="1"/>
  <c r="BQ505" i="3"/>
  <c r="BL505" i="3" s="1"/>
  <c r="BQ503" i="3"/>
  <c r="BL503" i="3" s="1"/>
  <c r="AZ503" i="3" s="1"/>
  <c r="BQ501" i="3"/>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c r="F39" i="33"/>
  <c r="AA39" i="33" s="1"/>
  <c r="E123" i="33"/>
  <c r="F123" i="33" s="1"/>
  <c r="F42" i="33"/>
  <c r="AA42" i="33"/>
  <c r="H28" i="34"/>
  <c r="AB28" i="34" s="1"/>
  <c r="F14" i="36"/>
  <c r="AA14" i="36" s="1"/>
  <c r="F22" i="36"/>
  <c r="S22" i="36" s="1"/>
  <c r="F26" i="36"/>
  <c r="S26" i="36"/>
  <c r="H27" i="34"/>
  <c r="AB27" i="34" s="1"/>
  <c r="H35" i="34"/>
  <c r="U35" i="34"/>
  <c r="F41" i="34"/>
  <c r="AA41" i="34" s="1"/>
  <c r="H41" i="34"/>
  <c r="U41" i="34"/>
  <c r="J41" i="34"/>
  <c r="AC41" i="34" s="1"/>
  <c r="F10" i="35"/>
  <c r="S10" i="35" s="1"/>
  <c r="F24" i="35"/>
  <c r="AA24" i="35" s="1"/>
  <c r="H24" i="35"/>
  <c r="AB24" i="35"/>
  <c r="H23" i="37"/>
  <c r="AB23" i="37" s="1"/>
  <c r="J32" i="37"/>
  <c r="AC32" i="37"/>
  <c r="F36" i="37"/>
  <c r="AA36" i="37" s="1"/>
  <c r="F37" i="37"/>
  <c r="AA37" i="37" s="1"/>
  <c r="F31" i="40"/>
  <c r="AA31" i="40" s="1"/>
  <c r="H31" i="40"/>
  <c r="AB31" i="40" s="1"/>
  <c r="F32" i="40"/>
  <c r="S32" i="40" s="1"/>
  <c r="H32" i="40"/>
  <c r="AB32" i="40"/>
  <c r="J36" i="40"/>
  <c r="W36" i="40" s="1"/>
  <c r="H19" i="37"/>
  <c r="AB19" i="37" s="1"/>
  <c r="G123" i="33"/>
  <c r="H123" i="33" s="1"/>
  <c r="I123" i="33" s="1"/>
  <c r="J123" i="33" s="1"/>
  <c r="K123" i="33" s="1"/>
  <c r="L123" i="33" s="1"/>
  <c r="M123" i="33" s="1"/>
  <c r="H42" i="33"/>
  <c r="AB42" i="33" s="1"/>
  <c r="J43" i="33"/>
  <c r="AC43" i="33" s="1"/>
  <c r="S28" i="31"/>
  <c r="S27" i="31"/>
  <c r="S26" i="31"/>
  <c r="U35" i="35"/>
  <c r="W14" i="37"/>
  <c r="AB28" i="37"/>
  <c r="U33" i="37"/>
  <c r="U39" i="37"/>
  <c r="AC8" i="37"/>
  <c r="W47" i="34"/>
  <c r="AB13" i="34"/>
  <c r="AC36" i="34"/>
  <c r="AA13" i="33"/>
  <c r="AC31" i="33"/>
  <c r="AC45" i="33"/>
  <c r="W44" i="33"/>
  <c r="U11" i="33"/>
  <c r="U19" i="21"/>
  <c r="W44" i="21"/>
  <c r="U26" i="21"/>
  <c r="AB38" i="21"/>
  <c r="F43" i="33"/>
  <c r="AA43" i="33" s="1"/>
  <c r="AC15" i="34"/>
  <c r="G107" i="37"/>
  <c r="H107" i="37"/>
  <c r="I107" i="37" s="1"/>
  <c r="J107" i="37" s="1"/>
  <c r="K107" i="37" s="1"/>
  <c r="L107" i="37" s="1"/>
  <c r="M107" i="37" s="1"/>
  <c r="H37" i="21"/>
  <c r="U37" i="21" s="1"/>
  <c r="S42" i="21"/>
  <c r="H19" i="34"/>
  <c r="AB19" i="34" s="1"/>
  <c r="F36" i="35"/>
  <c r="S36" i="35"/>
  <c r="J9" i="37"/>
  <c r="W9" i="37" s="1"/>
  <c r="H9" i="37"/>
  <c r="AB9" i="37" s="1"/>
  <c r="F9" i="37"/>
  <c r="S9" i="37" s="1"/>
  <c r="J12" i="37"/>
  <c r="W12" i="37" s="1"/>
  <c r="H12" i="37"/>
  <c r="U12" i="37" s="1"/>
  <c r="AB12" i="37"/>
  <c r="F12" i="37"/>
  <c r="S12" i="37" s="1"/>
  <c r="F15" i="37"/>
  <c r="AA15" i="37" s="1"/>
  <c r="E94" i="37"/>
  <c r="F94" i="37" s="1"/>
  <c r="G94" i="37" s="1"/>
  <c r="H94" i="37" s="1"/>
  <c r="I94" i="37" s="1"/>
  <c r="J94" i="37" s="1"/>
  <c r="K94" i="37" s="1"/>
  <c r="L94" i="37" s="1"/>
  <c r="M94" i="37" s="1"/>
  <c r="F31" i="37"/>
  <c r="S31" i="37" s="1"/>
  <c r="F12" i="39"/>
  <c r="S12" i="39"/>
  <c r="J42" i="39"/>
  <c r="W42" i="39" s="1"/>
  <c r="AC42" i="39"/>
  <c r="H21" i="40"/>
  <c r="AB21" i="40"/>
  <c r="H31" i="37"/>
  <c r="U31" i="37" s="1"/>
  <c r="J15" i="37"/>
  <c r="W15" i="37" s="1"/>
  <c r="AT6" i="3"/>
  <c r="H19" i="40"/>
  <c r="U19" i="40"/>
  <c r="F88" i="40"/>
  <c r="G88" i="40" s="1"/>
  <c r="F19" i="40"/>
  <c r="S19" i="40" s="1"/>
  <c r="S14" i="40"/>
  <c r="AB33" i="40"/>
  <c r="W23" i="39"/>
  <c r="AC43" i="39"/>
  <c r="W43" i="39"/>
  <c r="U45" i="39"/>
  <c r="AB45" i="39"/>
  <c r="H37" i="39"/>
  <c r="AB37" i="39" s="1"/>
  <c r="AC37" i="39"/>
  <c r="W37" i="39"/>
  <c r="H25" i="39"/>
  <c r="J25" i="39"/>
  <c r="F25" i="39"/>
  <c r="AA25" i="39" s="1"/>
  <c r="F15" i="39"/>
  <c r="AA15" i="39" s="1"/>
  <c r="H15" i="39"/>
  <c r="U15" i="39"/>
  <c r="J15" i="39"/>
  <c r="W15" i="39" s="1"/>
  <c r="H41" i="39"/>
  <c r="W27" i="39"/>
  <c r="AB34" i="39"/>
  <c r="S42" i="39"/>
  <c r="W14" i="39"/>
  <c r="AA41" i="39"/>
  <c r="W9" i="39"/>
  <c r="W8" i="39"/>
  <c r="J19" i="40"/>
  <c r="AC19" i="40" s="1"/>
  <c r="J50" i="40"/>
  <c r="H103" i="9"/>
  <c r="D8" i="53" s="1"/>
  <c r="B16" i="53"/>
  <c r="B33" i="72" s="1"/>
  <c r="C7" i="37"/>
  <c r="C52" i="37" s="1"/>
  <c r="D52" i="37" s="1"/>
  <c r="C7" i="34"/>
  <c r="C7" i="36"/>
  <c r="C46" i="36" s="1"/>
  <c r="D46" i="36" s="1"/>
  <c r="W35" i="40"/>
  <c r="A118" i="9"/>
  <c r="A4" i="52"/>
  <c r="B41" i="72" s="1"/>
  <c r="J11" i="39"/>
  <c r="F11" i="39"/>
  <c r="AA11" i="39"/>
  <c r="S11" i="39"/>
  <c r="G4" i="4"/>
  <c r="I4" i="4"/>
  <c r="A2" i="9"/>
  <c r="AZ522" i="3"/>
  <c r="AZ530" i="3"/>
  <c r="G546" i="3"/>
  <c r="G524" i="3"/>
  <c r="G303" i="3"/>
  <c r="BL304" i="3"/>
  <c r="G305" i="3"/>
  <c r="BL306" i="3"/>
  <c r="AZ306" i="3" s="1"/>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BA360" i="3"/>
  <c r="AZ360" i="3" s="1"/>
  <c r="BL360" i="3"/>
  <c r="G361" i="3"/>
  <c r="BA362" i="3"/>
  <c r="AZ362" i="3" s="1"/>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AZ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AZ200" i="3" s="1"/>
  <c r="G201" i="3"/>
  <c r="BA203" i="3"/>
  <c r="AZ203" i="3" s="1"/>
  <c r="BL204" i="3"/>
  <c r="AZ105" i="3"/>
  <c r="G534" i="3"/>
  <c r="G530" i="3"/>
  <c r="G522" i="3"/>
  <c r="G516" i="3"/>
  <c r="G512" i="3"/>
  <c r="G506" i="3"/>
  <c r="G498" i="3"/>
  <c r="G494" i="3"/>
  <c r="G16" i="3"/>
  <c r="G15" i="3"/>
  <c r="BA304" i="3"/>
  <c r="AZ304" i="3"/>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c r="BA337" i="3"/>
  <c r="AZ337" i="3" s="1"/>
  <c r="BL337" i="3"/>
  <c r="G338" i="3"/>
  <c r="G341" i="3"/>
  <c r="BA342" i="3"/>
  <c r="BL342" i="3"/>
  <c r="BA344" i="3"/>
  <c r="BL344" i="3"/>
  <c r="BA346" i="3"/>
  <c r="G350" i="3"/>
  <c r="BA351" i="3"/>
  <c r="BL351" i="3"/>
  <c r="AZ351" i="3" s="1"/>
  <c r="G352" i="3"/>
  <c r="G354" i="3"/>
  <c r="BA355" i="3"/>
  <c r="AZ355" i="3" s="1"/>
  <c r="BA356" i="3"/>
  <c r="BL356" i="3"/>
  <c r="G357" i="3"/>
  <c r="G360" i="3"/>
  <c r="BL361" i="3"/>
  <c r="BA363" i="3"/>
  <c r="BA364" i="3"/>
  <c r="AZ364" i="3" s="1"/>
  <c r="BL364" i="3"/>
  <c r="G365" i="3"/>
  <c r="G368" i="3"/>
  <c r="BL369" i="3"/>
  <c r="BA371" i="3"/>
  <c r="BA372" i="3"/>
  <c r="AZ372" i="3"/>
  <c r="BL372" i="3"/>
  <c r="G373" i="3"/>
  <c r="G376" i="3"/>
  <c r="BL377" i="3"/>
  <c r="BL379" i="3"/>
  <c r="BA381" i="3"/>
  <c r="AZ381" i="3"/>
  <c r="BA382" i="3"/>
  <c r="AZ382" i="3" s="1"/>
  <c r="BL382" i="3"/>
  <c r="G383" i="3"/>
  <c r="G386" i="3"/>
  <c r="BL387" i="3"/>
  <c r="AZ387" i="3" s="1"/>
  <c r="BA389" i="3"/>
  <c r="AZ389" i="3" s="1"/>
  <c r="BA390" i="3"/>
  <c r="BL390" i="3"/>
  <c r="G391" i="3"/>
  <c r="G394" i="3"/>
  <c r="BA16" i="3"/>
  <c r="BL303" i="3"/>
  <c r="G304" i="3"/>
  <c r="BA306" i="3"/>
  <c r="BL307" i="3"/>
  <c r="G308" i="3"/>
  <c r="BA310" i="3"/>
  <c r="AZ310" i="3"/>
  <c r="BL311" i="3"/>
  <c r="AZ311" i="3" s="1"/>
  <c r="G312" i="3"/>
  <c r="BA314" i="3"/>
  <c r="BL315" i="3"/>
  <c r="G316" i="3"/>
  <c r="BA318" i="3"/>
  <c r="BL319" i="3"/>
  <c r="G320" i="3"/>
  <c r="BA322" i="3"/>
  <c r="AZ322" i="3" s="1"/>
  <c r="BL323" i="3"/>
  <c r="G324" i="3"/>
  <c r="BA326" i="3"/>
  <c r="AZ326" i="3"/>
  <c r="BL327" i="3"/>
  <c r="G328" i="3"/>
  <c r="BA330" i="3"/>
  <c r="BL331" i="3"/>
  <c r="G332" i="3"/>
  <c r="BA334" i="3"/>
  <c r="AZ334" i="3"/>
  <c r="BL335" i="3"/>
  <c r="G336" i="3"/>
  <c r="BA338" i="3"/>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c r="BL370" i="3"/>
  <c r="G371" i="3"/>
  <c r="BA373" i="3"/>
  <c r="BL374" i="3"/>
  <c r="G375" i="3"/>
  <c r="BA377" i="3"/>
  <c r="AZ377" i="3"/>
  <c r="AZ237" i="3"/>
  <c r="BA379" i="3"/>
  <c r="AZ379" i="3" s="1"/>
  <c r="BL380" i="3"/>
  <c r="G381" i="3"/>
  <c r="BA383" i="3"/>
  <c r="BL384" i="3"/>
  <c r="G385" i="3"/>
  <c r="BA387" i="3"/>
  <c r="BL388" i="3"/>
  <c r="G389" i="3"/>
  <c r="BA391" i="3"/>
  <c r="AZ391" i="3" s="1"/>
  <c r="BL392" i="3"/>
  <c r="G393" i="3"/>
  <c r="AZ506" i="3"/>
  <c r="G538" i="3"/>
  <c r="G520" i="3"/>
  <c r="G502" i="3"/>
  <c r="BI5" i="3"/>
  <c r="G17" i="3"/>
  <c r="BA17" i="3"/>
  <c r="AZ17" i="3" s="1"/>
  <c r="BA15" i="3"/>
  <c r="AZ15" i="3" s="1"/>
  <c r="AZ380" i="3"/>
  <c r="G509" i="3"/>
  <c r="BL493" i="3"/>
  <c r="AZ493" i="3" s="1"/>
  <c r="AZ376" i="3"/>
  <c r="AZ390" i="3"/>
  <c r="U36" i="40"/>
  <c r="H117" i="43"/>
  <c r="D21" i="43"/>
  <c r="F42" i="43"/>
  <c r="I21" i="43"/>
  <c r="F39" i="43"/>
  <c r="J21" i="43"/>
  <c r="F6" i="1"/>
  <c r="G6" i="1" s="1"/>
  <c r="S14" i="35"/>
  <c r="U43" i="21"/>
  <c r="U35" i="21"/>
  <c r="AC35" i="21"/>
  <c r="U10" i="21"/>
  <c r="G8" i="1"/>
  <c r="G10" i="1"/>
  <c r="W37" i="37"/>
  <c r="AC44" i="34"/>
  <c r="S15" i="37"/>
  <c r="U13" i="37"/>
  <c r="U12" i="40"/>
  <c r="AA12" i="40"/>
  <c r="J37" i="33"/>
  <c r="W37" i="33"/>
  <c r="AC17" i="34"/>
  <c r="F106" i="33"/>
  <c r="G106" i="33" s="1"/>
  <c r="H106" i="33" s="1"/>
  <c r="I106" i="33" s="1"/>
  <c r="J106" i="33" s="1"/>
  <c r="K106" i="33" s="1"/>
  <c r="L106" i="33" s="1"/>
  <c r="M106" i="33" s="1"/>
  <c r="J34" i="33"/>
  <c r="W34" i="33" s="1"/>
  <c r="F33" i="34"/>
  <c r="S33" i="34" s="1"/>
  <c r="H20" i="36"/>
  <c r="J20" i="36"/>
  <c r="W20" i="36" s="1"/>
  <c r="J27" i="36"/>
  <c r="AC27" i="36" s="1"/>
  <c r="AC33" i="40"/>
  <c r="F111" i="40"/>
  <c r="G111" i="40"/>
  <c r="H111" i="40" s="1"/>
  <c r="I111" i="40" s="1"/>
  <c r="J111" i="40" s="1"/>
  <c r="K111" i="40" s="1"/>
  <c r="L111" i="40" s="1"/>
  <c r="M111" i="40" s="1"/>
  <c r="H35" i="40"/>
  <c r="AB35" i="40" s="1"/>
  <c r="AC29" i="35"/>
  <c r="W29" i="35"/>
  <c r="H35" i="37"/>
  <c r="U35" i="37"/>
  <c r="AC14" i="35"/>
  <c r="H20" i="35"/>
  <c r="U20" i="35" s="1"/>
  <c r="F20" i="35"/>
  <c r="AA20" i="35" s="1"/>
  <c r="AB29" i="36"/>
  <c r="U29" i="36"/>
  <c r="H32" i="37"/>
  <c r="AB32" i="37" s="1"/>
  <c r="H27" i="40"/>
  <c r="AB27" i="40" s="1"/>
  <c r="J27" i="40"/>
  <c r="AC27" i="40" s="1"/>
  <c r="F27" i="40"/>
  <c r="S27" i="40"/>
  <c r="J30" i="40"/>
  <c r="AC30" i="40"/>
  <c r="F30" i="40"/>
  <c r="AA30" i="40" s="1"/>
  <c r="AC21" i="40"/>
  <c r="S31" i="39"/>
  <c r="E98" i="40"/>
  <c r="F98" i="40"/>
  <c r="G98" i="40" s="1"/>
  <c r="H98" i="40" s="1"/>
  <c r="I98" i="40" s="1"/>
  <c r="J98" i="40" s="1"/>
  <c r="K98" i="40" s="1"/>
  <c r="L98" i="40" s="1"/>
  <c r="M98" i="40" s="1"/>
  <c r="F10" i="33"/>
  <c r="F34" i="33"/>
  <c r="H34" i="33"/>
  <c r="U34" i="33" s="1"/>
  <c r="F35" i="33"/>
  <c r="S35" i="33" s="1"/>
  <c r="F39" i="34"/>
  <c r="S39" i="34" s="1"/>
  <c r="J39" i="34"/>
  <c r="W39" i="34" s="1"/>
  <c r="F40" i="34"/>
  <c r="S40" i="34" s="1"/>
  <c r="F43" i="34"/>
  <c r="AA43" i="34" s="1"/>
  <c r="H44" i="34"/>
  <c r="AB44" i="34" s="1"/>
  <c r="AC38" i="39"/>
  <c r="F39" i="39"/>
  <c r="S39" i="39" s="1"/>
  <c r="J39" i="39"/>
  <c r="W39" i="39" s="1"/>
  <c r="AC39" i="39"/>
  <c r="E97" i="39"/>
  <c r="F97" i="39" s="1"/>
  <c r="G97" i="39" s="1"/>
  <c r="C40" i="11"/>
  <c r="AZ271" i="3"/>
  <c r="F23" i="39"/>
  <c r="AA23" i="39"/>
  <c r="H27" i="36"/>
  <c r="U27" i="36"/>
  <c r="F27" i="36"/>
  <c r="S27" i="36" s="1"/>
  <c r="H33" i="34"/>
  <c r="U33" i="34" s="1"/>
  <c r="F32" i="37"/>
  <c r="F20" i="36"/>
  <c r="AA20" i="36" s="1"/>
  <c r="J33" i="34"/>
  <c r="AC33" i="34"/>
  <c r="H23" i="39"/>
  <c r="U23" i="39" s="1"/>
  <c r="D48" i="9"/>
  <c r="M52" i="9" s="1"/>
  <c r="K9" i="1"/>
  <c r="M9" i="1" s="1"/>
  <c r="O9" i="1" s="1"/>
  <c r="P9" i="1" s="1"/>
  <c r="AE9" i="1"/>
  <c r="D93" i="9"/>
  <c r="K6" i="1"/>
  <c r="AC26" i="33"/>
  <c r="W26" i="33"/>
  <c r="W27" i="34"/>
  <c r="AC27" i="34"/>
  <c r="AB34" i="36"/>
  <c r="U34" i="36"/>
  <c r="AB33" i="36"/>
  <c r="U33" i="36"/>
  <c r="AC12" i="39"/>
  <c r="W12" i="39"/>
  <c r="AZ417" i="3"/>
  <c r="AZ586" i="3"/>
  <c r="E26" i="43"/>
  <c r="W12" i="33"/>
  <c r="AC12" i="33"/>
  <c r="AA32" i="36"/>
  <c r="S32" i="36"/>
  <c r="AZ490" i="3"/>
  <c r="BL14" i="3"/>
  <c r="AZ14" i="3" s="1"/>
  <c r="U30" i="33"/>
  <c r="AC13" i="34"/>
  <c r="AA47" i="34"/>
  <c r="W28" i="37"/>
  <c r="S19" i="39"/>
  <c r="F12" i="33"/>
  <c r="H12" i="39"/>
  <c r="AB12" i="39" s="1"/>
  <c r="F39" i="40"/>
  <c r="BA14" i="3"/>
  <c r="S12" i="1"/>
  <c r="AR12" i="1" s="1"/>
  <c r="R12" i="1"/>
  <c r="B12" i="1"/>
  <c r="E12" i="1" s="1"/>
  <c r="S10" i="1"/>
  <c r="T10" i="1" s="1"/>
  <c r="R10" i="1"/>
  <c r="B10" i="1"/>
  <c r="E10" i="1" s="1"/>
  <c r="K12" i="1"/>
  <c r="M12" i="1" s="1"/>
  <c r="O12" i="1" s="1"/>
  <c r="S13" i="1"/>
  <c r="AR13" i="1" s="1"/>
  <c r="R13" i="1"/>
  <c r="S11" i="1"/>
  <c r="AQ11" i="1" s="1"/>
  <c r="R11" i="1"/>
  <c r="S9" i="1"/>
  <c r="AR9" i="1" s="1"/>
  <c r="R9" i="1"/>
  <c r="J51" i="67"/>
  <c r="C42" i="1"/>
  <c r="AC34" i="33"/>
  <c r="B41" i="1"/>
  <c r="F48" i="9" s="1"/>
  <c r="O52" i="9" s="1"/>
  <c r="F53" i="9"/>
  <c r="AB37" i="40"/>
  <c r="U35" i="40"/>
  <c r="AC36" i="40"/>
  <c r="W38" i="40"/>
  <c r="S17" i="40"/>
  <c r="S23" i="40"/>
  <c r="AC17" i="40"/>
  <c r="AC15" i="40"/>
  <c r="AA19" i="40"/>
  <c r="S28" i="40"/>
  <c r="AA27" i="40"/>
  <c r="U21" i="40"/>
  <c r="AB19" i="40"/>
  <c r="U37" i="39"/>
  <c r="S43" i="39"/>
  <c r="S37" i="39"/>
  <c r="U35" i="39"/>
  <c r="F32" i="39"/>
  <c r="AA32" i="39" s="1"/>
  <c r="F107" i="39"/>
  <c r="G107" i="39" s="1"/>
  <c r="AB27" i="39"/>
  <c r="U31" i="39"/>
  <c r="J21" i="39"/>
  <c r="F21" i="39"/>
  <c r="AA21" i="39" s="1"/>
  <c r="G95" i="39"/>
  <c r="H21" i="39"/>
  <c r="AB21" i="39" s="1"/>
  <c r="W19" i="39"/>
  <c r="U19" i="39"/>
  <c r="S17" i="39"/>
  <c r="S15" i="39"/>
  <c r="AB15" i="39"/>
  <c r="AA12" i="39"/>
  <c r="S9" i="39"/>
  <c r="U14" i="39"/>
  <c r="AC13" i="39"/>
  <c r="U12" i="39"/>
  <c r="S23" i="36"/>
  <c r="U13" i="36"/>
  <c r="AB27" i="36"/>
  <c r="U26" i="36"/>
  <c r="AA26" i="36"/>
  <c r="AA34" i="36"/>
  <c r="S29" i="36"/>
  <c r="AC26" i="36"/>
  <c r="AA22" i="36"/>
  <c r="W14" i="36"/>
  <c r="AB14" i="36"/>
  <c r="U22" i="36"/>
  <c r="S16" i="36"/>
  <c r="AA25" i="36"/>
  <c r="U23" i="36"/>
  <c r="U16"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13" i="35"/>
  <c r="F9" i="35"/>
  <c r="AA9" i="35" s="1"/>
  <c r="H9" i="35"/>
  <c r="F26" i="35"/>
  <c r="AA26" i="35" s="1"/>
  <c r="J26" i="35"/>
  <c r="H26" i="35"/>
  <c r="AB40" i="37"/>
  <c r="S26" i="37"/>
  <c r="AC29" i="37"/>
  <c r="AB31" i="37"/>
  <c r="W30" i="37"/>
  <c r="S36" i="37"/>
  <c r="AA38" i="37"/>
  <c r="U32" i="37"/>
  <c r="W38" i="37"/>
  <c r="AC35" i="37"/>
  <c r="W39" i="37"/>
  <c r="S30" i="37"/>
  <c r="S37" i="37"/>
  <c r="AC15" i="37"/>
  <c r="J17" i="37"/>
  <c r="AC17" i="37" s="1"/>
  <c r="G73" i="37"/>
  <c r="F17" i="37"/>
  <c r="AB17" i="37"/>
  <c r="F75" i="37"/>
  <c r="F19" i="37"/>
  <c r="S19" i="37" s="1"/>
  <c r="F79" i="37"/>
  <c r="G79" i="37" s="1"/>
  <c r="F23" i="37"/>
  <c r="AA23" i="37" s="1"/>
  <c r="U23" i="37"/>
  <c r="U15" i="37"/>
  <c r="AC13" i="37"/>
  <c r="U9" i="37"/>
  <c r="AA13" i="37"/>
  <c r="AA12" i="37"/>
  <c r="H10" i="37"/>
  <c r="H60" i="37"/>
  <c r="F63" i="37"/>
  <c r="F11" i="37"/>
  <c r="S11" i="37" s="1"/>
  <c r="S27" i="34"/>
  <c r="W25" i="34"/>
  <c r="AB8" i="34"/>
  <c r="AA33" i="34"/>
  <c r="U43" i="34"/>
  <c r="AC39" i="34"/>
  <c r="W41" i="34"/>
  <c r="AC42" i="34"/>
  <c r="AB35" i="34"/>
  <c r="U39" i="34"/>
  <c r="S43" i="34"/>
  <c r="AB41" i="34"/>
  <c r="AA45" i="34"/>
  <c r="W34" i="34"/>
  <c r="AA25" i="34"/>
  <c r="U28" i="34"/>
  <c r="S17" i="34"/>
  <c r="U27" i="34"/>
  <c r="S23" i="34"/>
  <c r="S10" i="34"/>
  <c r="S13" i="34"/>
  <c r="H10" i="34"/>
  <c r="AB10" i="34" s="1"/>
  <c r="F11" i="34"/>
  <c r="S11" i="34" s="1"/>
  <c r="F70" i="34"/>
  <c r="W42" i="33"/>
  <c r="AA35" i="33"/>
  <c r="S27" i="33"/>
  <c r="S32" i="33"/>
  <c r="AA29" i="33"/>
  <c r="W38" i="33"/>
  <c r="H41" i="33"/>
  <c r="U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F87" i="33"/>
  <c r="H25" i="33"/>
  <c r="AB25" i="33" s="1"/>
  <c r="F25" i="33"/>
  <c r="S25" i="33" s="1"/>
  <c r="J23" i="33"/>
  <c r="W23" i="33" s="1"/>
  <c r="F85" i="33"/>
  <c r="G85" i="33" s="1"/>
  <c r="H23" i="33"/>
  <c r="F81" i="33"/>
  <c r="F19" i="33"/>
  <c r="S19" i="33"/>
  <c r="W19" i="33"/>
  <c r="J17" i="33"/>
  <c r="F79" i="33"/>
  <c r="G79" i="33" s="1"/>
  <c r="S15" i="33"/>
  <c r="W15" i="33"/>
  <c r="I66" i="33"/>
  <c r="J10" i="33"/>
  <c r="H10" i="33"/>
  <c r="AC11" i="33"/>
  <c r="AB14" i="33"/>
  <c r="W43" i="21"/>
  <c r="W36" i="21"/>
  <c r="W41" i="21"/>
  <c r="AB39" i="21"/>
  <c r="AA43" i="21"/>
  <c r="S39" i="21"/>
  <c r="AA38" i="21"/>
  <c r="AC40"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c r="U29" i="34"/>
  <c r="E5" i="6"/>
  <c r="D9" i="68" s="1"/>
  <c r="C9" i="68" s="1"/>
  <c r="P10" i="1"/>
  <c r="E32" i="6"/>
  <c r="L19" i="6"/>
  <c r="L27" i="6" s="1"/>
  <c r="G1" i="68"/>
  <c r="K1" i="12"/>
  <c r="AR10" i="1"/>
  <c r="E19" i="69"/>
  <c r="E19" i="68"/>
  <c r="E19" i="11"/>
  <c r="E1" i="73"/>
  <c r="G22" i="69"/>
  <c r="G22" i="68"/>
  <c r="G26" i="12"/>
  <c r="G22" i="11"/>
  <c r="Z7" i="43"/>
  <c r="E73" i="43"/>
  <c r="B71" i="43" s="1"/>
  <c r="H21" i="43"/>
  <c r="C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59" i="34"/>
  <c r="D59" i="34" s="1"/>
  <c r="A4" i="51"/>
  <c r="B6" i="72" s="1"/>
  <c r="C4" i="12"/>
  <c r="L20" i="6"/>
  <c r="E56" i="39"/>
  <c r="E51" i="40"/>
  <c r="B6" i="1"/>
  <c r="E6" i="1" s="1"/>
  <c r="S8" i="1"/>
  <c r="T8" i="1" s="1"/>
  <c r="K11" i="1"/>
  <c r="M11" i="1" s="1"/>
  <c r="O11" i="1" s="1"/>
  <c r="AP6" i="1"/>
  <c r="B9" i="1"/>
  <c r="E9" i="1"/>
  <c r="K7" i="1"/>
  <c r="G1" i="15"/>
  <c r="G1" i="69"/>
  <c r="G1" i="67"/>
  <c r="W23" i="40"/>
  <c r="U32" i="40"/>
  <c r="S37" i="40"/>
  <c r="AB28" i="40"/>
  <c r="W28" i="40"/>
  <c r="W34" i="40"/>
  <c r="W19" i="40"/>
  <c r="W27" i="40"/>
  <c r="S36" i="40"/>
  <c r="AC14" i="40"/>
  <c r="S13" i="40"/>
  <c r="S33" i="40"/>
  <c r="U11" i="40"/>
  <c r="S31" i="40"/>
  <c r="AB13" i="40"/>
  <c r="U15" i="40"/>
  <c r="AB17" i="40"/>
  <c r="U8" i="40"/>
  <c r="S8" i="40"/>
  <c r="AC41" i="39"/>
  <c r="U42" i="39"/>
  <c r="AB23" i="39"/>
  <c r="U41" i="39"/>
  <c r="AB41" i="39"/>
  <c r="W25" i="39"/>
  <c r="AC25" i="39"/>
  <c r="U13" i="39"/>
  <c r="AB13" i="39"/>
  <c r="AA13" i="39"/>
  <c r="S13" i="39"/>
  <c r="S14" i="39"/>
  <c r="U43" i="39"/>
  <c r="AB43" i="39"/>
  <c r="AB11" i="39"/>
  <c r="U11" i="39"/>
  <c r="AA27" i="39"/>
  <c r="S27" i="39"/>
  <c r="W17" i="39"/>
  <c r="AC17" i="39"/>
  <c r="W31" i="39"/>
  <c r="AC31" i="39"/>
  <c r="S23" i="39"/>
  <c r="AA45" i="39"/>
  <c r="W34" i="39"/>
  <c r="U38" i="39"/>
  <c r="S8" i="39"/>
  <c r="S20" i="36"/>
  <c r="AC25" i="36"/>
  <c r="S28" i="36"/>
  <c r="U32" i="36"/>
  <c r="W29" i="36"/>
  <c r="AC20" i="36"/>
  <c r="U25" i="36"/>
  <c r="AB28" i="36"/>
  <c r="W9" i="36"/>
  <c r="W22" i="36"/>
  <c r="W23" i="36"/>
  <c r="S9" i="36"/>
  <c r="AB20" i="35"/>
  <c r="AC25" i="35"/>
  <c r="U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AB36" i="34"/>
  <c r="W33" i="34"/>
  <c r="AC32" i="34"/>
  <c r="W46" i="34"/>
  <c r="AC46" i="34"/>
  <c r="S32" i="34"/>
  <c r="AA32" i="34"/>
  <c r="AB30" i="34"/>
  <c r="S37" i="34"/>
  <c r="U38" i="34"/>
  <c r="AC40" i="34"/>
  <c r="W40" i="34"/>
  <c r="AA19" i="34"/>
  <c r="S19" i="34"/>
  <c r="AA36" i="34"/>
  <c r="S36" i="34"/>
  <c r="AA8" i="34"/>
  <c r="S8" i="34"/>
  <c r="AB9" i="34"/>
  <c r="U9" i="34"/>
  <c r="S46" i="34"/>
  <c r="AA46" i="34"/>
  <c r="AB32"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AC28" i="33"/>
  <c r="S28" i="33"/>
  <c r="W8" i="33"/>
  <c r="S44" i="21"/>
  <c r="AB42" i="21"/>
  <c r="AA11" i="21"/>
  <c r="J101" i="21"/>
  <c r="K101" i="21" s="1"/>
  <c r="L101" i="21" s="1"/>
  <c r="M101" i="21" s="1"/>
  <c r="F33" i="21"/>
  <c r="J33" i="21"/>
  <c r="AC33" i="21" s="1"/>
  <c r="H33" i="21"/>
  <c r="AB33" i="21" s="1"/>
  <c r="F37" i="21"/>
  <c r="AB31" i="21"/>
  <c r="U31" i="21"/>
  <c r="AC15" i="21"/>
  <c r="U13" i="21"/>
  <c r="AB13" i="21"/>
  <c r="W8" i="21"/>
  <c r="S35" i="21"/>
  <c r="AB37" i="21"/>
  <c r="J37" i="21"/>
  <c r="W37" i="21" s="1"/>
  <c r="H15" i="21"/>
  <c r="U15" i="21" s="1"/>
  <c r="J17" i="21"/>
  <c r="AC19" i="21"/>
  <c r="W39" i="21"/>
  <c r="W30" i="21"/>
  <c r="H45" i="21"/>
  <c r="U45" i="21" s="1"/>
  <c r="F29" i="21"/>
  <c r="S29" i="21" s="1"/>
  <c r="F13" i="21"/>
  <c r="S13" i="21" s="1"/>
  <c r="AA13" i="21"/>
  <c r="AC38" i="21"/>
  <c r="H32" i="21"/>
  <c r="H9" i="21"/>
  <c r="U9" i="21" s="1"/>
  <c r="J9" i="21"/>
  <c r="AC9" i="21" s="1"/>
  <c r="J32" i="21"/>
  <c r="W32" i="21" s="1"/>
  <c r="F32" i="21"/>
  <c r="AA31" i="21"/>
  <c r="U17" i="21"/>
  <c r="W29" i="21"/>
  <c r="S19" i="21"/>
  <c r="S9" i="21"/>
  <c r="AA9" i="21"/>
  <c r="K141" i="21"/>
  <c r="K144" i="21"/>
  <c r="K143" i="21"/>
  <c r="AB25" i="21"/>
  <c r="AB44" i="21"/>
  <c r="AA30" i="21"/>
  <c r="W13" i="21"/>
  <c r="W42" i="21"/>
  <c r="F10" i="21"/>
  <c r="AA10" i="21" s="1"/>
  <c r="K145" i="21"/>
  <c r="W25" i="21"/>
  <c r="AA29" i="21"/>
  <c r="W31" i="21"/>
  <c r="S17" i="21"/>
  <c r="AA15" i="21"/>
  <c r="AC26" i="21"/>
  <c r="AB29" i="21"/>
  <c r="AC34" i="21"/>
  <c r="W10" i="21"/>
  <c r="AB36" i="21"/>
  <c r="W30" i="40"/>
  <c r="C19" i="39"/>
  <c r="C15" i="40"/>
  <c r="C17" i="40"/>
  <c r="C23" i="40"/>
  <c r="C21" i="40"/>
  <c r="U30" i="40"/>
  <c r="B57" i="43"/>
  <c r="B68" i="43"/>
  <c r="B52" i="43"/>
  <c r="B55" i="43"/>
  <c r="B59" i="43"/>
  <c r="B63" i="43"/>
  <c r="B66" i="43"/>
  <c r="B70" i="43"/>
  <c r="D23" i="15"/>
  <c r="D22" i="15"/>
  <c r="E4" i="4"/>
  <c r="B5" i="62" s="1"/>
  <c r="B73" i="72" s="1"/>
  <c r="C4" i="4"/>
  <c r="AQ13" i="1"/>
  <c r="AZ13" i="3"/>
  <c r="M6" i="1"/>
  <c r="O6" i="1" s="1"/>
  <c r="P6" i="1"/>
  <c r="F30" i="68"/>
  <c r="F48" i="68" s="1"/>
  <c r="F30" i="11"/>
  <c r="C48" i="11"/>
  <c r="F28" i="67"/>
  <c r="F31" i="12"/>
  <c r="F52" i="9"/>
  <c r="F30" i="69"/>
  <c r="F32" i="15"/>
  <c r="F60" i="15" s="1"/>
  <c r="M18" i="15"/>
  <c r="F28" i="15"/>
  <c r="T11" i="1"/>
  <c r="AQ9" i="1"/>
  <c r="AR11" i="1"/>
  <c r="C28" i="15"/>
  <c r="T9" i="1"/>
  <c r="S7" i="1"/>
  <c r="T7" i="1" s="1"/>
  <c r="E7" i="70"/>
  <c r="AA39" i="40"/>
  <c r="S39" i="40"/>
  <c r="S12" i="33"/>
  <c r="AA12" i="33"/>
  <c r="D68" i="9"/>
  <c r="F54" i="9"/>
  <c r="J32" i="39"/>
  <c r="H107" i="39"/>
  <c r="I107" i="39"/>
  <c r="J107" i="39" s="1"/>
  <c r="K107" i="39" s="1"/>
  <c r="L107" i="39" s="1"/>
  <c r="M107" i="39" s="1"/>
  <c r="H32" i="39"/>
  <c r="AB32" i="39" s="1"/>
  <c r="S32" i="39"/>
  <c r="AC21" i="39"/>
  <c r="W21" i="39"/>
  <c r="S26" i="35"/>
  <c r="U9" i="35"/>
  <c r="AB9" i="35"/>
  <c r="S9" i="35"/>
  <c r="AC26" i="35"/>
  <c r="W26" i="35"/>
  <c r="AB26" i="35"/>
  <c r="U26" i="35"/>
  <c r="J19" i="37"/>
  <c r="AC19" i="37" s="1"/>
  <c r="G75" i="37"/>
  <c r="AA19" i="37"/>
  <c r="J23" i="37"/>
  <c r="J10" i="37"/>
  <c r="I60" i="37"/>
  <c r="G63" i="37"/>
  <c r="H11" i="37"/>
  <c r="AB11" i="37" s="1"/>
  <c r="AB10" i="37"/>
  <c r="U10" i="37"/>
  <c r="G70" i="34"/>
  <c r="H70" i="34" s="1"/>
  <c r="H11" i="34"/>
  <c r="U11" i="34" s="1"/>
  <c r="U10" i="34"/>
  <c r="J10" i="34"/>
  <c r="W10" i="34" s="1"/>
  <c r="I67" i="34"/>
  <c r="AB41" i="33"/>
  <c r="W35" i="33"/>
  <c r="AC35" i="33"/>
  <c r="J36" i="33"/>
  <c r="W36" i="33" s="1"/>
  <c r="H36" i="33"/>
  <c r="AB36" i="33" s="1"/>
  <c r="S36" i="33"/>
  <c r="AA36" i="33"/>
  <c r="AC32" i="33"/>
  <c r="W32" i="33"/>
  <c r="U27" i="33"/>
  <c r="AB27" i="33"/>
  <c r="J27" i="33"/>
  <c r="AC27" i="33" s="1"/>
  <c r="U25" i="33"/>
  <c r="AA25" i="33"/>
  <c r="G87" i="33"/>
  <c r="H87" i="33" s="1"/>
  <c r="I87" i="33" s="1"/>
  <c r="J87" i="33"/>
  <c r="K87" i="33" s="1"/>
  <c r="L87" i="33" s="1"/>
  <c r="M87" i="33" s="1"/>
  <c r="J25" i="33"/>
  <c r="AB23" i="33"/>
  <c r="U23" i="33"/>
  <c r="F23" i="33"/>
  <c r="AA19" i="33"/>
  <c r="H19" i="33"/>
  <c r="U19" i="33" s="1"/>
  <c r="G81" i="33"/>
  <c r="H17" i="33"/>
  <c r="U17" i="33" s="1"/>
  <c r="F17" i="33"/>
  <c r="AA17" i="33" s="1"/>
  <c r="W17" i="33"/>
  <c r="AC17" i="33"/>
  <c r="U10" i="33"/>
  <c r="AB10" i="33"/>
  <c r="AB15" i="21"/>
  <c r="J23" i="21"/>
  <c r="W23" i="21" s="1"/>
  <c r="F85" i="21"/>
  <c r="G85" i="21" s="1"/>
  <c r="H23" i="21"/>
  <c r="D6" i="52"/>
  <c r="C27" i="43"/>
  <c r="S6" i="1"/>
  <c r="AQ6" i="1" s="1"/>
  <c r="AR8" i="1"/>
  <c r="AQ8" i="1"/>
  <c r="AP7" i="1"/>
  <c r="W33" i="21"/>
  <c r="S33" i="21"/>
  <c r="AA33" i="21"/>
  <c r="AB9" i="21"/>
  <c r="AA32" i="21"/>
  <c r="S32" i="21"/>
  <c r="W9" i="21"/>
  <c r="AR7" i="1"/>
  <c r="C30" i="11"/>
  <c r="E6" i="70"/>
  <c r="E2" i="70" s="1"/>
  <c r="AC32" i="39"/>
  <c r="W32" i="39"/>
  <c r="U11" i="37"/>
  <c r="H63" i="37"/>
  <c r="I63" i="37" s="1"/>
  <c r="J63" i="37" s="1"/>
  <c r="K63" i="37" s="1"/>
  <c r="L63" i="37" s="1"/>
  <c r="M63" i="37" s="1"/>
  <c r="J11" i="37"/>
  <c r="AC11" i="37" s="1"/>
  <c r="I70" i="34"/>
  <c r="J70" i="34" s="1"/>
  <c r="K70" i="34" s="1"/>
  <c r="L70" i="34" s="1"/>
  <c r="M70" i="34" s="1"/>
  <c r="J11" i="34"/>
  <c r="AC36" i="33"/>
  <c r="W25" i="33"/>
  <c r="AC25" i="33"/>
  <c r="T6" i="1"/>
  <c r="W11" i="37"/>
  <c r="W11" i="34"/>
  <c r="AC11" i="34"/>
  <c r="R7" i="1"/>
  <c r="F34" i="11"/>
  <c r="F11" i="12"/>
  <c r="C23" i="12" s="1"/>
  <c r="F34" i="68"/>
  <c r="R8" i="1"/>
  <c r="R6" i="1"/>
  <c r="AE7" i="1"/>
  <c r="AE8" i="1"/>
  <c r="AE6" i="1"/>
  <c r="AG6" i="1"/>
  <c r="H109" i="9"/>
  <c r="D16" i="53"/>
  <c r="D17" i="53" s="1"/>
  <c r="B36" i="72" s="1"/>
  <c r="H112" i="9"/>
  <c r="D21" i="53" s="1"/>
  <c r="B39" i="72" s="1"/>
  <c r="H111" i="9"/>
  <c r="D126" i="9" s="1"/>
  <c r="I14" i="74" s="1"/>
  <c r="B8" i="74" s="1"/>
  <c r="J1" i="73"/>
  <c r="C13" i="12"/>
  <c r="C77" i="9"/>
  <c r="C74" i="9" s="1"/>
  <c r="M4" i="43"/>
  <c r="M5" i="43"/>
  <c r="N12" i="43"/>
  <c r="N11" i="43"/>
  <c r="M10" i="43"/>
  <c r="M2" i="43"/>
  <c r="M8" i="43"/>
  <c r="M7" i="43"/>
  <c r="N9" i="43"/>
  <c r="N10" i="43"/>
  <c r="M6" i="43"/>
  <c r="N7" i="43"/>
  <c r="N4" i="43"/>
  <c r="N2" i="43"/>
  <c r="F51" i="43" s="1"/>
  <c r="H55" i="43" s="1"/>
  <c r="N21" i="43"/>
  <c r="L21" i="43"/>
  <c r="O21" i="43"/>
  <c r="M21" i="43"/>
  <c r="E21" i="43"/>
  <c r="C24" i="12"/>
  <c r="T25" i="71"/>
  <c r="C94" i="9"/>
  <c r="C92" i="9"/>
  <c r="F26" i="43"/>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B4" i="62"/>
  <c r="B71" i="72"/>
  <c r="K120" i="9"/>
  <c r="A18" i="62" s="1"/>
  <c r="B64" i="72" s="1"/>
  <c r="B67" i="71"/>
  <c r="O67" i="71" s="1"/>
  <c r="O68" i="71"/>
  <c r="M32" i="43"/>
  <c r="N32" i="43"/>
  <c r="O32" i="43"/>
  <c r="P32" i="43"/>
  <c r="C24" i="43"/>
  <c r="E44" i="43"/>
  <c r="C44" i="43" s="1"/>
  <c r="J26" i="43"/>
  <c r="J15" i="15"/>
  <c r="F5" i="73"/>
  <c r="B9" i="76"/>
  <c r="F8" i="15"/>
  <c r="D2" i="33"/>
  <c r="AO8" i="1"/>
  <c r="F20" i="31"/>
  <c r="M22" i="15"/>
  <c r="F7" i="73"/>
  <c r="E11" i="76"/>
  <c r="F6" i="73"/>
  <c r="D2" i="35"/>
  <c r="M6" i="15"/>
  <c r="M28" i="15"/>
  <c r="D5" i="73"/>
  <c r="F6" i="15"/>
  <c r="M8" i="67"/>
  <c r="M26" i="67"/>
  <c r="M29" i="67"/>
  <c r="F38" i="67"/>
  <c r="B10" i="76"/>
  <c r="D35" i="9"/>
  <c r="D34" i="9"/>
  <c r="E8" i="76"/>
  <c r="M9" i="15"/>
  <c r="F16" i="67"/>
  <c r="J15" i="67"/>
  <c r="M8" i="15"/>
  <c r="F41" i="15"/>
  <c r="F3" i="73"/>
  <c r="B8" i="76"/>
  <c r="M21" i="15"/>
  <c r="F13" i="15"/>
  <c r="AO13" i="1"/>
  <c r="D3" i="73"/>
  <c r="C76" i="67"/>
  <c r="F4" i="73"/>
  <c r="M23" i="67"/>
  <c r="M24" i="67"/>
  <c r="L47" i="15"/>
  <c r="D19" i="9"/>
  <c r="B7" i="76"/>
  <c r="M6" i="67"/>
  <c r="F35" i="15"/>
  <c r="F26" i="67"/>
  <c r="M27" i="15"/>
  <c r="D2" i="21"/>
  <c r="E9" i="76"/>
  <c r="B13" i="76"/>
  <c r="E2" i="69"/>
  <c r="F43" i="15"/>
  <c r="D20" i="9"/>
  <c r="AO9" i="1"/>
  <c r="B12" i="76"/>
  <c r="F13" i="67"/>
  <c r="C76" i="15"/>
  <c r="AO11" i="1"/>
  <c r="D2" i="36"/>
  <c r="L48" i="15"/>
  <c r="B11" i="76"/>
  <c r="E13" i="76"/>
  <c r="M24" i="15"/>
  <c r="F9" i="67"/>
  <c r="C14" i="15"/>
  <c r="M9" i="67"/>
  <c r="M28" i="67"/>
  <c r="F42" i="15"/>
  <c r="F35" i="67"/>
  <c r="E12" i="76"/>
  <c r="F7" i="15"/>
  <c r="AO12" i="1"/>
  <c r="AO6" i="1"/>
  <c r="D7" i="73"/>
  <c r="F9" i="15"/>
  <c r="M29" i="15"/>
  <c r="F36" i="67"/>
  <c r="F40" i="15"/>
  <c r="D6" i="73"/>
  <c r="AO10" i="1"/>
  <c r="F38" i="15"/>
  <c r="F37" i="15"/>
  <c r="M22" i="67"/>
  <c r="F36" i="15"/>
  <c r="C20" i="9"/>
  <c r="E10" i="76"/>
  <c r="AO7" i="1"/>
  <c r="L48" i="67"/>
  <c r="M23" i="15"/>
  <c r="C19" i="9"/>
  <c r="E2" i="68"/>
  <c r="F43" i="67"/>
  <c r="M26" i="15"/>
  <c r="F26" i="15"/>
  <c r="D2" i="37"/>
  <c r="E7" i="76"/>
  <c r="D2" i="34"/>
  <c r="F37" i="67"/>
  <c r="F8" i="67"/>
  <c r="F16" i="15"/>
  <c r="M21" i="67"/>
  <c r="M27" i="67"/>
  <c r="D4" i="73"/>
  <c r="D9" i="53" l="1"/>
  <c r="B25" i="72" s="1"/>
  <c r="B24" i="72"/>
  <c r="AC12" i="40"/>
  <c r="W12" i="40"/>
  <c r="J40" i="40"/>
  <c r="W40" i="40" s="1"/>
  <c r="H40" i="40"/>
  <c r="AB40" i="40" s="1"/>
  <c r="B34" i="72"/>
  <c r="U36" i="33"/>
  <c r="S43" i="33"/>
  <c r="W17" i="37"/>
  <c r="AA27" i="36"/>
  <c r="U31" i="40"/>
  <c r="U40" i="33"/>
  <c r="S38" i="39"/>
  <c r="W8" i="35"/>
  <c r="AC8" i="35"/>
  <c r="AC26" i="37"/>
  <c r="W26" i="37"/>
  <c r="AC34" i="35"/>
  <c r="W34" i="35"/>
  <c r="AC32" i="21"/>
  <c r="S21" i="39"/>
  <c r="U40" i="21"/>
  <c r="S35" i="40"/>
  <c r="AA39" i="34"/>
  <c r="AZ567" i="3"/>
  <c r="W32" i="36"/>
  <c r="AC32" i="36"/>
  <c r="AB13" i="33"/>
  <c r="U13" i="33"/>
  <c r="AA10" i="36"/>
  <c r="S10" i="36"/>
  <c r="W9" i="40"/>
  <c r="AC9" i="40"/>
  <c r="W19" i="37"/>
  <c r="W44" i="39"/>
  <c r="AC44" i="39"/>
  <c r="AC9" i="37"/>
  <c r="W27" i="36"/>
  <c r="AZ345" i="3"/>
  <c r="K5" i="4"/>
  <c r="B47" i="48" s="1"/>
  <c r="AZ569" i="3"/>
  <c r="AB17" i="39"/>
  <c r="U17" i="39"/>
  <c r="AB11" i="34"/>
  <c r="U21" i="39"/>
  <c r="AA25" i="21"/>
  <c r="BA587" i="3"/>
  <c r="AZ587" i="3" s="1"/>
  <c r="J45" i="21"/>
  <c r="F45" i="21"/>
  <c r="AA10" i="37"/>
  <c r="AZ338" i="3"/>
  <c r="S14" i="36"/>
  <c r="S30" i="40"/>
  <c r="U27" i="40"/>
  <c r="U11" i="21"/>
  <c r="AB11" i="21"/>
  <c r="BL585" i="3"/>
  <c r="H46" i="21"/>
  <c r="J46" i="21"/>
  <c r="F46" i="21"/>
  <c r="AA40" i="21"/>
  <c r="S40" i="21"/>
  <c r="H23" i="35"/>
  <c r="F23" i="35"/>
  <c r="J23" i="35"/>
  <c r="AA30" i="36"/>
  <c r="AZ514" i="3"/>
  <c r="O66" i="71"/>
  <c r="AZ383" i="3"/>
  <c r="AC33" i="37"/>
  <c r="W33" i="37"/>
  <c r="AB32" i="33"/>
  <c r="U32" i="33"/>
  <c r="F12" i="21"/>
  <c r="J12" i="21"/>
  <c r="J14" i="34"/>
  <c r="F14" i="34"/>
  <c r="H14" i="34"/>
  <c r="BA584" i="3"/>
  <c r="AZ584" i="3" s="1"/>
  <c r="G583" i="3"/>
  <c r="AZ568" i="3"/>
  <c r="AZ557" i="3"/>
  <c r="AZ539" i="3"/>
  <c r="AZ538" i="3"/>
  <c r="BL533" i="3"/>
  <c r="AZ533" i="3" s="1"/>
  <c r="AZ525" i="3"/>
  <c r="AZ521" i="3"/>
  <c r="AZ515" i="3"/>
  <c r="AZ497" i="3"/>
  <c r="AZ494" i="3"/>
  <c r="AC23" i="21"/>
  <c r="S17" i="33"/>
  <c r="S10" i="21"/>
  <c r="AA23" i="21"/>
  <c r="AB33" i="34"/>
  <c r="C31" i="12"/>
  <c r="AZ504" i="3"/>
  <c r="J29" i="34"/>
  <c r="F29" i="34"/>
  <c r="AZ392" i="3"/>
  <c r="U29" i="37"/>
  <c r="AB17" i="33"/>
  <c r="AB45" i="21"/>
  <c r="D19" i="53"/>
  <c r="F32" i="67"/>
  <c r="F60" i="67" s="1"/>
  <c r="S35" i="35"/>
  <c r="AB39" i="39"/>
  <c r="W37" i="40"/>
  <c r="T12" i="1"/>
  <c r="AA36" i="21"/>
  <c r="S24" i="36"/>
  <c r="S11" i="40"/>
  <c r="AZ373" i="3"/>
  <c r="AZ119" i="3"/>
  <c r="AZ341" i="3"/>
  <c r="AC12" i="37"/>
  <c r="BL539" i="3"/>
  <c r="S44" i="34"/>
  <c r="AA44" i="33"/>
  <c r="AC37" i="34"/>
  <c r="W37" i="34"/>
  <c r="W9" i="34"/>
  <c r="J13" i="36"/>
  <c r="AC13" i="36" s="1"/>
  <c r="F13" i="36"/>
  <c r="C36" i="69"/>
  <c r="K4" i="4"/>
  <c r="B46" i="48" s="1"/>
  <c r="B4" i="72" s="1"/>
  <c r="U33" i="21"/>
  <c r="AC23" i="33"/>
  <c r="AB19" i="33"/>
  <c r="AC37" i="21"/>
  <c r="T13" i="1"/>
  <c r="M18" i="67"/>
  <c r="AQ12" i="1"/>
  <c r="U15" i="34"/>
  <c r="W16" i="35"/>
  <c r="AZ509" i="3"/>
  <c r="AZ508" i="3"/>
  <c r="W28" i="34"/>
  <c r="AC28" i="34"/>
  <c r="H12" i="21"/>
  <c r="AC36" i="39"/>
  <c r="W36" i="39"/>
  <c r="BA582" i="3"/>
  <c r="AZ582" i="3" s="1"/>
  <c r="BA566" i="3"/>
  <c r="AZ566" i="3" s="1"/>
  <c r="BA555" i="3"/>
  <c r="AA9" i="37"/>
  <c r="S20" i="35"/>
  <c r="AZ343" i="3"/>
  <c r="AC13" i="40"/>
  <c r="AB37" i="34"/>
  <c r="AB31" i="33"/>
  <c r="U31" i="33"/>
  <c r="J27" i="21"/>
  <c r="H27" i="21"/>
  <c r="F27" i="21"/>
  <c r="AA40" i="39"/>
  <c r="S40" i="39"/>
  <c r="J39" i="40"/>
  <c r="H39" i="40"/>
  <c r="AZ477" i="3"/>
  <c r="J34" i="36"/>
  <c r="F36" i="39"/>
  <c r="G585" i="3"/>
  <c r="AZ316" i="3"/>
  <c r="AA38" i="33"/>
  <c r="AB31" i="36"/>
  <c r="U8" i="39"/>
  <c r="G578" i="3"/>
  <c r="G570" i="3"/>
  <c r="BA405" i="3"/>
  <c r="BL429" i="3"/>
  <c r="BL434" i="3"/>
  <c r="BA471" i="3"/>
  <c r="G409" i="3"/>
  <c r="BL413" i="3"/>
  <c r="BA430" i="3"/>
  <c r="BL477" i="3"/>
  <c r="BL481" i="3"/>
  <c r="BL531" i="3"/>
  <c r="AZ531" i="3" s="1"/>
  <c r="H29" i="33"/>
  <c r="BA399" i="3"/>
  <c r="BL424" i="3"/>
  <c r="BL425" i="3"/>
  <c r="BA429" i="3"/>
  <c r="AZ429" i="3" s="1"/>
  <c r="BL458" i="3"/>
  <c r="BL475" i="3"/>
  <c r="BA476" i="3"/>
  <c r="AZ476" i="3" s="1"/>
  <c r="BA333" i="3"/>
  <c r="BL363" i="3"/>
  <c r="AZ363" i="3" s="1"/>
  <c r="G29" i="3"/>
  <c r="AZ318" i="3"/>
  <c r="AZ321" i="3"/>
  <c r="BL571" i="3"/>
  <c r="H26" i="37"/>
  <c r="H25" i="37"/>
  <c r="G407" i="3"/>
  <c r="BA415" i="3"/>
  <c r="BL442" i="3"/>
  <c r="AZ221" i="3"/>
  <c r="BL283" i="3"/>
  <c r="U77" i="71"/>
  <c r="C76" i="71"/>
  <c r="D76" i="71" s="1"/>
  <c r="D77" i="71"/>
  <c r="AZ495" i="3"/>
  <c r="AZ513" i="3"/>
  <c r="BL549" i="3"/>
  <c r="AZ549" i="3" s="1"/>
  <c r="AZ558" i="3"/>
  <c r="F9" i="34"/>
  <c r="BL555" i="3"/>
  <c r="G555" i="3"/>
  <c r="BA554" i="3"/>
  <c r="AZ554" i="3" s="1"/>
  <c r="BL553" i="3"/>
  <c r="BA553" i="3"/>
  <c r="BA552" i="3"/>
  <c r="AZ552" i="3" s="1"/>
  <c r="BA548" i="3"/>
  <c r="AZ548" i="3" s="1"/>
  <c r="S22" i="31"/>
  <c r="R22" i="31" s="1"/>
  <c r="BL409" i="3"/>
  <c r="BL195" i="3"/>
  <c r="AZ195" i="3" s="1"/>
  <c r="BA398" i="3"/>
  <c r="BL408" i="3"/>
  <c r="BA425" i="3"/>
  <c r="BA458" i="3"/>
  <c r="BL470" i="3"/>
  <c r="BA473" i="3"/>
  <c r="BL485" i="3"/>
  <c r="AZ302" i="3"/>
  <c r="BL42" i="3"/>
  <c r="BA70" i="3"/>
  <c r="AZ344" i="3"/>
  <c r="AZ498" i="3"/>
  <c r="AA38" i="34"/>
  <c r="S8" i="36"/>
  <c r="F34" i="35"/>
  <c r="G574" i="3"/>
  <c r="G566" i="3"/>
  <c r="BL550" i="3"/>
  <c r="G542" i="3"/>
  <c r="G526" i="3"/>
  <c r="BL484" i="3"/>
  <c r="G378" i="3"/>
  <c r="BL242" i="3"/>
  <c r="AZ371" i="3"/>
  <c r="AZ356" i="3"/>
  <c r="AZ342" i="3"/>
  <c r="AZ164" i="3"/>
  <c r="AZ394" i="3"/>
  <c r="BL499" i="3"/>
  <c r="AZ499" i="3" s="1"/>
  <c r="BL523" i="3"/>
  <c r="AZ523" i="3" s="1"/>
  <c r="BL563" i="3"/>
  <c r="AZ563" i="3" s="1"/>
  <c r="S41" i="33"/>
  <c r="AB23" i="34"/>
  <c r="BA408" i="3"/>
  <c r="BA421" i="3"/>
  <c r="BA432" i="3"/>
  <c r="BA444" i="3"/>
  <c r="BA469" i="3"/>
  <c r="AZ469" i="3" s="1"/>
  <c r="G327" i="3"/>
  <c r="BL332" i="3"/>
  <c r="BL501" i="3"/>
  <c r="AZ501" i="3" s="1"/>
  <c r="BL519" i="3"/>
  <c r="BL579" i="3"/>
  <c r="BL581" i="3"/>
  <c r="BA581" i="3"/>
  <c r="BL580" i="3"/>
  <c r="AZ580" i="3" s="1"/>
  <c r="G580" i="3"/>
  <c r="BA579" i="3"/>
  <c r="BL578" i="3"/>
  <c r="BA578" i="3"/>
  <c r="BA577" i="3"/>
  <c r="AZ577" i="3" s="1"/>
  <c r="BL576" i="3"/>
  <c r="BL575" i="3"/>
  <c r="BA575" i="3"/>
  <c r="BA573" i="3"/>
  <c r="BA571" i="3"/>
  <c r="AZ571" i="3" s="1"/>
  <c r="BL570" i="3"/>
  <c r="BA551" i="3"/>
  <c r="AZ551" i="3" s="1"/>
  <c r="BL418" i="3"/>
  <c r="BL439" i="3"/>
  <c r="BL452" i="3"/>
  <c r="BL330" i="3"/>
  <c r="AZ330" i="3" s="1"/>
  <c r="BA41" i="3"/>
  <c r="G14" i="3"/>
  <c r="BL16" i="3"/>
  <c r="AZ16" i="3" s="1"/>
  <c r="BA487" i="3"/>
  <c r="BA241" i="3"/>
  <c r="BA266" i="3"/>
  <c r="G404" i="3"/>
  <c r="G408" i="3"/>
  <c r="BA419" i="3"/>
  <c r="AZ419" i="3" s="1"/>
  <c r="BL420" i="3"/>
  <c r="BA433" i="3"/>
  <c r="G439" i="3"/>
  <c r="BA447" i="3"/>
  <c r="BA448" i="3"/>
  <c r="BA450" i="3"/>
  <c r="BL464" i="3"/>
  <c r="BL474" i="3"/>
  <c r="BL491" i="3"/>
  <c r="G311" i="3"/>
  <c r="BL328" i="3"/>
  <c r="AZ328" i="3" s="1"/>
  <c r="BL386" i="3"/>
  <c r="BA388" i="3"/>
  <c r="AZ388" i="3" s="1"/>
  <c r="G396" i="3"/>
  <c r="G220" i="3"/>
  <c r="G223" i="3"/>
  <c r="BL228" i="3"/>
  <c r="BL230" i="3"/>
  <c r="G245" i="3"/>
  <c r="G264" i="3"/>
  <c r="BL269" i="3"/>
  <c r="BL273" i="3"/>
  <c r="BA274" i="3"/>
  <c r="AZ274" i="3" s="1"/>
  <c r="BA275" i="3"/>
  <c r="AZ275" i="3" s="1"/>
  <c r="G283" i="3"/>
  <c r="G284" i="3"/>
  <c r="BL288" i="3"/>
  <c r="BA290" i="3"/>
  <c r="BA294" i="3"/>
  <c r="AZ294" i="3" s="1"/>
  <c r="BA295" i="3"/>
  <c r="G114" i="3"/>
  <c r="G116" i="3"/>
  <c r="BA124" i="3"/>
  <c r="AZ124" i="3" s="1"/>
  <c r="G131" i="3"/>
  <c r="BA142" i="3"/>
  <c r="G144" i="3"/>
  <c r="BL149" i="3"/>
  <c r="BA152" i="3"/>
  <c r="AZ152" i="3" s="1"/>
  <c r="G162" i="3"/>
  <c r="BA169" i="3"/>
  <c r="AZ169" i="3" s="1"/>
  <c r="BA177" i="3"/>
  <c r="BA194" i="3"/>
  <c r="G196" i="3"/>
  <c r="BL202" i="3"/>
  <c r="BL207" i="3"/>
  <c r="G26" i="3"/>
  <c r="BA75" i="3"/>
  <c r="BL76" i="3"/>
  <c r="G85" i="3"/>
  <c r="BL91" i="3"/>
  <c r="BL92" i="3"/>
  <c r="G112" i="3"/>
  <c r="S25" i="40"/>
  <c r="C68" i="71"/>
  <c r="B40" i="71"/>
  <c r="B41" i="71" s="1"/>
  <c r="T41" i="71" s="1"/>
  <c r="B56" i="71"/>
  <c r="B57" i="71" s="1"/>
  <c r="T57" i="71" s="1"/>
  <c r="B64" i="71"/>
  <c r="B65" i="71" s="1"/>
  <c r="T65" i="71" s="1"/>
  <c r="V77" i="71"/>
  <c r="C5" i="68"/>
  <c r="G403" i="3"/>
  <c r="G405" i="3"/>
  <c r="BA416" i="3"/>
  <c r="G434" i="3"/>
  <c r="BL441" i="3"/>
  <c r="AZ441" i="3" s="1"/>
  <c r="BA445" i="3"/>
  <c r="BA446" i="3"/>
  <c r="AZ446" i="3" s="1"/>
  <c r="BL462" i="3"/>
  <c r="BL465" i="3"/>
  <c r="AZ465" i="3" s="1"/>
  <c r="BA474" i="3"/>
  <c r="BL479" i="3"/>
  <c r="BL486" i="3"/>
  <c r="BA489" i="3"/>
  <c r="BA491" i="3"/>
  <c r="AZ491" i="3" s="1"/>
  <c r="BA315" i="3"/>
  <c r="AZ315" i="3" s="1"/>
  <c r="G323" i="3"/>
  <c r="BL359" i="3"/>
  <c r="AZ359" i="3" s="1"/>
  <c r="G369" i="3"/>
  <c r="G382" i="3"/>
  <c r="BL385" i="3"/>
  <c r="BL226" i="3"/>
  <c r="AZ226" i="3" s="1"/>
  <c r="BL229" i="3"/>
  <c r="BA230" i="3"/>
  <c r="G244" i="3"/>
  <c r="BA252" i="3"/>
  <c r="AZ252" i="3" s="1"/>
  <c r="G261" i="3"/>
  <c r="G262" i="3"/>
  <c r="G263" i="3"/>
  <c r="BA272" i="3"/>
  <c r="AZ272" i="3" s="1"/>
  <c r="BA279" i="3"/>
  <c r="G282" i="3"/>
  <c r="G302" i="3"/>
  <c r="BL119" i="3"/>
  <c r="G160" i="3"/>
  <c r="BA166" i="3"/>
  <c r="AZ166" i="3" s="1"/>
  <c r="BA23" i="3"/>
  <c r="BL28" i="3"/>
  <c r="G44" i="3"/>
  <c r="BL48" i="3"/>
  <c r="BL49" i="3"/>
  <c r="AZ49" i="3" s="1"/>
  <c r="BL50" i="3"/>
  <c r="BA56" i="3"/>
  <c r="AZ56" i="3" s="1"/>
  <c r="G61" i="3"/>
  <c r="BL72" i="3"/>
  <c r="G84" i="3"/>
  <c r="BL88" i="3"/>
  <c r="G110" i="3"/>
  <c r="BA374" i="3"/>
  <c r="AZ374" i="3" s="1"/>
  <c r="BL224" i="3"/>
  <c r="BA226" i="3"/>
  <c r="BA229" i="3"/>
  <c r="AZ229" i="3" s="1"/>
  <c r="BL247" i="3"/>
  <c r="BL268" i="3"/>
  <c r="BA270" i="3"/>
  <c r="BL286" i="3"/>
  <c r="BL287" i="3"/>
  <c r="BA126" i="3"/>
  <c r="BL133" i="3"/>
  <c r="BL147" i="3"/>
  <c r="AZ147" i="3" s="1"/>
  <c r="BA165" i="3"/>
  <c r="BA182" i="3"/>
  <c r="BA54" i="3"/>
  <c r="BL58" i="3"/>
  <c r="BL65" i="3"/>
  <c r="BL67" i="3"/>
  <c r="BL87" i="3"/>
  <c r="BA94" i="3"/>
  <c r="B69" i="43"/>
  <c r="F40" i="71"/>
  <c r="F41" i="71" s="1"/>
  <c r="V41" i="71" s="1"/>
  <c r="F56" i="71"/>
  <c r="F57" i="71" s="1"/>
  <c r="V57" i="71" s="1"/>
  <c r="F64" i="71"/>
  <c r="F65" i="71" s="1"/>
  <c r="V65" i="71" s="1"/>
  <c r="M56" i="9"/>
  <c r="BL410" i="3"/>
  <c r="BA412" i="3"/>
  <c r="BL415" i="3"/>
  <c r="BA424" i="3"/>
  <c r="AZ424" i="3" s="1"/>
  <c r="G429" i="3"/>
  <c r="BL437" i="3"/>
  <c r="G451" i="3"/>
  <c r="G454" i="3"/>
  <c r="BA462" i="3"/>
  <c r="BL463" i="3"/>
  <c r="BA464" i="3"/>
  <c r="BL466" i="3"/>
  <c r="AZ466" i="3" s="1"/>
  <c r="BA467" i="3"/>
  <c r="G476" i="3"/>
  <c r="G479" i="3"/>
  <c r="BL314" i="3"/>
  <c r="AZ314" i="3" s="1"/>
  <c r="G380" i="3"/>
  <c r="G216" i="3"/>
  <c r="G217" i="3"/>
  <c r="BL223" i="3"/>
  <c r="BL225" i="3"/>
  <c r="G236" i="3"/>
  <c r="G240" i="3"/>
  <c r="BL246" i="3"/>
  <c r="BA251" i="3"/>
  <c r="G259" i="3"/>
  <c r="BA269" i="3"/>
  <c r="AZ269" i="3" s="1"/>
  <c r="G280" i="3"/>
  <c r="G281" i="3"/>
  <c r="G300" i="3"/>
  <c r="BL131" i="3"/>
  <c r="AZ131" i="3" s="1"/>
  <c r="G142" i="3"/>
  <c r="BA164" i="3"/>
  <c r="G175" i="3"/>
  <c r="BL179" i="3"/>
  <c r="AZ179" i="3" s="1"/>
  <c r="BL194" i="3"/>
  <c r="BA198" i="3"/>
  <c r="BA29" i="3"/>
  <c r="BA38" i="3"/>
  <c r="BL46" i="3"/>
  <c r="BA49" i="3"/>
  <c r="AC18" i="36"/>
  <c r="B58" i="43"/>
  <c r="G40" i="71"/>
  <c r="G41" i="71" s="1"/>
  <c r="W41" i="71" s="1"/>
  <c r="G48" i="71"/>
  <c r="G49" i="71" s="1"/>
  <c r="W49" i="71" s="1"/>
  <c r="G56" i="71"/>
  <c r="G64" i="71"/>
  <c r="N37" i="43"/>
  <c r="BA440" i="3"/>
  <c r="BA485" i="3"/>
  <c r="AZ485" i="3" s="1"/>
  <c r="BA486" i="3"/>
  <c r="AZ486" i="3" s="1"/>
  <c r="BL487" i="3"/>
  <c r="AZ487" i="3" s="1"/>
  <c r="BR5" i="3"/>
  <c r="G28" i="6" s="1"/>
  <c r="BA347" i="3"/>
  <c r="BL347" i="3"/>
  <c r="BA358" i="3"/>
  <c r="AZ358" i="3" s="1"/>
  <c r="BA217" i="3"/>
  <c r="AZ217" i="3" s="1"/>
  <c r="BL218" i="3"/>
  <c r="BL219" i="3"/>
  <c r="BA221" i="3"/>
  <c r="BA225" i="3"/>
  <c r="AZ225" i="3" s="1"/>
  <c r="G235" i="3"/>
  <c r="G239" i="3"/>
  <c r="BA246" i="3"/>
  <c r="AZ246" i="3" s="1"/>
  <c r="BA247" i="3"/>
  <c r="BA248" i="3"/>
  <c r="BA249" i="3"/>
  <c r="BA250" i="3"/>
  <c r="BL263" i="3"/>
  <c r="BL264" i="3"/>
  <c r="BL265" i="3"/>
  <c r="G127" i="3"/>
  <c r="G140" i="3"/>
  <c r="G155" i="3"/>
  <c r="G158" i="3"/>
  <c r="BL193" i="3"/>
  <c r="BA18" i="3"/>
  <c r="G38" i="3"/>
  <c r="G40" i="3"/>
  <c r="BL44" i="3"/>
  <c r="G58" i="3"/>
  <c r="BL62" i="3"/>
  <c r="BA65" i="3"/>
  <c r="G102" i="3"/>
  <c r="G106" i="3"/>
  <c r="BL111" i="3"/>
  <c r="U29" i="39"/>
  <c r="D32" i="77"/>
  <c r="BL401" i="3"/>
  <c r="BL402" i="3"/>
  <c r="BA410" i="3"/>
  <c r="BL411" i="3"/>
  <c r="G421" i="3"/>
  <c r="G423" i="3"/>
  <c r="G424" i="3"/>
  <c r="BL432" i="3"/>
  <c r="BL433" i="3"/>
  <c r="BL436" i="3"/>
  <c r="BL445" i="3"/>
  <c r="G449" i="3"/>
  <c r="BA457" i="3"/>
  <c r="BL459" i="3"/>
  <c r="BL461" i="3"/>
  <c r="BA482" i="3"/>
  <c r="BL308" i="3"/>
  <c r="AZ308" i="3" s="1"/>
  <c r="BL312" i="3"/>
  <c r="AZ312" i="3" s="1"/>
  <c r="G351" i="3"/>
  <c r="BA397" i="3"/>
  <c r="BA212" i="3"/>
  <c r="BL217" i="3"/>
  <c r="BL220" i="3"/>
  <c r="G238" i="3"/>
  <c r="G256" i="3"/>
  <c r="G257" i="3"/>
  <c r="BL261" i="3"/>
  <c r="AZ261" i="3" s="1"/>
  <c r="BA264" i="3"/>
  <c r="BA265" i="3"/>
  <c r="G276" i="3"/>
  <c r="BL281" i="3"/>
  <c r="G296" i="3"/>
  <c r="G297" i="3"/>
  <c r="G298" i="3"/>
  <c r="BA116" i="3"/>
  <c r="AZ116" i="3" s="1"/>
  <c r="BL135" i="3"/>
  <c r="AZ135" i="3" s="1"/>
  <c r="G139" i="3"/>
  <c r="G154" i="3"/>
  <c r="G171" i="3"/>
  <c r="G18" i="3"/>
  <c r="BL23" i="3"/>
  <c r="BA26" i="3"/>
  <c r="BA31" i="3"/>
  <c r="G37" i="3"/>
  <c r="BA46" i="3"/>
  <c r="BL47" i="3"/>
  <c r="G56" i="3"/>
  <c r="BL60" i="3"/>
  <c r="BA63" i="3"/>
  <c r="AZ63" i="3" s="1"/>
  <c r="BA64" i="3"/>
  <c r="BA87" i="3"/>
  <c r="AZ87" i="3" s="1"/>
  <c r="BL93" i="3"/>
  <c r="G96" i="3"/>
  <c r="BL110" i="3"/>
  <c r="AZ110" i="3" s="1"/>
  <c r="W21" i="21"/>
  <c r="B89" i="43"/>
  <c r="B44" i="71"/>
  <c r="B45" i="71" s="1"/>
  <c r="T45" i="71" s="1"/>
  <c r="G80" i="71"/>
  <c r="G79" i="71" s="1"/>
  <c r="D11" i="77"/>
  <c r="E11" i="77" s="1"/>
  <c r="E7" i="77" s="1"/>
  <c r="C27" i="77" s="1"/>
  <c r="BA220" i="3"/>
  <c r="BA244" i="3"/>
  <c r="BA245" i="3"/>
  <c r="BA262" i="3"/>
  <c r="AZ262" i="3" s="1"/>
  <c r="BA288" i="3"/>
  <c r="BA113" i="3"/>
  <c r="BL159" i="3"/>
  <c r="AZ159" i="3" s="1"/>
  <c r="BA160" i="3"/>
  <c r="AZ160" i="3" s="1"/>
  <c r="BL43" i="3"/>
  <c r="BA44" i="3"/>
  <c r="AZ44" i="3" s="1"/>
  <c r="BA45" i="3"/>
  <c r="BL104" i="3"/>
  <c r="BL400" i="3"/>
  <c r="BA404" i="3"/>
  <c r="AZ404" i="3" s="1"/>
  <c r="BL405" i="3"/>
  <c r="G419" i="3"/>
  <c r="BL428" i="3"/>
  <c r="AZ428" i="3" s="1"/>
  <c r="BL431" i="3"/>
  <c r="BA439" i="3"/>
  <c r="AZ439" i="3" s="1"/>
  <c r="G446" i="3"/>
  <c r="G448" i="3"/>
  <c r="BL453" i="3"/>
  <c r="BL456" i="3"/>
  <c r="BA459" i="3"/>
  <c r="G468" i="3"/>
  <c r="G469" i="3"/>
  <c r="G471" i="3"/>
  <c r="BL478" i="3"/>
  <c r="G490" i="3"/>
  <c r="G492" i="3"/>
  <c r="G362" i="3"/>
  <c r="BA370" i="3"/>
  <c r="AZ370" i="3" s="1"/>
  <c r="BA395" i="3"/>
  <c r="BA396" i="3"/>
  <c r="BL208" i="3"/>
  <c r="G211" i="3"/>
  <c r="G212" i="3"/>
  <c r="BL216" i="3"/>
  <c r="G232" i="3"/>
  <c r="BA242" i="3"/>
  <c r="BA243" i="3"/>
  <c r="G254" i="3"/>
  <c r="BA257" i="3"/>
  <c r="BL260" i="3"/>
  <c r="G271" i="3"/>
  <c r="G272" i="3"/>
  <c r="G274" i="3"/>
  <c r="G275" i="3"/>
  <c r="BA281" i="3"/>
  <c r="AZ281" i="3" s="1"/>
  <c r="G290" i="3"/>
  <c r="BA301" i="3"/>
  <c r="G123" i="3"/>
  <c r="BA130" i="3"/>
  <c r="BA134" i="3"/>
  <c r="G136" i="3"/>
  <c r="G150" i="3"/>
  <c r="BL157" i="3"/>
  <c r="AZ157" i="3" s="1"/>
  <c r="BA176" i="3"/>
  <c r="AZ176" i="3" s="1"/>
  <c r="BL189" i="3"/>
  <c r="BL190" i="3"/>
  <c r="BA192" i="3"/>
  <c r="AZ192" i="3" s="1"/>
  <c r="BA193" i="3"/>
  <c r="G205" i="3"/>
  <c r="G32" i="3"/>
  <c r="G35" i="3"/>
  <c r="BL38" i="3"/>
  <c r="BL39" i="3"/>
  <c r="BL40" i="3"/>
  <c r="BA42" i="3"/>
  <c r="AZ42" i="3" s="1"/>
  <c r="BA43" i="3"/>
  <c r="AZ43" i="3" s="1"/>
  <c r="BL82" i="3"/>
  <c r="G94" i="3"/>
  <c r="BL106" i="3"/>
  <c r="B52" i="71"/>
  <c r="BA392" i="3"/>
  <c r="BL233" i="3"/>
  <c r="BL238" i="3"/>
  <c r="BL239" i="3"/>
  <c r="BL240" i="3"/>
  <c r="BL257" i="3"/>
  <c r="BL277" i="3"/>
  <c r="BA286" i="3"/>
  <c r="AZ286" i="3" s="1"/>
  <c r="BA292" i="3"/>
  <c r="BL296" i="3"/>
  <c r="AZ296" i="3" s="1"/>
  <c r="BA300" i="3"/>
  <c r="BL18" i="3"/>
  <c r="BA59" i="3"/>
  <c r="BL61" i="3"/>
  <c r="BA81" i="3"/>
  <c r="AZ81" i="3" s="1"/>
  <c r="BA82" i="3"/>
  <c r="AZ82" i="3" s="1"/>
  <c r="BA86" i="3"/>
  <c r="BL99" i="3"/>
  <c r="BL101" i="3"/>
  <c r="BA104" i="3"/>
  <c r="BA108" i="3"/>
  <c r="G415" i="3"/>
  <c r="BL421" i="3"/>
  <c r="BL426" i="3"/>
  <c r="BA427" i="3"/>
  <c r="AZ427" i="3" s="1"/>
  <c r="BL427" i="3"/>
  <c r="BA434" i="3"/>
  <c r="G441" i="3"/>
  <c r="BL448" i="3"/>
  <c r="G467" i="3"/>
  <c r="BA470" i="3"/>
  <c r="BL333" i="3"/>
  <c r="BA354" i="3"/>
  <c r="BL383" i="3"/>
  <c r="G209" i="3"/>
  <c r="G226" i="3"/>
  <c r="G228" i="3"/>
  <c r="BA231" i="3"/>
  <c r="BA236" i="3"/>
  <c r="AZ236" i="3" s="1"/>
  <c r="G251" i="3"/>
  <c r="BL276" i="3"/>
  <c r="BL282" i="3"/>
  <c r="BL115" i="3"/>
  <c r="AZ115" i="3" s="1"/>
  <c r="G122" i="3"/>
  <c r="BL125" i="3"/>
  <c r="BL127" i="3"/>
  <c r="AZ127" i="3" s="1"/>
  <c r="G135" i="3"/>
  <c r="BL139" i="3"/>
  <c r="AZ139" i="3" s="1"/>
  <c r="BA141" i="3"/>
  <c r="BL187" i="3"/>
  <c r="AZ187" i="3" s="1"/>
  <c r="BA190" i="3"/>
  <c r="AZ190" i="3" s="1"/>
  <c r="BL22" i="3"/>
  <c r="BA28" i="3"/>
  <c r="BL36" i="3"/>
  <c r="BA48" i="3"/>
  <c r="AZ48" i="3" s="1"/>
  <c r="BL57" i="3"/>
  <c r="BA61" i="3"/>
  <c r="AZ61" i="3" s="1"/>
  <c r="G69" i="3"/>
  <c r="BL77" i="3"/>
  <c r="BL79" i="3"/>
  <c r="BA88" i="3"/>
  <c r="AZ88" i="3" s="1"/>
  <c r="G92" i="3"/>
  <c r="BL95" i="3"/>
  <c r="BL97" i="3"/>
  <c r="C21" i="69"/>
  <c r="M37" i="43"/>
  <c r="BL398" i="3"/>
  <c r="G412" i="3"/>
  <c r="BL419" i="3"/>
  <c r="BL422" i="3"/>
  <c r="BA423" i="3"/>
  <c r="AZ423" i="3" s="1"/>
  <c r="BL423" i="3"/>
  <c r="BA426" i="3"/>
  <c r="G440" i="3"/>
  <c r="BA449" i="3"/>
  <c r="BL450" i="3"/>
  <c r="BA452" i="3"/>
  <c r="AZ452" i="3" s="1"/>
  <c r="BL473" i="3"/>
  <c r="BA481" i="3"/>
  <c r="G487" i="3"/>
  <c r="BL316" i="3"/>
  <c r="BA319" i="3"/>
  <c r="AZ319" i="3" s="1"/>
  <c r="BA335" i="3"/>
  <c r="AZ335" i="3" s="1"/>
  <c r="BL375" i="3"/>
  <c r="AZ375" i="3" s="1"/>
  <c r="G208" i="3"/>
  <c r="G225" i="3"/>
  <c r="BL231" i="3"/>
  <c r="BL232" i="3"/>
  <c r="BA233" i="3"/>
  <c r="AZ233" i="3" s="1"/>
  <c r="BA234" i="3"/>
  <c r="BA235" i="3"/>
  <c r="BA238" i="3"/>
  <c r="AZ238" i="3" s="1"/>
  <c r="G250" i="3"/>
  <c r="G266" i="3"/>
  <c r="G267" i="3"/>
  <c r="G268" i="3"/>
  <c r="BA276" i="3"/>
  <c r="G287" i="3"/>
  <c r="BL291" i="3"/>
  <c r="AZ291" i="3" s="1"/>
  <c r="G119" i="3"/>
  <c r="BL143" i="3"/>
  <c r="AZ143" i="3" s="1"/>
  <c r="G147" i="3"/>
  <c r="BL151" i="3"/>
  <c r="AZ151" i="3" s="1"/>
  <c r="G164" i="3"/>
  <c r="BL174" i="3"/>
  <c r="AZ174" i="3" s="1"/>
  <c r="BL185" i="3"/>
  <c r="G198" i="3"/>
  <c r="G28" i="3"/>
  <c r="BL34" i="3"/>
  <c r="BL53" i="3"/>
  <c r="AZ53" i="3" s="1"/>
  <c r="BA57" i="3"/>
  <c r="G66" i="3"/>
  <c r="G88" i="3"/>
  <c r="G90" i="3"/>
  <c r="BA96" i="3"/>
  <c r="AZ96" i="3" s="1"/>
  <c r="BA98" i="3"/>
  <c r="D84" i="43"/>
  <c r="D88" i="43"/>
  <c r="D86" i="43"/>
  <c r="F84" i="43"/>
  <c r="C30" i="68"/>
  <c r="AA31" i="35"/>
  <c r="S31" i="35"/>
  <c r="BA546" i="3"/>
  <c r="AZ546" i="3" s="1"/>
  <c r="BH5" i="3"/>
  <c r="BL543" i="3"/>
  <c r="BT5" i="3"/>
  <c r="S23" i="33"/>
  <c r="AA23" i="33"/>
  <c r="H5" i="3"/>
  <c r="G547" i="3"/>
  <c r="BF5" i="3"/>
  <c r="BA543" i="3"/>
  <c r="W23" i="37"/>
  <c r="AC23" i="37"/>
  <c r="AZ553" i="3"/>
  <c r="BL545" i="3"/>
  <c r="BP5" i="3"/>
  <c r="BB5" i="3"/>
  <c r="BA542" i="3"/>
  <c r="W27" i="33"/>
  <c r="BL547" i="3"/>
  <c r="AZ547" i="3" s="1"/>
  <c r="BM5" i="3"/>
  <c r="BC5" i="3"/>
  <c r="BA545" i="3"/>
  <c r="D124" i="9"/>
  <c r="H110" i="9"/>
  <c r="D18" i="53" s="1"/>
  <c r="B35" i="72" s="1"/>
  <c r="AC10" i="34"/>
  <c r="BO5" i="3"/>
  <c r="BL542" i="3"/>
  <c r="BA544" i="3"/>
  <c r="AZ544" i="3" s="1"/>
  <c r="BK5" i="3"/>
  <c r="M7" i="1"/>
  <c r="Q16" i="1"/>
  <c r="H16" i="1"/>
  <c r="AB25" i="34"/>
  <c r="U25" i="34"/>
  <c r="S15" i="40"/>
  <c r="AA15" i="40"/>
  <c r="U32" i="39"/>
  <c r="AC10" i="37"/>
  <c r="W10" i="37"/>
  <c r="W17" i="21"/>
  <c r="AC17" i="21"/>
  <c r="P11" i="1"/>
  <c r="AB32" i="21"/>
  <c r="U32" i="21"/>
  <c r="S11" i="33"/>
  <c r="AA17" i="37"/>
  <c r="S17" i="37"/>
  <c r="AQ7" i="1"/>
  <c r="F48" i="69"/>
  <c r="C48" i="69"/>
  <c r="S16" i="1"/>
  <c r="AB23" i="21"/>
  <c r="U23" i="21"/>
  <c r="S34" i="33"/>
  <c r="AA34" i="33"/>
  <c r="AZ581" i="3"/>
  <c r="AZ578" i="3"/>
  <c r="BA576" i="3"/>
  <c r="AZ576" i="3" s="1"/>
  <c r="BG5" i="3"/>
  <c r="AZ575" i="3"/>
  <c r="BA574" i="3"/>
  <c r="AZ574" i="3" s="1"/>
  <c r="BJ5" i="3"/>
  <c r="BL573" i="3"/>
  <c r="BS5" i="3"/>
  <c r="AZ573" i="3"/>
  <c r="BL572" i="3"/>
  <c r="AZ572" i="3" s="1"/>
  <c r="BN5" i="3"/>
  <c r="G572" i="3"/>
  <c r="AC5" i="3"/>
  <c r="BA570" i="3"/>
  <c r="BD5" i="3"/>
  <c r="BQ5" i="3"/>
  <c r="BE5" i="3"/>
  <c r="W10" i="33"/>
  <c r="AC10" i="33"/>
  <c r="D9" i="11"/>
  <c r="C9" i="11" s="1"/>
  <c r="D9" i="69"/>
  <c r="C9" i="69" s="1"/>
  <c r="D19" i="12"/>
  <c r="C19" i="12" s="1"/>
  <c r="AZ340" i="3"/>
  <c r="AB37" i="33"/>
  <c r="U37" i="33"/>
  <c r="AA26" i="21"/>
  <c r="AB25" i="39"/>
  <c r="U25" i="39"/>
  <c r="AA37" i="21"/>
  <c r="S37" i="21"/>
  <c r="AZ555" i="3"/>
  <c r="S10" i="33"/>
  <c r="AA10" i="33"/>
  <c r="AR6" i="1"/>
  <c r="AZ155" i="3"/>
  <c r="AA39" i="39"/>
  <c r="S23" i="37"/>
  <c r="AZ378" i="3"/>
  <c r="AB40" i="39"/>
  <c r="U40" i="39"/>
  <c r="W11" i="39"/>
  <c r="AC11" i="39"/>
  <c r="AB45" i="33"/>
  <c r="BA585" i="3"/>
  <c r="AZ585" i="3" s="1"/>
  <c r="F14" i="21"/>
  <c r="H14" i="21"/>
  <c r="J14" i="21"/>
  <c r="AA32" i="37"/>
  <c r="S32" i="37"/>
  <c r="AZ505" i="3"/>
  <c r="AQ10" i="1"/>
  <c r="S12" i="34"/>
  <c r="AA12" i="34"/>
  <c r="AZ537" i="3"/>
  <c r="U44" i="34"/>
  <c r="P12" i="1"/>
  <c r="U20" i="36"/>
  <c r="AB20" i="36"/>
  <c r="AC40" i="37"/>
  <c r="W40" i="37"/>
  <c r="AB34" i="35"/>
  <c r="U34" i="35"/>
  <c r="AZ519" i="3"/>
  <c r="AB30" i="35"/>
  <c r="U30" i="35"/>
  <c r="S25" i="39"/>
  <c r="AA32" i="40"/>
  <c r="S41" i="34"/>
  <c r="AB43" i="33"/>
  <c r="AB11" i="36"/>
  <c r="H28" i="21"/>
  <c r="F28" i="21"/>
  <c r="J28" i="21"/>
  <c r="AC39" i="33"/>
  <c r="W39" i="33"/>
  <c r="AC29" i="33"/>
  <c r="W29" i="33"/>
  <c r="W11" i="36"/>
  <c r="S26" i="33"/>
  <c r="AA26" i="33"/>
  <c r="J36" i="35"/>
  <c r="H36" i="35"/>
  <c r="AC15" i="39"/>
  <c r="AZ583" i="3"/>
  <c r="AZ510" i="3"/>
  <c r="U46" i="33"/>
  <c r="S14" i="33"/>
  <c r="AA14" i="33"/>
  <c r="W13" i="36"/>
  <c r="AA13" i="35"/>
  <c r="J9" i="33"/>
  <c r="H9" i="33"/>
  <c r="F9" i="33"/>
  <c r="F12" i="35"/>
  <c r="J12" i="35"/>
  <c r="H12" i="35"/>
  <c r="AZ511" i="3"/>
  <c r="AC30" i="34"/>
  <c r="W30" i="34"/>
  <c r="U12" i="33"/>
  <c r="AB12" i="33"/>
  <c r="AB33" i="33"/>
  <c r="U33" i="33"/>
  <c r="J24" i="36"/>
  <c r="H24" i="36"/>
  <c r="H27" i="37"/>
  <c r="J27" i="37"/>
  <c r="AC33" i="33"/>
  <c r="W33" i="33"/>
  <c r="J12" i="36"/>
  <c r="H12" i="36"/>
  <c r="F12" i="36"/>
  <c r="H44" i="39"/>
  <c r="F44" i="39"/>
  <c r="B100" i="43"/>
  <c r="B77" i="43"/>
  <c r="C21" i="39"/>
  <c r="B98" i="43"/>
  <c r="B76" i="43"/>
  <c r="J33" i="36"/>
  <c r="U23" i="40"/>
  <c r="F33" i="36"/>
  <c r="U40" i="40"/>
  <c r="AB9" i="36"/>
  <c r="AC28" i="36"/>
  <c r="F25" i="37"/>
  <c r="U38" i="40"/>
  <c r="B74" i="43"/>
  <c r="F38" i="40"/>
  <c r="BL399" i="3"/>
  <c r="BA403" i="3"/>
  <c r="BA406" i="3"/>
  <c r="BA407" i="3"/>
  <c r="BA435" i="3"/>
  <c r="BA436" i="3"/>
  <c r="AZ436" i="3" s="1"/>
  <c r="BA456" i="3"/>
  <c r="AZ456" i="3" s="1"/>
  <c r="AZ212" i="3"/>
  <c r="BA402" i="3"/>
  <c r="AZ402" i="3" s="1"/>
  <c r="BA437" i="3"/>
  <c r="AZ437" i="3" s="1"/>
  <c r="BL454" i="3"/>
  <c r="AZ459" i="3"/>
  <c r="BA550" i="3"/>
  <c r="AZ550" i="3" s="1"/>
  <c r="AZ399" i="3"/>
  <c r="BA400" i="3"/>
  <c r="BA431" i="3"/>
  <c r="AZ431" i="3" s="1"/>
  <c r="P8" i="1"/>
  <c r="BA401" i="3"/>
  <c r="AZ401" i="3" s="1"/>
  <c r="BA409" i="3"/>
  <c r="AZ409" i="3" s="1"/>
  <c r="G414" i="3"/>
  <c r="AZ434" i="3"/>
  <c r="BA453" i="3"/>
  <c r="BA454" i="3"/>
  <c r="BA478" i="3"/>
  <c r="AZ478" i="3" s="1"/>
  <c r="AZ449" i="3"/>
  <c r="AZ481" i="3"/>
  <c r="AZ398" i="3"/>
  <c r="BL416" i="3"/>
  <c r="AZ416" i="3" s="1"/>
  <c r="BA420" i="3"/>
  <c r="AZ420" i="3" s="1"/>
  <c r="BA422" i="3"/>
  <c r="AZ422" i="3" s="1"/>
  <c r="AZ425" i="3"/>
  <c r="AZ276" i="3"/>
  <c r="BL444" i="3"/>
  <c r="AZ444" i="3" s="1"/>
  <c r="BA472" i="3"/>
  <c r="BL489" i="3"/>
  <c r="AZ489" i="3" s="1"/>
  <c r="BL346" i="3"/>
  <c r="AZ346" i="3" s="1"/>
  <c r="F40" i="40"/>
  <c r="G551" i="3"/>
  <c r="BL412" i="3"/>
  <c r="AZ412" i="3" s="1"/>
  <c r="BL440" i="3"/>
  <c r="AZ440" i="3" s="1"/>
  <c r="AZ445" i="3"/>
  <c r="AZ474" i="3"/>
  <c r="G401" i="3"/>
  <c r="BA414" i="3"/>
  <c r="BL414" i="3"/>
  <c r="AZ432" i="3"/>
  <c r="BA413" i="3"/>
  <c r="AZ413" i="3" s="1"/>
  <c r="BL457" i="3"/>
  <c r="AZ457" i="3" s="1"/>
  <c r="BL460" i="3"/>
  <c r="AZ462" i="3"/>
  <c r="AZ464" i="3"/>
  <c r="BL482" i="3"/>
  <c r="AZ482" i="3" s="1"/>
  <c r="BA492" i="3"/>
  <c r="BL403" i="3"/>
  <c r="BL406" i="3"/>
  <c r="BL407" i="3"/>
  <c r="BA411" i="3"/>
  <c r="AZ411" i="3" s="1"/>
  <c r="AZ415" i="3"/>
  <c r="BA418" i="3"/>
  <c r="AZ418" i="3" s="1"/>
  <c r="BL435" i="3"/>
  <c r="BA442" i="3"/>
  <c r="AZ442" i="3" s="1"/>
  <c r="AZ458" i="3"/>
  <c r="BA460" i="3"/>
  <c r="BA461" i="3"/>
  <c r="AZ461" i="3" s="1"/>
  <c r="BL447" i="3"/>
  <c r="AZ447" i="3" s="1"/>
  <c r="BA483" i="3"/>
  <c r="AZ483" i="3" s="1"/>
  <c r="BA307" i="3"/>
  <c r="AZ307" i="3" s="1"/>
  <c r="BA339" i="3"/>
  <c r="AZ339" i="3" s="1"/>
  <c r="BL234" i="3"/>
  <c r="BL235" i="3"/>
  <c r="AZ235" i="3" s="1"/>
  <c r="BA239" i="3"/>
  <c r="AZ239" i="3" s="1"/>
  <c r="BA240" i="3"/>
  <c r="AZ240" i="3" s="1"/>
  <c r="BL266" i="3"/>
  <c r="AZ266" i="3" s="1"/>
  <c r="BL270" i="3"/>
  <c r="AZ270" i="3" s="1"/>
  <c r="BA273" i="3"/>
  <c r="AZ273" i="3" s="1"/>
  <c r="AZ277" i="3"/>
  <c r="AZ278" i="3"/>
  <c r="BA129" i="3"/>
  <c r="G474" i="3"/>
  <c r="BA484" i="3"/>
  <c r="AZ484" i="3" s="1"/>
  <c r="BA232" i="3"/>
  <c r="AZ232" i="3" s="1"/>
  <c r="AC5" i="71"/>
  <c r="AC7" i="71"/>
  <c r="AC6" i="71"/>
  <c r="G445" i="3"/>
  <c r="BA463" i="3"/>
  <c r="AZ463" i="3" s="1"/>
  <c r="BL492" i="3"/>
  <c r="AZ230" i="3"/>
  <c r="BA267" i="3"/>
  <c r="AZ267" i="3" s="1"/>
  <c r="BA268" i="3"/>
  <c r="AZ268" i="3" s="1"/>
  <c r="AZ290" i="3"/>
  <c r="BL443" i="3"/>
  <c r="BL471" i="3"/>
  <c r="AZ471" i="3" s="1"/>
  <c r="G482" i="3"/>
  <c r="BA303" i="3"/>
  <c r="AZ303" i="3" s="1"/>
  <c r="BL354" i="3"/>
  <c r="AZ354" i="3" s="1"/>
  <c r="BA228" i="3"/>
  <c r="AZ228" i="3" s="1"/>
  <c r="BL259" i="3"/>
  <c r="AZ264" i="3"/>
  <c r="BL438" i="3"/>
  <c r="BA443" i="3"/>
  <c r="AZ443" i="3" s="1"/>
  <c r="G457" i="3"/>
  <c r="BL472" i="3"/>
  <c r="BL480" i="3"/>
  <c r="BA332" i="3"/>
  <c r="AZ332" i="3" s="1"/>
  <c r="BL353" i="3"/>
  <c r="BL213" i="3"/>
  <c r="BL214" i="3"/>
  <c r="BA218" i="3"/>
  <c r="AZ218" i="3" s="1"/>
  <c r="AZ220" i="3"/>
  <c r="BA223" i="3"/>
  <c r="AZ223" i="3" s="1"/>
  <c r="BA224" i="3"/>
  <c r="BA227" i="3"/>
  <c r="AZ227" i="3" s="1"/>
  <c r="BL258" i="3"/>
  <c r="BA263" i="3"/>
  <c r="AZ263" i="3" s="1"/>
  <c r="BL122" i="3"/>
  <c r="AZ36" i="3"/>
  <c r="BA438" i="3"/>
  <c r="BL455" i="3"/>
  <c r="BA479" i="3"/>
  <c r="AZ479" i="3" s="1"/>
  <c r="BL324" i="3"/>
  <c r="AZ324" i="3" s="1"/>
  <c r="BL350" i="3"/>
  <c r="BA353" i="3"/>
  <c r="AZ353" i="3" s="1"/>
  <c r="BL367" i="3"/>
  <c r="BL368" i="3"/>
  <c r="BA385" i="3"/>
  <c r="AZ385" i="3" s="1"/>
  <c r="BA386" i="3"/>
  <c r="AZ386" i="3" s="1"/>
  <c r="BL212" i="3"/>
  <c r="BL215" i="3"/>
  <c r="BA216" i="3"/>
  <c r="AZ216" i="3" s="1"/>
  <c r="BA219" i="3"/>
  <c r="AZ219" i="3" s="1"/>
  <c r="BA222" i="3"/>
  <c r="AZ222" i="3" s="1"/>
  <c r="BL256" i="3"/>
  <c r="AZ256" i="3" s="1"/>
  <c r="BA260" i="3"/>
  <c r="AZ260" i="3" s="1"/>
  <c r="AZ177" i="3"/>
  <c r="BA480" i="3"/>
  <c r="BA331" i="3"/>
  <c r="AZ331" i="3" s="1"/>
  <c r="BA352" i="3"/>
  <c r="AZ352" i="3" s="1"/>
  <c r="BA368" i="3"/>
  <c r="BA384" i="3"/>
  <c r="AZ384" i="3" s="1"/>
  <c r="BA213" i="3"/>
  <c r="BA214" i="3"/>
  <c r="BA215" i="3"/>
  <c r="BL254" i="3"/>
  <c r="BA258" i="3"/>
  <c r="AZ258" i="3" s="1"/>
  <c r="BA259" i="3"/>
  <c r="AZ259" i="3" s="1"/>
  <c r="BL285" i="3"/>
  <c r="AZ91" i="3"/>
  <c r="C83" i="71"/>
  <c r="D83" i="71" s="1"/>
  <c r="D84" i="71"/>
  <c r="BA455" i="3"/>
  <c r="BL488" i="3"/>
  <c r="BL395" i="3"/>
  <c r="AZ395" i="3" s="1"/>
  <c r="BL396" i="3"/>
  <c r="AZ396" i="3" s="1"/>
  <c r="BL397" i="3"/>
  <c r="AZ397" i="3" s="1"/>
  <c r="BL209" i="3"/>
  <c r="BL210" i="3"/>
  <c r="BA211" i="3"/>
  <c r="AZ211" i="3" s="1"/>
  <c r="BL251" i="3"/>
  <c r="BL253" i="3"/>
  <c r="BL255" i="3"/>
  <c r="BA283" i="3"/>
  <c r="AZ283" i="3" s="1"/>
  <c r="BA284" i="3"/>
  <c r="AZ284" i="3" s="1"/>
  <c r="G453" i="3"/>
  <c r="G470" i="3"/>
  <c r="G478" i="3"/>
  <c r="BA323" i="3"/>
  <c r="AZ323" i="3" s="1"/>
  <c r="BA348" i="3"/>
  <c r="AZ348" i="3" s="1"/>
  <c r="BA350" i="3"/>
  <c r="AZ350" i="3" s="1"/>
  <c r="BA367" i="3"/>
  <c r="AZ367" i="3" s="1"/>
  <c r="BL393" i="3"/>
  <c r="AZ393" i="3" s="1"/>
  <c r="BA210" i="3"/>
  <c r="BL248" i="3"/>
  <c r="AZ248" i="3" s="1"/>
  <c r="BA255" i="3"/>
  <c r="BL279" i="3"/>
  <c r="AZ279" i="3" s="1"/>
  <c r="BL113" i="3"/>
  <c r="BA117" i="3"/>
  <c r="AZ117" i="3" s="1"/>
  <c r="AZ38" i="3"/>
  <c r="G432" i="3"/>
  <c r="BL451" i="3"/>
  <c r="BL467" i="3"/>
  <c r="AZ467" i="3" s="1"/>
  <c r="BL476" i="3"/>
  <c r="BA488" i="3"/>
  <c r="BL340" i="3"/>
  <c r="BA349" i="3"/>
  <c r="AZ349" i="3" s="1"/>
  <c r="BL365" i="3"/>
  <c r="AZ365" i="3" s="1"/>
  <c r="BA366" i="3"/>
  <c r="AZ366" i="3" s="1"/>
  <c r="BA208" i="3"/>
  <c r="AZ208" i="3" s="1"/>
  <c r="BA209" i="3"/>
  <c r="BL241" i="3"/>
  <c r="AZ241" i="3" s="1"/>
  <c r="BL243" i="3"/>
  <c r="AZ243" i="3" s="1"/>
  <c r="BL244" i="3"/>
  <c r="AZ244" i="3" s="1"/>
  <c r="BL245" i="3"/>
  <c r="AZ245" i="3" s="1"/>
  <c r="BL249" i="3"/>
  <c r="AZ249" i="3" s="1"/>
  <c r="BL250" i="3"/>
  <c r="AZ250" i="3" s="1"/>
  <c r="BA253" i="3"/>
  <c r="BA254" i="3"/>
  <c r="BL278" i="3"/>
  <c r="BL280" i="3"/>
  <c r="BL301" i="3"/>
  <c r="BA118" i="3"/>
  <c r="BA146" i="3"/>
  <c r="BL430" i="3"/>
  <c r="AZ430" i="3" s="1"/>
  <c r="BA451" i="3"/>
  <c r="AZ451" i="3" s="1"/>
  <c r="BL468" i="3"/>
  <c r="AZ468" i="3" s="1"/>
  <c r="BA475" i="3"/>
  <c r="AZ475" i="3" s="1"/>
  <c r="G486" i="3"/>
  <c r="BL317" i="3"/>
  <c r="AZ317" i="3" s="1"/>
  <c r="BA280" i="3"/>
  <c r="AZ301" i="3"/>
  <c r="AZ113" i="3"/>
  <c r="AB21" i="34"/>
  <c r="U21" i="34"/>
  <c r="BL292" i="3"/>
  <c r="AZ292" i="3" s="1"/>
  <c r="BL114" i="3"/>
  <c r="AZ114" i="3" s="1"/>
  <c r="G126" i="3"/>
  <c r="G134" i="3"/>
  <c r="BL155" i="3"/>
  <c r="BL158" i="3"/>
  <c r="BA161" i="3"/>
  <c r="BA162" i="3"/>
  <c r="BL35" i="3"/>
  <c r="BL41" i="3"/>
  <c r="AZ41" i="3" s="1"/>
  <c r="BA47" i="3"/>
  <c r="AZ47" i="3" s="1"/>
  <c r="BA50" i="3"/>
  <c r="AZ50" i="3" s="1"/>
  <c r="BA52" i="3"/>
  <c r="AZ52" i="3" s="1"/>
  <c r="BA58" i="3"/>
  <c r="AZ58" i="3" s="1"/>
  <c r="G97" i="3"/>
  <c r="BL108" i="3"/>
  <c r="BL109" i="3"/>
  <c r="AD7" i="71"/>
  <c r="AD6" i="71"/>
  <c r="AD5" i="71"/>
  <c r="BA282" i="3"/>
  <c r="AZ282" i="3" s="1"/>
  <c r="BL118" i="3"/>
  <c r="BL121" i="3"/>
  <c r="BL153" i="3"/>
  <c r="BL154" i="3"/>
  <c r="BA189" i="3"/>
  <c r="AZ189" i="3" s="1"/>
  <c r="G202" i="3"/>
  <c r="BL31" i="3"/>
  <c r="BA37" i="3"/>
  <c r="AZ37" i="3" s="1"/>
  <c r="BA40" i="3"/>
  <c r="BL102" i="3"/>
  <c r="BL103" i="3"/>
  <c r="BA109" i="3"/>
  <c r="AZ109" i="3" s="1"/>
  <c r="BA112" i="3"/>
  <c r="AC29" i="39"/>
  <c r="F36" i="71"/>
  <c r="F37" i="71" s="1"/>
  <c r="V37" i="71" s="1"/>
  <c r="W69" i="71"/>
  <c r="R69" i="71"/>
  <c r="G68" i="71"/>
  <c r="BL284" i="3"/>
  <c r="BA293" i="3"/>
  <c r="AZ293" i="3" s="1"/>
  <c r="BL123" i="3"/>
  <c r="AZ123" i="3" s="1"/>
  <c r="BL137" i="3"/>
  <c r="BL141" i="3"/>
  <c r="AZ141" i="3" s="1"/>
  <c r="BL145" i="3"/>
  <c r="BA154" i="3"/>
  <c r="BA158" i="3"/>
  <c r="AZ158" i="3" s="1"/>
  <c r="BL182" i="3"/>
  <c r="AZ182" i="3" s="1"/>
  <c r="BA185" i="3"/>
  <c r="AZ185" i="3" s="1"/>
  <c r="BA186" i="3"/>
  <c r="AZ186" i="3" s="1"/>
  <c r="BA188" i="3"/>
  <c r="AZ188" i="3" s="1"/>
  <c r="BL27" i="3"/>
  <c r="BL29" i="3"/>
  <c r="AZ29" i="3" s="1"/>
  <c r="BL30" i="3"/>
  <c r="BA32" i="3"/>
  <c r="AZ32" i="3" s="1"/>
  <c r="BA33" i="3"/>
  <c r="AZ33" i="3" s="1"/>
  <c r="BA34" i="3"/>
  <c r="AZ34" i="3" s="1"/>
  <c r="BA35" i="3"/>
  <c r="BA39" i="3"/>
  <c r="AZ39" i="3" s="1"/>
  <c r="BL98" i="3"/>
  <c r="AZ104" i="3"/>
  <c r="BA106" i="3"/>
  <c r="AZ106" i="3" s="1"/>
  <c r="AZ108" i="3"/>
  <c r="BA111" i="3"/>
  <c r="AZ111" i="3" s="1"/>
  <c r="AC21" i="33"/>
  <c r="W21" i="33"/>
  <c r="R25" i="77"/>
  <c r="D7" i="77"/>
  <c r="C26" i="77" s="1"/>
  <c r="C32" i="77" s="1"/>
  <c r="C38" i="77" s="1"/>
  <c r="C39" i="77" s="1"/>
  <c r="C40" i="77" s="1"/>
  <c r="BA121" i="3"/>
  <c r="BL126" i="3"/>
  <c r="AZ126" i="3" s="1"/>
  <c r="BL129" i="3"/>
  <c r="BL134" i="3"/>
  <c r="AZ134" i="3" s="1"/>
  <c r="BL138" i="3"/>
  <c r="AZ138" i="3" s="1"/>
  <c r="BL142" i="3"/>
  <c r="AZ142" i="3" s="1"/>
  <c r="BL146" i="3"/>
  <c r="BA149" i="3"/>
  <c r="AZ149" i="3" s="1"/>
  <c r="BA150" i="3"/>
  <c r="AZ150" i="3" s="1"/>
  <c r="BA153" i="3"/>
  <c r="G168" i="3"/>
  <c r="BL181" i="3"/>
  <c r="G194" i="3"/>
  <c r="BL205" i="3"/>
  <c r="BL206" i="3"/>
  <c r="BL20" i="3"/>
  <c r="BL21" i="3"/>
  <c r="BL26" i="3"/>
  <c r="AZ26" i="3" s="1"/>
  <c r="BA30" i="3"/>
  <c r="G77" i="3"/>
  <c r="BL94" i="3"/>
  <c r="AZ94" i="3" s="1"/>
  <c r="BA99" i="3"/>
  <c r="BA103" i="3"/>
  <c r="BA107" i="3"/>
  <c r="AZ107" i="3" s="1"/>
  <c r="BL295" i="3"/>
  <c r="AZ295" i="3" s="1"/>
  <c r="G299" i="3"/>
  <c r="G301" i="3"/>
  <c r="BA120" i="3"/>
  <c r="AZ120" i="3" s="1"/>
  <c r="BA122" i="3"/>
  <c r="AZ122" i="3" s="1"/>
  <c r="BA125" i="3"/>
  <c r="AZ125" i="3" s="1"/>
  <c r="BL130" i="3"/>
  <c r="AZ130" i="3" s="1"/>
  <c r="BA133" i="3"/>
  <c r="AZ133" i="3" s="1"/>
  <c r="BA140" i="3"/>
  <c r="AZ140" i="3" s="1"/>
  <c r="BA148" i="3"/>
  <c r="AZ148" i="3" s="1"/>
  <c r="G167" i="3"/>
  <c r="BA181" i="3"/>
  <c r="BA184" i="3"/>
  <c r="AZ184" i="3" s="1"/>
  <c r="BL199" i="3"/>
  <c r="AZ199" i="3" s="1"/>
  <c r="BL19" i="3"/>
  <c r="BL24" i="3"/>
  <c r="BL25" i="3"/>
  <c r="G53" i="3"/>
  <c r="G67" i="3"/>
  <c r="G72" i="3"/>
  <c r="BL86" i="3"/>
  <c r="AZ86" i="3" s="1"/>
  <c r="BL89" i="3"/>
  <c r="BL90" i="3"/>
  <c r="BA95" i="3"/>
  <c r="AZ95" i="3" s="1"/>
  <c r="BA97" i="3"/>
  <c r="AZ97" i="3" s="1"/>
  <c r="BL112" i="3"/>
  <c r="AA18" i="35"/>
  <c r="R24" i="77"/>
  <c r="R5" i="77" s="1"/>
  <c r="U5" i="77" s="1"/>
  <c r="BA285" i="3"/>
  <c r="BA128" i="3"/>
  <c r="AZ128" i="3" s="1"/>
  <c r="BA132" i="3"/>
  <c r="AZ132" i="3" s="1"/>
  <c r="BA136" i="3"/>
  <c r="AZ136" i="3" s="1"/>
  <c r="BA137" i="3"/>
  <c r="AZ137" i="3" s="1"/>
  <c r="BA144" i="3"/>
  <c r="AZ144" i="3" s="1"/>
  <c r="BA145" i="3"/>
  <c r="BL173" i="3"/>
  <c r="BL177" i="3"/>
  <c r="BA180" i="3"/>
  <c r="AZ180" i="3" s="1"/>
  <c r="BA206" i="3"/>
  <c r="AZ206" i="3" s="1"/>
  <c r="BA207" i="3"/>
  <c r="AZ207" i="3" s="1"/>
  <c r="BA21" i="3"/>
  <c r="AZ21" i="3" s="1"/>
  <c r="BA22" i="3"/>
  <c r="AZ22" i="3" s="1"/>
  <c r="BA25" i="3"/>
  <c r="BA27" i="3"/>
  <c r="AZ27" i="3" s="1"/>
  <c r="BL80" i="3"/>
  <c r="BL84" i="3"/>
  <c r="BL85" i="3"/>
  <c r="BA90" i="3"/>
  <c r="AZ90" i="3" s="1"/>
  <c r="BA101" i="3"/>
  <c r="AZ101" i="3" s="1"/>
  <c r="P27" i="6"/>
  <c r="BL297" i="3"/>
  <c r="AZ297" i="3" s="1"/>
  <c r="BL171" i="3"/>
  <c r="AZ171" i="3" s="1"/>
  <c r="BL178" i="3"/>
  <c r="BL197" i="3"/>
  <c r="BL198" i="3"/>
  <c r="AZ198" i="3" s="1"/>
  <c r="BA201" i="3"/>
  <c r="AZ201" i="3" s="1"/>
  <c r="BA202" i="3"/>
  <c r="AZ202" i="3" s="1"/>
  <c r="BA204" i="3"/>
  <c r="AZ204" i="3" s="1"/>
  <c r="BA205" i="3"/>
  <c r="BA19" i="3"/>
  <c r="BA20" i="3"/>
  <c r="BA24" i="3"/>
  <c r="AZ24" i="3" s="1"/>
  <c r="G48" i="3"/>
  <c r="BL75" i="3"/>
  <c r="AZ75" i="3" s="1"/>
  <c r="BL78" i="3"/>
  <c r="BA85" i="3"/>
  <c r="BA89" i="3"/>
  <c r="BA92" i="3"/>
  <c r="BL107" i="3"/>
  <c r="AA21" i="34"/>
  <c r="BA287" i="3"/>
  <c r="AZ287" i="3" s="1"/>
  <c r="BL289" i="3"/>
  <c r="BL299" i="3"/>
  <c r="BL170" i="3"/>
  <c r="BA173" i="3"/>
  <c r="BA178" i="3"/>
  <c r="BL64" i="3"/>
  <c r="AZ64" i="3" s="1"/>
  <c r="BL70" i="3"/>
  <c r="AZ70" i="3" s="1"/>
  <c r="BL73" i="3"/>
  <c r="BA80" i="3"/>
  <c r="BA83" i="3"/>
  <c r="AZ83" i="3" s="1"/>
  <c r="BA93" i="3"/>
  <c r="AZ93" i="3" s="1"/>
  <c r="BL300" i="3"/>
  <c r="BL162" i="3"/>
  <c r="BL165" i="3"/>
  <c r="AZ165" i="3" s="1"/>
  <c r="BA172" i="3"/>
  <c r="AZ172" i="3" s="1"/>
  <c r="BA197" i="3"/>
  <c r="BL52" i="3"/>
  <c r="BL54" i="3"/>
  <c r="AZ54" i="3" s="1"/>
  <c r="BL55" i="3"/>
  <c r="BL59" i="3"/>
  <c r="AZ59" i="3" s="1"/>
  <c r="BL68" i="3"/>
  <c r="BL69" i="3"/>
  <c r="BL74" i="3"/>
  <c r="BA76" i="3"/>
  <c r="AZ76" i="3" s="1"/>
  <c r="BA77" i="3"/>
  <c r="AZ77" i="3" s="1"/>
  <c r="BA78" i="3"/>
  <c r="BA79" i="3"/>
  <c r="AZ79" i="3" s="1"/>
  <c r="AA21" i="21"/>
  <c r="S21" i="21"/>
  <c r="G76" i="71"/>
  <c r="G75" i="71" s="1"/>
  <c r="BA289" i="3"/>
  <c r="G294" i="3"/>
  <c r="BA298" i="3"/>
  <c r="AZ298" i="3" s="1"/>
  <c r="BA299" i="3"/>
  <c r="BL161" i="3"/>
  <c r="BL163" i="3"/>
  <c r="AZ163" i="3" s="1"/>
  <c r="BA170" i="3"/>
  <c r="BL191" i="3"/>
  <c r="AZ191" i="3" s="1"/>
  <c r="BA196" i="3"/>
  <c r="AZ196" i="3" s="1"/>
  <c r="G33" i="3"/>
  <c r="BL45" i="3"/>
  <c r="AZ45" i="3" s="1"/>
  <c r="BL51" i="3"/>
  <c r="AZ51" i="3" s="1"/>
  <c r="BA55" i="3"/>
  <c r="BA60" i="3"/>
  <c r="BA62" i="3"/>
  <c r="AZ62" i="3" s="1"/>
  <c r="BA66" i="3"/>
  <c r="AZ66" i="3" s="1"/>
  <c r="BA67" i="3"/>
  <c r="AZ67" i="3" s="1"/>
  <c r="BA68" i="3"/>
  <c r="AZ68" i="3" s="1"/>
  <c r="BA69" i="3"/>
  <c r="BA71" i="3"/>
  <c r="AZ71" i="3" s="1"/>
  <c r="BA72" i="3"/>
  <c r="AZ72" i="3" s="1"/>
  <c r="BA73" i="3"/>
  <c r="BA74" i="3"/>
  <c r="BA84" i="3"/>
  <c r="AZ84" i="3" s="1"/>
  <c r="BA102" i="3"/>
  <c r="C88" i="71"/>
  <c r="D24" i="67"/>
  <c r="C40" i="69"/>
  <c r="F80" i="71"/>
  <c r="F79" i="71" s="1"/>
  <c r="P74" i="67"/>
  <c r="C29" i="77"/>
  <c r="B101" i="43"/>
  <c r="C80" i="71"/>
  <c r="P61" i="15"/>
  <c r="E29" i="77"/>
  <c r="E32" i="77" s="1"/>
  <c r="F33" i="71"/>
  <c r="V33" i="71" s="1"/>
  <c r="G57" i="71"/>
  <c r="W57" i="71" s="1"/>
  <c r="G65" i="71"/>
  <c r="W65" i="71" s="1"/>
  <c r="F22" i="71"/>
  <c r="F21" i="71" s="1"/>
  <c r="F20" i="71" s="1"/>
  <c r="F19" i="71" s="1"/>
  <c r="F18" i="71" s="1"/>
  <c r="G33" i="71"/>
  <c r="W33" i="71" s="1"/>
  <c r="G12" i="1"/>
  <c r="F67" i="71"/>
  <c r="C36" i="71"/>
  <c r="B60" i="71"/>
  <c r="B61" i="71" s="1"/>
  <c r="T61" i="71" s="1"/>
  <c r="E38" i="77"/>
  <c r="E39" i="77" s="1"/>
  <c r="G11" i="1"/>
  <c r="U21" i="37"/>
  <c r="F44" i="71"/>
  <c r="F45" i="71" s="1"/>
  <c r="V45" i="71" s="1"/>
  <c r="B53" i="71"/>
  <c r="T53" i="71" s="1"/>
  <c r="C21" i="68"/>
  <c r="P37" i="43"/>
  <c r="W21" i="34"/>
  <c r="G44" i="71"/>
  <c r="G45" i="71" s="1"/>
  <c r="W45" i="71" s="1"/>
  <c r="F52" i="71"/>
  <c r="F53" i="71" s="1"/>
  <c r="V53" i="71" s="1"/>
  <c r="B23" i="71"/>
  <c r="B22" i="71" s="1"/>
  <c r="B21" i="71" s="1"/>
  <c r="P68" i="71"/>
  <c r="G37" i="71"/>
  <c r="W37" i="71" s="1"/>
  <c r="G53" i="71"/>
  <c r="W53" i="71" s="1"/>
  <c r="G60" i="71"/>
  <c r="G61" i="71" s="1"/>
  <c r="W61" i="71" s="1"/>
  <c r="B72" i="71"/>
  <c r="B71" i="71" s="1"/>
  <c r="Y5" i="71"/>
  <c r="AB5" i="71" s="1"/>
  <c r="Y7" i="71"/>
  <c r="AB7" i="71" s="1"/>
  <c r="Y6" i="71"/>
  <c r="AB6" i="71" s="1"/>
  <c r="O37" i="43"/>
  <c r="B28" i="71"/>
  <c r="B27" i="71" s="1"/>
  <c r="B48" i="71"/>
  <c r="B49" i="71" s="1"/>
  <c r="T49" i="71" s="1"/>
  <c r="G72" i="71"/>
  <c r="G71" i="71" s="1"/>
  <c r="Z6" i="71"/>
  <c r="AA6" i="71" s="1"/>
  <c r="Z7" i="71"/>
  <c r="AA7" i="71" s="1"/>
  <c r="Z5" i="71"/>
  <c r="AA5" i="71" s="1"/>
  <c r="A15" i="62"/>
  <c r="B61" i="72" s="1"/>
  <c r="D90" i="43"/>
  <c r="D91" i="43"/>
  <c r="D87" i="43"/>
  <c r="D85" i="43"/>
  <c r="G9" i="1"/>
  <c r="D54" i="43"/>
  <c r="D56" i="43"/>
  <c r="D58" i="43"/>
  <c r="D123" i="43"/>
  <c r="E123" i="43" s="1"/>
  <c r="F123" i="43" s="1"/>
  <c r="G123" i="43" s="1"/>
  <c r="H123" i="43" s="1"/>
  <c r="T35" i="4"/>
  <c r="A19" i="51" s="1"/>
  <c r="B14" i="72" s="1"/>
  <c r="C48" i="68"/>
  <c r="C28" i="67"/>
  <c r="C30" i="69"/>
  <c r="C36" i="11"/>
  <c r="G7" i="1"/>
  <c r="D12" i="52"/>
  <c r="D127" i="9"/>
  <c r="D13" i="52" s="1"/>
  <c r="D63" i="40"/>
  <c r="C65" i="40"/>
  <c r="J58" i="21"/>
  <c r="K58" i="21" s="1"/>
  <c r="L58" i="21" s="1"/>
  <c r="M58" i="21" s="1"/>
  <c r="N58" i="21" s="1"/>
  <c r="O58" i="21" s="1"/>
  <c r="H7" i="21"/>
  <c r="J7" i="21"/>
  <c r="I48" i="35"/>
  <c r="J48" i="35" s="1"/>
  <c r="K48" i="35" s="1"/>
  <c r="L48" i="35" s="1"/>
  <c r="M48" i="35" s="1"/>
  <c r="N48" i="35" s="1"/>
  <c r="O48" i="35" s="1"/>
  <c r="E59" i="34"/>
  <c r="F59" i="34" s="1"/>
  <c r="G59" i="34" s="1"/>
  <c r="H59" i="34" s="1"/>
  <c r="I59" i="34" s="1"/>
  <c r="J59" i="34" s="1"/>
  <c r="K59" i="34" s="1"/>
  <c r="L59" i="34" s="1"/>
  <c r="M59" i="34" s="1"/>
  <c r="N59" i="34" s="1"/>
  <c r="O59" i="34" s="1"/>
  <c r="F7" i="34"/>
  <c r="C70" i="39"/>
  <c r="D68" i="39"/>
  <c r="G58" i="33"/>
  <c r="H58" i="33" s="1"/>
  <c r="I58" i="33" s="1"/>
  <c r="J58" i="33" s="1"/>
  <c r="K58" i="33" s="1"/>
  <c r="L58" i="33" s="1"/>
  <c r="M58" i="33" s="1"/>
  <c r="N58" i="33" s="1"/>
  <c r="O58" i="33" s="1"/>
  <c r="J7" i="33"/>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R16" i="1"/>
  <c r="C15" i="15"/>
  <c r="C18" i="15"/>
  <c r="C27" i="15"/>
  <c r="J20" i="15"/>
  <c r="C34" i="15"/>
  <c r="F63" i="15"/>
  <c r="C62" i="15" s="1"/>
  <c r="J53" i="67"/>
  <c r="I54" i="67"/>
  <c r="J57" i="67"/>
  <c r="J55" i="67" s="1"/>
  <c r="J58" i="67" s="1"/>
  <c r="Q50" i="67" s="1"/>
  <c r="L56" i="67"/>
  <c r="F31" i="15"/>
  <c r="C6" i="15"/>
  <c r="B9" i="70"/>
  <c r="F31" i="67"/>
  <c r="J20" i="67"/>
  <c r="F66" i="15"/>
  <c r="J53" i="15"/>
  <c r="L56" i="15" s="1"/>
  <c r="J57" i="15"/>
  <c r="J55" i="15" s="1"/>
  <c r="J58" i="15" s="1"/>
  <c r="Q50" i="15" s="1"/>
  <c r="I54" i="15"/>
  <c r="B11" i="70"/>
  <c r="Q71" i="67"/>
  <c r="K1" i="73"/>
  <c r="F71" i="67"/>
  <c r="F68" i="15"/>
  <c r="F51" i="15"/>
  <c r="B6" i="70"/>
  <c r="F64" i="15"/>
  <c r="D102" i="9"/>
  <c r="C103" i="9"/>
  <c r="G20" i="9"/>
  <c r="C32" i="9" s="1"/>
  <c r="F51" i="67"/>
  <c r="B13" i="70"/>
  <c r="B20" i="31"/>
  <c r="B21" i="31" s="1"/>
  <c r="D103" i="9"/>
  <c r="C27" i="67"/>
  <c r="F65" i="15"/>
  <c r="F69" i="15"/>
  <c r="M7" i="15"/>
  <c r="M17" i="15" s="1"/>
  <c r="F50" i="15"/>
  <c r="B12" i="70"/>
  <c r="F65" i="67"/>
  <c r="I1" i="73"/>
  <c r="B39" i="1" s="1"/>
  <c r="B7" i="70"/>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42" i="67"/>
  <c r="C17" i="67"/>
  <c r="G1" i="73"/>
  <c r="C16" i="15"/>
  <c r="F41" i="67"/>
  <c r="L47" i="67"/>
  <c r="F40" i="67"/>
  <c r="F7" i="67"/>
  <c r="C14" i="67"/>
  <c r="C17" i="15"/>
  <c r="C16" i="67"/>
  <c r="F6" i="67"/>
  <c r="C6" i="67" l="1"/>
  <c r="C32" i="67" s="1"/>
  <c r="M7" i="67"/>
  <c r="M17" i="67" s="1"/>
  <c r="F50" i="67"/>
  <c r="C49" i="67" s="1"/>
  <c r="F68" i="67"/>
  <c r="L59" i="67"/>
  <c r="Q74" i="67" s="1"/>
  <c r="N59" i="67"/>
  <c r="M59" i="67"/>
  <c r="L58" i="67"/>
  <c r="Q60" i="67" s="1"/>
  <c r="F69" i="67"/>
  <c r="F70" i="67"/>
  <c r="AZ492" i="3"/>
  <c r="W27" i="21"/>
  <c r="AC27" i="21"/>
  <c r="AA46" i="21"/>
  <c r="S46" i="21"/>
  <c r="W45" i="21"/>
  <c r="AC45" i="21"/>
  <c r="AZ433" i="3"/>
  <c r="AA34" i="35"/>
  <c r="S34" i="35"/>
  <c r="AC46" i="21"/>
  <c r="W46" i="21"/>
  <c r="F7" i="21"/>
  <c r="AZ73" i="3"/>
  <c r="AZ98" i="3"/>
  <c r="AZ146" i="3"/>
  <c r="AZ460" i="3"/>
  <c r="AZ579" i="3"/>
  <c r="AA36" i="39"/>
  <c r="S36" i="39"/>
  <c r="S13" i="36"/>
  <c r="AA13" i="36"/>
  <c r="U46" i="21"/>
  <c r="AB46" i="21"/>
  <c r="AZ197" i="3"/>
  <c r="AZ46" i="3"/>
  <c r="AZ421" i="3"/>
  <c r="AA9" i="34"/>
  <c r="S9" i="34"/>
  <c r="AC34" i="36"/>
  <c r="W34" i="36"/>
  <c r="AZ78" i="3"/>
  <c r="AZ35" i="3"/>
  <c r="AZ154" i="3"/>
  <c r="AZ112" i="3"/>
  <c r="AZ470" i="3"/>
  <c r="AZ23" i="3"/>
  <c r="AZ408" i="3"/>
  <c r="U25" i="37"/>
  <c r="AB25" i="37"/>
  <c r="AB12" i="21"/>
  <c r="U12" i="21"/>
  <c r="S29" i="34"/>
  <c r="AA29" i="34"/>
  <c r="AZ121" i="3"/>
  <c r="AZ213" i="3"/>
  <c r="AZ65" i="3"/>
  <c r="AB26" i="37"/>
  <c r="U26" i="37"/>
  <c r="AZ405" i="3"/>
  <c r="AC29" i="34"/>
  <c r="W29" i="34"/>
  <c r="U14" i="34"/>
  <c r="AB14" i="34"/>
  <c r="AZ19" i="3"/>
  <c r="AZ455" i="3"/>
  <c r="AZ400" i="3"/>
  <c r="AZ435" i="3"/>
  <c r="AZ28" i="3"/>
  <c r="AZ257" i="3"/>
  <c r="U39" i="40"/>
  <c r="AB39" i="40"/>
  <c r="S14" i="34"/>
  <c r="AA14" i="34"/>
  <c r="AZ300" i="3"/>
  <c r="AZ205" i="3"/>
  <c r="AZ145" i="3"/>
  <c r="AZ103" i="3"/>
  <c r="AZ280" i="3"/>
  <c r="AZ472" i="3"/>
  <c r="AC40" i="40"/>
  <c r="F28" i="6"/>
  <c r="E28" i="6" s="1"/>
  <c r="AZ265" i="3"/>
  <c r="U29" i="33"/>
  <c r="AB29" i="33"/>
  <c r="W39" i="40"/>
  <c r="AC39" i="40"/>
  <c r="W14" i="34"/>
  <c r="AC14" i="34"/>
  <c r="AC23" i="35"/>
  <c r="W23" i="35"/>
  <c r="AZ99" i="3"/>
  <c r="AZ40" i="3"/>
  <c r="AZ234" i="3"/>
  <c r="AZ57" i="3"/>
  <c r="AZ288" i="3"/>
  <c r="AC12" i="21"/>
  <c r="W12" i="21"/>
  <c r="AA23" i="35"/>
  <c r="S23" i="35"/>
  <c r="AZ488" i="3"/>
  <c r="AZ210" i="3"/>
  <c r="AZ231" i="3"/>
  <c r="AZ242" i="3"/>
  <c r="AZ410" i="3"/>
  <c r="C67" i="71"/>
  <c r="D68" i="71"/>
  <c r="AZ194" i="3"/>
  <c r="AZ450" i="3"/>
  <c r="S12" i="21"/>
  <c r="AA12" i="21"/>
  <c r="U23" i="35"/>
  <c r="AB23" i="35"/>
  <c r="AZ60" i="3"/>
  <c r="AZ92" i="3"/>
  <c r="AZ31" i="3"/>
  <c r="AZ251" i="3"/>
  <c r="AZ480" i="3"/>
  <c r="AZ224" i="3"/>
  <c r="AZ453" i="3"/>
  <c r="AZ570" i="3"/>
  <c r="AZ426" i="3"/>
  <c r="AZ347" i="3"/>
  <c r="AZ448" i="3"/>
  <c r="AA27" i="21"/>
  <c r="S27" i="21"/>
  <c r="J7" i="35"/>
  <c r="AZ55" i="3"/>
  <c r="AZ193" i="3"/>
  <c r="AZ18" i="3"/>
  <c r="AZ247" i="3"/>
  <c r="AZ473" i="3"/>
  <c r="AZ333" i="3"/>
  <c r="AB27" i="21"/>
  <c r="U27" i="21"/>
  <c r="D20" i="53"/>
  <c r="B40" i="72" s="1"/>
  <c r="B38" i="72"/>
  <c r="AA45" i="21"/>
  <c r="S45" i="21"/>
  <c r="H7" i="36"/>
  <c r="J7" i="34"/>
  <c r="W7" i="34" s="1"/>
  <c r="H7" i="34"/>
  <c r="AB7" i="34" s="1"/>
  <c r="T49" i="34" s="1"/>
  <c r="G49" i="34" s="1"/>
  <c r="D80" i="71"/>
  <c r="C79" i="71"/>
  <c r="D79" i="71" s="1"/>
  <c r="G5" i="3"/>
  <c r="B3" i="3" s="1"/>
  <c r="E474" i="3" s="1"/>
  <c r="AZ178" i="3"/>
  <c r="AA38" i="40"/>
  <c r="S38" i="40"/>
  <c r="U27" i="37"/>
  <c r="AB27" i="37"/>
  <c r="S12" i="35"/>
  <c r="AA12" i="35"/>
  <c r="AB36" i="35"/>
  <c r="U36" i="35"/>
  <c r="AA28" i="21"/>
  <c r="S28" i="21"/>
  <c r="F27" i="69"/>
  <c r="F27" i="11"/>
  <c r="F28" i="12"/>
  <c r="C29" i="12" s="1"/>
  <c r="D28" i="12" s="1"/>
  <c r="F27" i="68"/>
  <c r="F29" i="6"/>
  <c r="E13" i="6"/>
  <c r="E14" i="6"/>
  <c r="E12" i="6"/>
  <c r="E15" i="6"/>
  <c r="E10" i="6"/>
  <c r="AZ173" i="3"/>
  <c r="AB24" i="36"/>
  <c r="U24" i="36"/>
  <c r="AA9" i="33"/>
  <c r="S9" i="33"/>
  <c r="AC36" i="35"/>
  <c r="W36" i="35"/>
  <c r="AB28" i="21"/>
  <c r="U28" i="21"/>
  <c r="O7" i="1"/>
  <c r="P7" i="1"/>
  <c r="BL5" i="3"/>
  <c r="AZ129" i="3"/>
  <c r="AC24" i="36"/>
  <c r="W24" i="36"/>
  <c r="AB9" i="33"/>
  <c r="U9" i="33"/>
  <c r="F30" i="6"/>
  <c r="F31" i="6" s="1"/>
  <c r="P26" i="43"/>
  <c r="F7" i="36"/>
  <c r="AA7" i="36" s="1"/>
  <c r="R36" i="36" s="1"/>
  <c r="Q66" i="71"/>
  <c r="Q67" i="71"/>
  <c r="AZ69" i="3"/>
  <c r="AZ170" i="3"/>
  <c r="AZ20" i="3"/>
  <c r="AZ414" i="3"/>
  <c r="AA25" i="37"/>
  <c r="S25" i="37"/>
  <c r="AC9" i="33"/>
  <c r="W9" i="33"/>
  <c r="AZ542" i="3"/>
  <c r="AZ209" i="3"/>
  <c r="AA44" i="39"/>
  <c r="S44" i="39"/>
  <c r="C41" i="77"/>
  <c r="B2" i="77"/>
  <c r="B3" i="77" s="1"/>
  <c r="G12" i="71"/>
  <c r="G11" i="71" s="1"/>
  <c r="G10" i="71" s="1"/>
  <c r="G9" i="71" s="1"/>
  <c r="G8" i="71" s="1"/>
  <c r="G7" i="71" s="1"/>
  <c r="G6" i="71" s="1"/>
  <c r="G5" i="71" s="1"/>
  <c r="M23" i="43"/>
  <c r="J7" i="36"/>
  <c r="W7" i="36" s="1"/>
  <c r="G16" i="1"/>
  <c r="F10" i="39" s="1"/>
  <c r="S10" i="39" s="1"/>
  <c r="E84" i="43"/>
  <c r="B82" i="43" s="1"/>
  <c r="AZ299" i="3"/>
  <c r="AZ162" i="3"/>
  <c r="E470" i="3"/>
  <c r="AZ215" i="3"/>
  <c r="AZ454" i="3"/>
  <c r="AA12" i="36"/>
  <c r="S12" i="36"/>
  <c r="AA14" i="21"/>
  <c r="S14" i="21"/>
  <c r="AZ118" i="3"/>
  <c r="AB44" i="39"/>
  <c r="U44" i="39"/>
  <c r="U14" i="21"/>
  <c r="AB14" i="21"/>
  <c r="AZ153" i="3"/>
  <c r="AZ161" i="3"/>
  <c r="AZ214" i="3"/>
  <c r="AZ438" i="3"/>
  <c r="AA33" i="36"/>
  <c r="S33" i="36"/>
  <c r="AB12" i="36"/>
  <c r="U12" i="36"/>
  <c r="BA5" i="3"/>
  <c r="E27" i="6" s="1"/>
  <c r="AZ181" i="3"/>
  <c r="D88" i="71"/>
  <c r="C87" i="71"/>
  <c r="D87" i="71" s="1"/>
  <c r="AZ80" i="3"/>
  <c r="AZ407" i="3"/>
  <c r="W12" i="36"/>
  <c r="AC12" i="36"/>
  <c r="W14" i="21"/>
  <c r="AC14" i="21"/>
  <c r="E11" i="6"/>
  <c r="AZ102" i="3"/>
  <c r="AZ289" i="3"/>
  <c r="AZ89" i="3"/>
  <c r="AZ25" i="3"/>
  <c r="AZ254" i="3"/>
  <c r="AZ255" i="3"/>
  <c r="AZ406" i="3"/>
  <c r="W33" i="36"/>
  <c r="AC33" i="36"/>
  <c r="G29" i="6"/>
  <c r="G30" i="6" s="1"/>
  <c r="G31" i="6" s="1"/>
  <c r="H14" i="74"/>
  <c r="B7" i="74" s="1"/>
  <c r="D10" i="52"/>
  <c r="D125" i="9"/>
  <c r="D11" i="52" s="1"/>
  <c r="AZ85" i="3"/>
  <c r="AZ30" i="3"/>
  <c r="AZ253" i="3"/>
  <c r="AZ368" i="3"/>
  <c r="AZ403" i="3"/>
  <c r="AB12" i="35"/>
  <c r="U12" i="35"/>
  <c r="AZ545" i="3"/>
  <c r="AZ543" i="3"/>
  <c r="C23" i="43"/>
  <c r="AZ74" i="3"/>
  <c r="AZ285" i="3"/>
  <c r="G67" i="71"/>
  <c r="R68" i="71"/>
  <c r="E457" i="3"/>
  <c r="AA40" i="40"/>
  <c r="S40" i="40"/>
  <c r="AC27" i="37"/>
  <c r="W27" i="37"/>
  <c r="W12" i="35"/>
  <c r="AC12" i="35"/>
  <c r="AC28" i="21"/>
  <c r="W28" i="21"/>
  <c r="E51" i="43"/>
  <c r="B49" i="43" s="1"/>
  <c r="C28" i="43" s="1"/>
  <c r="F7" i="33"/>
  <c r="AA7" i="33" s="1"/>
  <c r="R48" i="33" s="1"/>
  <c r="D65" i="40"/>
  <c r="E63" i="40"/>
  <c r="F52" i="37"/>
  <c r="H7" i="33"/>
  <c r="U7" i="34"/>
  <c r="W7" i="35"/>
  <c r="AC7" i="35"/>
  <c r="V38" i="35" s="1"/>
  <c r="I38" i="35" s="1"/>
  <c r="F7" i="35"/>
  <c r="AC7" i="21"/>
  <c r="V48" i="21" s="1"/>
  <c r="I48" i="21" s="1"/>
  <c r="W7" i="21"/>
  <c r="U7" i="21"/>
  <c r="AB7" i="21"/>
  <c r="T48" i="21" s="1"/>
  <c r="G48" i="21" s="1"/>
  <c r="U7" i="36"/>
  <c r="AB7" i="36"/>
  <c r="T36" i="36" s="1"/>
  <c r="G36" i="36" s="1"/>
  <c r="AC7" i="33"/>
  <c r="V48" i="33" s="1"/>
  <c r="I48" i="33" s="1"/>
  <c r="W7" i="33"/>
  <c r="D70" i="39"/>
  <c r="E68" i="39"/>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C49" i="15"/>
  <c r="C19" i="15"/>
  <c r="C15" i="67"/>
  <c r="C18" i="67"/>
  <c r="B40" i="1"/>
  <c r="Q74" i="15"/>
  <c r="Q61" i="15"/>
  <c r="F59" i="15"/>
  <c r="C35" i="9"/>
  <c r="C34" i="9" s="1"/>
  <c r="J6" i="15"/>
  <c r="Q73" i="15"/>
  <c r="Q60" i="15"/>
  <c r="F11" i="15"/>
  <c r="F11" i="67"/>
  <c r="M11" i="67"/>
  <c r="J10" i="67" s="1"/>
  <c r="M11" i="15"/>
  <c r="B2" i="70"/>
  <c r="B3" i="70" s="1"/>
  <c r="Q52" i="15"/>
  <c r="F1" i="15"/>
  <c r="C32" i="15"/>
  <c r="Q52" i="67"/>
  <c r="F1" i="67"/>
  <c r="F59" i="67"/>
  <c r="Q73" i="67" l="1"/>
  <c r="J6" i="67"/>
  <c r="J18" i="67" s="1"/>
  <c r="Q61" i="67"/>
  <c r="P66" i="71"/>
  <c r="P67" i="71"/>
  <c r="D67" i="71"/>
  <c r="E97" i="3"/>
  <c r="E77" i="3"/>
  <c r="AZ5" i="3"/>
  <c r="E299" i="3"/>
  <c r="J10" i="39"/>
  <c r="AC10" i="39" s="1"/>
  <c r="H10" i="40"/>
  <c r="AB10" i="40" s="1"/>
  <c r="F10" i="40"/>
  <c r="S10" i="40" s="1"/>
  <c r="AA10" i="39"/>
  <c r="S7" i="36"/>
  <c r="AC7" i="34"/>
  <c r="V49" i="34" s="1"/>
  <c r="I49" i="34" s="1"/>
  <c r="J10" i="40"/>
  <c r="AY6" i="3"/>
  <c r="E3" i="6"/>
  <c r="E202" i="3"/>
  <c r="E551" i="3"/>
  <c r="E61" i="39"/>
  <c r="E56" i="40"/>
  <c r="E58" i="40"/>
  <c r="E63" i="39"/>
  <c r="E401" i="3"/>
  <c r="E168" i="3"/>
  <c r="E547" i="3"/>
  <c r="E64" i="39"/>
  <c r="E59" i="40"/>
  <c r="S7" i="33"/>
  <c r="R66" i="71"/>
  <c r="R67" i="71"/>
  <c r="E167" i="3"/>
  <c r="E301" i="3"/>
  <c r="E29" i="6"/>
  <c r="K15" i="1" s="1"/>
  <c r="E53" i="3"/>
  <c r="E134" i="3"/>
  <c r="E414" i="3"/>
  <c r="E572" i="3"/>
  <c r="E194" i="3"/>
  <c r="F45" i="68"/>
  <c r="C29" i="68"/>
  <c r="D27" i="68" s="1"/>
  <c r="C47" i="68"/>
  <c r="D45" i="68" s="1"/>
  <c r="AC7" i="36"/>
  <c r="V36" i="36" s="1"/>
  <c r="I36" i="36" s="1"/>
  <c r="E67" i="3"/>
  <c r="C47" i="11"/>
  <c r="D45" i="11" s="1"/>
  <c r="C29" i="11"/>
  <c r="D27" i="11" s="1"/>
  <c r="E366" i="3"/>
  <c r="E268" i="3"/>
  <c r="N6" i="3"/>
  <c r="E545" i="3"/>
  <c r="E461" i="3"/>
  <c r="E205" i="3"/>
  <c r="E311" i="3"/>
  <c r="E559" i="3"/>
  <c r="M6" i="3"/>
  <c r="E407" i="3"/>
  <c r="E335" i="3"/>
  <c r="E230" i="3"/>
  <c r="E221" i="3"/>
  <c r="E271" i="3"/>
  <c r="E164" i="3"/>
  <c r="E330" i="3"/>
  <c r="E532" i="3"/>
  <c r="E560" i="3"/>
  <c r="E458" i="3"/>
  <c r="E481" i="3"/>
  <c r="E438" i="3"/>
  <c r="E465" i="3"/>
  <c r="E562" i="3"/>
  <c r="AE6" i="3"/>
  <c r="E537" i="3"/>
  <c r="E468" i="3"/>
  <c r="E433" i="3"/>
  <c r="E55" i="3"/>
  <c r="E54" i="3"/>
  <c r="E146" i="3"/>
  <c r="E150" i="3"/>
  <c r="E256" i="3"/>
  <c r="E257" i="3"/>
  <c r="E315" i="3"/>
  <c r="E318" i="3"/>
  <c r="E93" i="3"/>
  <c r="E409" i="3"/>
  <c r="E455" i="3"/>
  <c r="E100" i="3"/>
  <c r="E36" i="3"/>
  <c r="E147" i="3"/>
  <c r="E364" i="3"/>
  <c r="E62" i="3"/>
  <c r="E265" i="3"/>
  <c r="E101" i="3"/>
  <c r="E278" i="3"/>
  <c r="E343" i="3"/>
  <c r="E17" i="3"/>
  <c r="E528" i="3"/>
  <c r="E282" i="3"/>
  <c r="E535" i="3"/>
  <c r="E336" i="3"/>
  <c r="E201" i="3"/>
  <c r="E385" i="3"/>
  <c r="E523" i="3"/>
  <c r="E549" i="3"/>
  <c r="E320" i="3"/>
  <c r="E269" i="3"/>
  <c r="E149" i="3"/>
  <c r="E224" i="3"/>
  <c r="E107" i="3"/>
  <c r="E576" i="3"/>
  <c r="E564" i="3"/>
  <c r="E421" i="3"/>
  <c r="E451" i="3"/>
  <c r="I3" i="6"/>
  <c r="E494" i="3"/>
  <c r="E491" i="3"/>
  <c r="E454" i="3"/>
  <c r="E88" i="3"/>
  <c r="E108" i="3"/>
  <c r="E187" i="3"/>
  <c r="E208" i="3"/>
  <c r="E210" i="3"/>
  <c r="E332" i="3"/>
  <c r="E349" i="3"/>
  <c r="AM6" i="3"/>
  <c r="E94" i="3"/>
  <c r="E462" i="3"/>
  <c r="E79" i="3"/>
  <c r="E160" i="3"/>
  <c r="E275" i="3"/>
  <c r="E386" i="3"/>
  <c r="E52" i="3"/>
  <c r="E144" i="3"/>
  <c r="E370" i="3"/>
  <c r="E19" i="3"/>
  <c r="E283" i="3"/>
  <c r="E83" i="3"/>
  <c r="E114" i="3"/>
  <c r="E553" i="3"/>
  <c r="E550" i="3"/>
  <c r="E567" i="3"/>
  <c r="E280" i="3"/>
  <c r="E128" i="3"/>
  <c r="E270" i="3"/>
  <c r="E518" i="3"/>
  <c r="AK6" i="3"/>
  <c r="E350" i="3"/>
  <c r="E244" i="3"/>
  <c r="E191" i="3"/>
  <c r="E181" i="3"/>
  <c r="E175" i="3"/>
  <c r="E395" i="3"/>
  <c r="E508" i="3"/>
  <c r="E239" i="3"/>
  <c r="E574" i="3"/>
  <c r="E247" i="3"/>
  <c r="E397" i="3"/>
  <c r="AR6" i="3"/>
  <c r="V6" i="3"/>
  <c r="E338" i="3"/>
  <c r="E215" i="3"/>
  <c r="E156" i="3"/>
  <c r="E161" i="3"/>
  <c r="E145" i="3"/>
  <c r="E369" i="3"/>
  <c r="Z6" i="3"/>
  <c r="E502" i="3"/>
  <c r="E398" i="3"/>
  <c r="E443" i="3"/>
  <c r="E558" i="3"/>
  <c r="E554" i="3"/>
  <c r="E403" i="3"/>
  <c r="E520" i="3"/>
  <c r="E28" i="3"/>
  <c r="E37" i="3"/>
  <c r="E178" i="3"/>
  <c r="E171" i="3"/>
  <c r="E281" i="3"/>
  <c r="E351" i="3"/>
  <c r="E333" i="3"/>
  <c r="L6" i="3"/>
  <c r="E32" i="3"/>
  <c r="E38" i="3"/>
  <c r="E174" i="3"/>
  <c r="E300" i="3"/>
  <c r="E584" i="3"/>
  <c r="E284" i="3"/>
  <c r="E63" i="3"/>
  <c r="E222" i="3"/>
  <c r="E563" i="3"/>
  <c r="E426" i="3"/>
  <c r="E539" i="3"/>
  <c r="E359" i="3"/>
  <c r="E293" i="3"/>
  <c r="E353" i="3"/>
  <c r="AN6" i="3"/>
  <c r="E418" i="3"/>
  <c r="E296" i="3"/>
  <c r="E136" i="3"/>
  <c r="E122" i="3"/>
  <c r="E223" i="3"/>
  <c r="E173" i="3"/>
  <c r="E519" i="3"/>
  <c r="E573" i="3"/>
  <c r="E442" i="3"/>
  <c r="E541" i="3"/>
  <c r="E440" i="3"/>
  <c r="E367" i="3"/>
  <c r="J6" i="3"/>
  <c r="E419" i="3"/>
  <c r="E546" i="3"/>
  <c r="E71" i="3"/>
  <c r="E73" i="3"/>
  <c r="E203" i="3"/>
  <c r="E240" i="3"/>
  <c r="E259" i="3"/>
  <c r="E391" i="3"/>
  <c r="E109" i="3"/>
  <c r="E484" i="3"/>
  <c r="E46" i="3"/>
  <c r="E200" i="3"/>
  <c r="E339" i="3"/>
  <c r="E66" i="3"/>
  <c r="E127" i="3"/>
  <c r="Y6" i="3"/>
  <c r="E158" i="3"/>
  <c r="E513" i="3"/>
  <c r="E69" i="3"/>
  <c r="E565" i="3"/>
  <c r="AJ6" i="3"/>
  <c r="E583" i="3"/>
  <c r="E352" i="3"/>
  <c r="E314" i="3"/>
  <c r="E423" i="3"/>
  <c r="E263" i="3"/>
  <c r="E99" i="3"/>
  <c r="E157" i="3"/>
  <c r="E277" i="3"/>
  <c r="E133" i="3"/>
  <c r="AD6" i="3"/>
  <c r="AC6" i="3" s="1"/>
  <c r="T6" i="3"/>
  <c r="E456" i="3"/>
  <c r="P6" i="3"/>
  <c r="E556" i="3"/>
  <c r="E581" i="3"/>
  <c r="E450" i="3"/>
  <c r="E417" i="3"/>
  <c r="E56" i="3"/>
  <c r="E95" i="3"/>
  <c r="E119" i="3"/>
  <c r="E242" i="3"/>
  <c r="E291" i="3"/>
  <c r="E394" i="3"/>
  <c r="E504" i="3"/>
  <c r="E29" i="3"/>
  <c r="E15" i="3"/>
  <c r="E65" i="3"/>
  <c r="E248" i="3"/>
  <c r="E383" i="3"/>
  <c r="E86" i="3"/>
  <c r="E232" i="3"/>
  <c r="E68" i="3"/>
  <c r="E237" i="3"/>
  <c r="E183" i="3"/>
  <c r="E328" i="3"/>
  <c r="E125" i="3"/>
  <c r="E172" i="3"/>
  <c r="E302" i="3"/>
  <c r="AA6" i="3"/>
  <c r="E227" i="3"/>
  <c r="E533" i="3"/>
  <c r="E561" i="3"/>
  <c r="E298" i="3"/>
  <c r="E236" i="3"/>
  <c r="E89" i="3"/>
  <c r="E253" i="3"/>
  <c r="E585" i="3"/>
  <c r="E515" i="3"/>
  <c r="E472" i="3"/>
  <c r="E406" i="3"/>
  <c r="E477" i="3"/>
  <c r="E587" i="3"/>
  <c r="E582" i="3"/>
  <c r="E452" i="3"/>
  <c r="E420" i="3"/>
  <c r="E104" i="3"/>
  <c r="E121" i="3"/>
  <c r="E166" i="3"/>
  <c r="E279" i="3"/>
  <c r="E292" i="3"/>
  <c r="E334" i="3"/>
  <c r="E31" i="3"/>
  <c r="E59" i="3"/>
  <c r="E412" i="3"/>
  <c r="E129" i="3"/>
  <c r="E267" i="3"/>
  <c r="E310" i="3"/>
  <c r="E289" i="3"/>
  <c r="E51" i="3"/>
  <c r="E287" i="3"/>
  <c r="E261" i="3"/>
  <c r="E153" i="3"/>
  <c r="E579" i="3"/>
  <c r="E285" i="3"/>
  <c r="E568" i="3"/>
  <c r="E536" i="3"/>
  <c r="E387" i="3"/>
  <c r="E262" i="3"/>
  <c r="E254" i="3"/>
  <c r="E204" i="3"/>
  <c r="E286" i="3"/>
  <c r="E493" i="3"/>
  <c r="E543" i="3"/>
  <c r="E422" i="3"/>
  <c r="E490" i="3"/>
  <c r="E505" i="3"/>
  <c r="E577" i="3"/>
  <c r="E460" i="3"/>
  <c r="E217" i="3"/>
  <c r="E213" i="3"/>
  <c r="X6" i="3"/>
  <c r="E246" i="3"/>
  <c r="E514" i="3"/>
  <c r="E586" i="3"/>
  <c r="E306" i="3"/>
  <c r="E245" i="3"/>
  <c r="E188" i="3"/>
  <c r="E140" i="3"/>
  <c r="E197" i="3"/>
  <c r="E313" i="3"/>
  <c r="E499" i="3"/>
  <c r="E529" i="3"/>
  <c r="E466" i="3"/>
  <c r="E430" i="3"/>
  <c r="E255" i="3"/>
  <c r="AH6" i="3"/>
  <c r="AS6" i="3"/>
  <c r="E476" i="3"/>
  <c r="E447" i="3"/>
  <c r="E106" i="3"/>
  <c r="E131" i="3"/>
  <c r="E155" i="3"/>
  <c r="E297" i="3"/>
  <c r="E348" i="3"/>
  <c r="E375" i="3"/>
  <c r="E42" i="3"/>
  <c r="E480" i="3"/>
  <c r="E467" i="3"/>
  <c r="E170" i="3"/>
  <c r="E219" i="3"/>
  <c r="E354" i="3"/>
  <c r="E251" i="3"/>
  <c r="E80" i="3"/>
  <c r="E323" i="3"/>
  <c r="E305" i="3"/>
  <c r="E510" i="3"/>
  <c r="E570" i="3"/>
  <c r="E368" i="3"/>
  <c r="E135" i="3"/>
  <c r="E199" i="3"/>
  <c r="E542" i="3"/>
  <c r="E464" i="3"/>
  <c r="E557" i="3"/>
  <c r="E483" i="3"/>
  <c r="E39" i="3"/>
  <c r="E162" i="3"/>
  <c r="E225" i="3"/>
  <c r="E331" i="3"/>
  <c r="E14" i="3"/>
  <c r="E488" i="3"/>
  <c r="E98" i="3"/>
  <c r="E249" i="3"/>
  <c r="E35" i="3"/>
  <c r="E340" i="3"/>
  <c r="E118" i="3"/>
  <c r="E21" i="3"/>
  <c r="E361" i="3"/>
  <c r="E410" i="3"/>
  <c r="E16" i="3"/>
  <c r="E303" i="3"/>
  <c r="E148" i="3"/>
  <c r="E193" i="3"/>
  <c r="Q6" i="3"/>
  <c r="E485" i="3"/>
  <c r="E449" i="3"/>
  <c r="E497" i="3"/>
  <c r="E471" i="3"/>
  <c r="E40" i="3"/>
  <c r="E152" i="3"/>
  <c r="E272" i="3"/>
  <c r="E346" i="3"/>
  <c r="AL6" i="3"/>
  <c r="E540" i="3"/>
  <c r="E78" i="3"/>
  <c r="E235" i="3"/>
  <c r="E84" i="3"/>
  <c r="E355" i="3"/>
  <c r="E179" i="3"/>
  <c r="E322" i="3"/>
  <c r="E399" i="3"/>
  <c r="AI6" i="3"/>
  <c r="E321" i="3"/>
  <c r="E91" i="3"/>
  <c r="E120" i="3"/>
  <c r="E141" i="3"/>
  <c r="U6" i="3"/>
  <c r="E469" i="3"/>
  <c r="E459" i="3"/>
  <c r="E500" i="3"/>
  <c r="E489" i="3"/>
  <c r="E258" i="3"/>
  <c r="E363" i="3"/>
  <c r="E544" i="3"/>
  <c r="E441" i="3"/>
  <c r="E103" i="3"/>
  <c r="E266" i="3"/>
  <c r="E24" i="3"/>
  <c r="E341" i="3"/>
  <c r="E218" i="3"/>
  <c r="E503" i="3"/>
  <c r="E396" i="3"/>
  <c r="E578" i="3"/>
  <c r="E231" i="3"/>
  <c r="E290" i="3"/>
  <c r="E85" i="3"/>
  <c r="E327" i="3"/>
  <c r="AG6" i="3"/>
  <c r="E548" i="3"/>
  <c r="E345" i="3"/>
  <c r="E13" i="3"/>
  <c r="E496" i="3"/>
  <c r="E27" i="3"/>
  <c r="E198" i="3"/>
  <c r="E214" i="3"/>
  <c r="E377" i="3"/>
  <c r="E58" i="3"/>
  <c r="E473" i="3"/>
  <c r="E190" i="3"/>
  <c r="E307" i="3"/>
  <c r="E112" i="3"/>
  <c r="AF6" i="3"/>
  <c r="E308" i="3"/>
  <c r="E319" i="3"/>
  <c r="E304" i="3"/>
  <c r="E388" i="3"/>
  <c r="E229" i="3"/>
  <c r="E390" i="3"/>
  <c r="AB6" i="3"/>
  <c r="E196" i="3"/>
  <c r="E117" i="3"/>
  <c r="E252" i="3"/>
  <c r="E379" i="3"/>
  <c r="AO6" i="3"/>
  <c r="E527" i="3"/>
  <c r="E374" i="3"/>
  <c r="E517" i="3"/>
  <c r="E404" i="3"/>
  <c r="E70" i="3"/>
  <c r="E132" i="3"/>
  <c r="E241" i="3"/>
  <c r="E317" i="3"/>
  <c r="E44" i="3"/>
  <c r="E425" i="3"/>
  <c r="E137" i="3"/>
  <c r="E325" i="3"/>
  <c r="E415" i="3"/>
  <c r="E530" i="3"/>
  <c r="E509" i="3"/>
  <c r="E124" i="3"/>
  <c r="E495" i="3"/>
  <c r="E434" i="3"/>
  <c r="E159" i="3"/>
  <c r="E238" i="3"/>
  <c r="E575" i="3"/>
  <c r="E437" i="3"/>
  <c r="E400" i="3"/>
  <c r="E376" i="3"/>
  <c r="E413" i="3"/>
  <c r="E463" i="3"/>
  <c r="E57" i="3"/>
  <c r="E186" i="3"/>
  <c r="E243" i="3"/>
  <c r="E362" i="3"/>
  <c r="E76" i="3"/>
  <c r="E18" i="3"/>
  <c r="E163" i="3"/>
  <c r="E492" i="3"/>
  <c r="E206" i="3"/>
  <c r="E81" i="3"/>
  <c r="E373" i="3"/>
  <c r="E501" i="3"/>
  <c r="E516" i="3"/>
  <c r="E511" i="3"/>
  <c r="E382" i="3"/>
  <c r="E130" i="3"/>
  <c r="E177" i="3"/>
  <c r="K6" i="3"/>
  <c r="E427" i="3"/>
  <c r="E416" i="3"/>
  <c r="AP6" i="3"/>
  <c r="E435" i="3"/>
  <c r="E475" i="3"/>
  <c r="E111" i="3"/>
  <c r="E192" i="3"/>
  <c r="E276" i="3"/>
  <c r="E372" i="3"/>
  <c r="E43" i="3"/>
  <c r="E64" i="3"/>
  <c r="E234" i="3"/>
  <c r="AQ6" i="3"/>
  <c r="E250" i="3"/>
  <c r="E154" i="3"/>
  <c r="E22" i="3"/>
  <c r="E260" i="3"/>
  <c r="E431" i="3"/>
  <c r="E402" i="3"/>
  <c r="R6" i="3"/>
  <c r="E344" i="3"/>
  <c r="E26" i="3"/>
  <c r="E226" i="3"/>
  <c r="E110" i="3"/>
  <c r="E324" i="3"/>
  <c r="E50" i="3"/>
  <c r="E411" i="3"/>
  <c r="E113" i="3"/>
  <c r="E337" i="3"/>
  <c r="E439" i="3"/>
  <c r="E552" i="3"/>
  <c r="E566" i="3"/>
  <c r="E90" i="3"/>
  <c r="E273" i="3"/>
  <c r="E75" i="3"/>
  <c r="E371" i="3"/>
  <c r="E102" i="3"/>
  <c r="E41" i="3"/>
  <c r="E143" i="3"/>
  <c r="E380" i="3"/>
  <c r="E207" i="3"/>
  <c r="E405" i="3"/>
  <c r="W6" i="3"/>
  <c r="E25" i="3"/>
  <c r="E274" i="3"/>
  <c r="E428" i="3"/>
  <c r="E342" i="3"/>
  <c r="E20" i="3"/>
  <c r="E521" i="3"/>
  <c r="E151" i="3"/>
  <c r="E216" i="3"/>
  <c r="E212" i="3"/>
  <c r="E448" i="3"/>
  <c r="E498" i="3"/>
  <c r="E92" i="3"/>
  <c r="E357" i="3"/>
  <c r="E446" i="3"/>
  <c r="E23" i="3"/>
  <c r="E176" i="3"/>
  <c r="E316" i="3"/>
  <c r="E189" i="3"/>
  <c r="E487" i="3"/>
  <c r="E531" i="3"/>
  <c r="E115" i="3"/>
  <c r="E378" i="3"/>
  <c r="E47" i="3"/>
  <c r="E34" i="3"/>
  <c r="E264" i="3"/>
  <c r="E169" i="3"/>
  <c r="E116" i="3"/>
  <c r="E507" i="3"/>
  <c r="E429" i="3"/>
  <c r="E182" i="3"/>
  <c r="E356" i="3"/>
  <c r="E96" i="3"/>
  <c r="E49" i="3"/>
  <c r="E365" i="3"/>
  <c r="E358" i="3"/>
  <c r="E61" i="3"/>
  <c r="E105" i="3"/>
  <c r="E512" i="3"/>
  <c r="E444" i="3"/>
  <c r="E384" i="3"/>
  <c r="E138" i="3"/>
  <c r="E87" i="3"/>
  <c r="E309" i="3"/>
  <c r="O6" i="3"/>
  <c r="E506" i="3"/>
  <c r="E288" i="3"/>
  <c r="E211" i="3"/>
  <c r="E74" i="3"/>
  <c r="E233" i="3"/>
  <c r="E538" i="3"/>
  <c r="E534" i="3"/>
  <c r="E479" i="3"/>
  <c r="E60" i="3"/>
  <c r="E381" i="3"/>
  <c r="E522" i="3"/>
  <c r="E329" i="3"/>
  <c r="S6" i="3"/>
  <c r="E228" i="3"/>
  <c r="E312" i="3"/>
  <c r="E408" i="3"/>
  <c r="E139" i="3"/>
  <c r="E389" i="3"/>
  <c r="E195" i="3"/>
  <c r="E123" i="3"/>
  <c r="E326" i="3"/>
  <c r="E569" i="3"/>
  <c r="E209" i="3"/>
  <c r="E526" i="3"/>
  <c r="E347" i="3"/>
  <c r="I6" i="3"/>
  <c r="H6" i="3" s="1"/>
  <c r="E180" i="3"/>
  <c r="E393" i="3"/>
  <c r="E424" i="3"/>
  <c r="E30" i="3"/>
  <c r="E142" i="3"/>
  <c r="E184" i="3"/>
  <c r="E524" i="3"/>
  <c r="E436" i="3"/>
  <c r="E82" i="3"/>
  <c r="E45" i="3"/>
  <c r="E525" i="3"/>
  <c r="E220" i="3"/>
  <c r="E295" i="3"/>
  <c r="E165" i="3"/>
  <c r="E571" i="3"/>
  <c r="E360" i="3"/>
  <c r="E580" i="3"/>
  <c r="E185" i="3"/>
  <c r="E555" i="3"/>
  <c r="E392" i="3"/>
  <c r="E48" i="3"/>
  <c r="F45" i="69"/>
  <c r="C29" i="69"/>
  <c r="D27" i="69" s="1"/>
  <c r="C47" i="69"/>
  <c r="D45" i="69" s="1"/>
  <c r="H10" i="39"/>
  <c r="E445" i="3"/>
  <c r="E72" i="3"/>
  <c r="E482" i="3"/>
  <c r="K24" i="6"/>
  <c r="M24" i="6" s="1"/>
  <c r="I24" i="6" s="1"/>
  <c r="S24" i="6" s="1"/>
  <c r="K14" i="1"/>
  <c r="K26" i="6"/>
  <c r="M26" i="6" s="1"/>
  <c r="I26" i="6" s="1"/>
  <c r="S26" i="6" s="1"/>
  <c r="K23" i="6"/>
  <c r="M23" i="6" s="1"/>
  <c r="I23" i="6" s="1"/>
  <c r="S23" i="6" s="1"/>
  <c r="K22" i="6"/>
  <c r="M22" i="6" s="1"/>
  <c r="I22" i="6" s="1"/>
  <c r="S22" i="6" s="1"/>
  <c r="K25" i="6"/>
  <c r="M25" i="6" s="1"/>
  <c r="I25" i="6" s="1"/>
  <c r="S25" i="6" s="1"/>
  <c r="K21" i="6"/>
  <c r="M21" i="6" s="1"/>
  <c r="I21" i="6" s="1"/>
  <c r="S21" i="6" s="1"/>
  <c r="K19" i="6"/>
  <c r="K20" i="6"/>
  <c r="M20" i="6" s="1"/>
  <c r="I20" i="6" s="1"/>
  <c r="S20" i="6" s="1"/>
  <c r="E33" i="3"/>
  <c r="E16" i="6"/>
  <c r="E486" i="3"/>
  <c r="E294" i="3"/>
  <c r="E453" i="3"/>
  <c r="E478" i="3"/>
  <c r="E60" i="40"/>
  <c r="E65" i="39"/>
  <c r="E126" i="3"/>
  <c r="E432" i="3"/>
  <c r="E57" i="40"/>
  <c r="E62" i="39"/>
  <c r="W10" i="39"/>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J5" i="67" l="1"/>
  <c r="J24" i="67" s="1"/>
  <c r="U10" i="40"/>
  <c r="E30" i="6"/>
  <c r="E31" i="6" s="1"/>
  <c r="AA10" i="40"/>
  <c r="W10" i="40"/>
  <c r="AC10" i="40"/>
  <c r="E6" i="3"/>
  <c r="E66" i="39"/>
  <c r="AB10" i="39"/>
  <c r="U10" i="39"/>
  <c r="M14" i="1"/>
  <c r="C34" i="69"/>
  <c r="K16" i="1"/>
  <c r="D3" i="33"/>
  <c r="D37" i="11"/>
  <c r="C37" i="11" s="1"/>
  <c r="E6" i="6"/>
  <c r="C17" i="4"/>
  <c r="B4" i="52" s="1"/>
  <c r="B43" i="72" s="1"/>
  <c r="D3" i="37"/>
  <c r="M18" i="9"/>
  <c r="B118" i="9" s="1"/>
  <c r="B14" i="74" s="1"/>
  <c r="B1" i="74" s="1"/>
  <c r="L18" i="9"/>
  <c r="D3" i="34"/>
  <c r="D3" i="21"/>
  <c r="D19" i="11"/>
  <c r="C19" i="11" s="1"/>
  <c r="D14" i="12"/>
  <c r="K27" i="6"/>
  <c r="M19" i="6"/>
  <c r="AY67" i="3"/>
  <c r="AY160" i="3"/>
  <c r="AY74" i="3"/>
  <c r="AY261" i="3"/>
  <c r="AY252" i="3"/>
  <c r="AY319" i="3"/>
  <c r="AY412" i="3"/>
  <c r="AY116" i="3"/>
  <c r="AY379" i="3"/>
  <c r="AY478" i="3"/>
  <c r="AY557" i="3"/>
  <c r="AY539" i="3"/>
  <c r="AY69" i="3"/>
  <c r="AY20" i="3"/>
  <c r="AY162" i="3"/>
  <c r="AY83" i="3"/>
  <c r="AY144" i="3"/>
  <c r="AY31" i="3"/>
  <c r="AY103" i="3"/>
  <c r="AY191" i="3"/>
  <c r="AY42" i="3"/>
  <c r="AY58" i="3"/>
  <c r="AY209" i="3"/>
  <c r="AY473" i="3"/>
  <c r="AY526" i="3"/>
  <c r="AY228" i="3"/>
  <c r="AY326" i="3"/>
  <c r="AY401" i="3"/>
  <c r="BO6" i="3"/>
  <c r="AY77" i="3"/>
  <c r="AY33" i="3"/>
  <c r="AY146" i="3"/>
  <c r="AY117" i="3"/>
  <c r="AY239" i="3"/>
  <c r="AY211" i="3"/>
  <c r="BS6" i="3"/>
  <c r="AY57" i="3"/>
  <c r="AY150" i="3"/>
  <c r="AY243" i="3"/>
  <c r="AY356" i="3"/>
  <c r="AY308" i="3"/>
  <c r="AY454" i="3"/>
  <c r="AY403" i="3"/>
  <c r="BN6" i="3"/>
  <c r="AY559" i="3"/>
  <c r="AY82" i="3"/>
  <c r="AY124" i="3"/>
  <c r="AY123" i="3"/>
  <c r="AY237" i="3"/>
  <c r="AY303" i="3"/>
  <c r="AY409" i="3"/>
  <c r="AY260" i="3"/>
  <c r="AY342" i="3"/>
  <c r="AY535" i="3"/>
  <c r="BE6" i="3"/>
  <c r="AY45" i="3"/>
  <c r="AY190" i="3"/>
  <c r="AY149" i="3"/>
  <c r="AY286" i="3"/>
  <c r="AY230" i="3"/>
  <c r="AY365" i="3"/>
  <c r="AY104" i="3"/>
  <c r="AY181" i="3"/>
  <c r="AY259" i="3"/>
  <c r="AY349" i="3"/>
  <c r="AY483" i="3"/>
  <c r="AY430" i="3"/>
  <c r="AY525" i="3"/>
  <c r="AY546" i="3"/>
  <c r="AY532" i="3"/>
  <c r="AY81" i="3"/>
  <c r="AY174" i="3"/>
  <c r="AY267" i="3"/>
  <c r="AY361" i="3"/>
  <c r="AY320" i="3"/>
  <c r="AY445" i="3"/>
  <c r="AY415" i="3"/>
  <c r="AY522" i="3"/>
  <c r="AY18" i="3"/>
  <c r="AY95" i="3"/>
  <c r="AY111" i="3"/>
  <c r="AY225" i="3"/>
  <c r="AY486" i="3"/>
  <c r="AY43" i="3"/>
  <c r="AY390" i="3"/>
  <c r="AY463" i="3"/>
  <c r="BK6" i="3"/>
  <c r="AY97" i="3"/>
  <c r="AY60" i="3"/>
  <c r="AY185" i="3"/>
  <c r="AY118" i="3"/>
  <c r="AY255" i="3"/>
  <c r="AY219" i="3"/>
  <c r="AY554" i="3"/>
  <c r="AY72" i="3"/>
  <c r="AY145" i="3"/>
  <c r="AY226" i="3"/>
  <c r="AY317" i="3"/>
  <c r="AY480" i="3"/>
  <c r="AY398" i="3"/>
  <c r="AY516" i="3"/>
  <c r="AY510" i="3"/>
  <c r="AY496" i="3"/>
  <c r="AY64" i="3"/>
  <c r="AY153" i="3"/>
  <c r="AY250" i="3"/>
  <c r="AY337" i="3"/>
  <c r="AY479" i="3"/>
  <c r="AY434" i="3"/>
  <c r="AY505" i="3"/>
  <c r="AY515" i="3"/>
  <c r="BP6" i="3"/>
  <c r="AY62" i="3"/>
  <c r="AY151" i="3"/>
  <c r="AY196" i="3"/>
  <c r="AY59" i="3"/>
  <c r="AY204" i="3"/>
  <c r="AY387" i="3"/>
  <c r="AY455" i="3"/>
  <c r="AY199" i="3"/>
  <c r="AY372" i="3"/>
  <c r="AY452" i="3"/>
  <c r="AY544" i="3"/>
  <c r="AY108" i="3"/>
  <c r="AY44" i="3"/>
  <c r="AY170" i="3"/>
  <c r="AY125" i="3"/>
  <c r="AY231" i="3"/>
  <c r="AY384" i="3"/>
  <c r="BH6" i="3"/>
  <c r="AY40" i="3"/>
  <c r="AY114" i="3"/>
  <c r="AY215" i="3"/>
  <c r="AY348" i="3"/>
  <c r="AY464" i="3"/>
  <c r="AY427" i="3"/>
  <c r="AY572" i="3"/>
  <c r="BG6" i="3"/>
  <c r="AY577" i="3"/>
  <c r="AY32" i="3"/>
  <c r="AY122" i="3"/>
  <c r="AY218" i="3"/>
  <c r="AY321" i="3"/>
  <c r="AY492" i="3"/>
  <c r="AY418" i="3"/>
  <c r="AY17" i="3"/>
  <c r="AY537" i="3"/>
  <c r="AY563" i="3"/>
  <c r="AY30" i="3"/>
  <c r="AY120" i="3"/>
  <c r="AY216" i="3"/>
  <c r="AY330" i="3"/>
  <c r="AY421" i="3"/>
  <c r="AY576" i="3"/>
  <c r="AY22" i="3"/>
  <c r="AY136" i="3"/>
  <c r="AY208" i="3"/>
  <c r="AY322" i="3"/>
  <c r="AY413" i="3"/>
  <c r="AY567" i="3"/>
  <c r="AY171" i="3"/>
  <c r="AY281" i="3"/>
  <c r="AY382" i="3"/>
  <c r="AY428" i="3"/>
  <c r="AY244" i="3"/>
  <c r="AY447" i="3"/>
  <c r="AY540" i="3"/>
  <c r="AY84" i="3"/>
  <c r="AY178" i="3"/>
  <c r="AY283" i="3"/>
  <c r="AY222" i="3"/>
  <c r="AY507" i="3"/>
  <c r="AY202" i="3"/>
  <c r="AY274" i="3"/>
  <c r="AY309" i="3"/>
  <c r="AY462" i="3"/>
  <c r="BM6" i="3"/>
  <c r="AY552" i="3"/>
  <c r="AY101" i="3"/>
  <c r="AY158" i="3"/>
  <c r="AY234" i="3"/>
  <c r="AY344" i="3"/>
  <c r="AY458" i="3"/>
  <c r="AY506" i="3"/>
  <c r="AY542" i="3"/>
  <c r="AY94" i="3"/>
  <c r="AY156" i="3"/>
  <c r="AY264" i="3"/>
  <c r="AY315" i="3"/>
  <c r="AY437" i="3"/>
  <c r="AY587" i="3"/>
  <c r="AY200" i="3"/>
  <c r="AY277" i="3"/>
  <c r="AY375" i="3"/>
  <c r="AY459" i="3"/>
  <c r="AY566" i="3"/>
  <c r="AY155" i="3"/>
  <c r="AY292" i="3"/>
  <c r="AY371" i="3"/>
  <c r="AY441" i="3"/>
  <c r="AY212" i="3"/>
  <c r="AY436" i="3"/>
  <c r="AY533" i="3"/>
  <c r="AY76" i="3"/>
  <c r="AY154" i="3"/>
  <c r="AY302" i="3"/>
  <c r="AY214" i="3"/>
  <c r="BI6" i="3"/>
  <c r="AY186" i="3"/>
  <c r="AY258" i="3"/>
  <c r="AY340" i="3"/>
  <c r="AY446" i="3"/>
  <c r="AY580" i="3"/>
  <c r="AY16" i="3"/>
  <c r="AY112" i="3"/>
  <c r="AY142" i="3"/>
  <c r="AY223" i="3"/>
  <c r="AY336" i="3"/>
  <c r="AY450" i="3"/>
  <c r="AY499" i="3"/>
  <c r="AY530" i="3"/>
  <c r="AY79" i="3"/>
  <c r="AY140" i="3"/>
  <c r="AY248" i="3"/>
  <c r="AY346" i="3"/>
  <c r="AY405" i="3"/>
  <c r="AY107" i="3"/>
  <c r="AY184" i="3"/>
  <c r="AY288" i="3"/>
  <c r="AY367" i="3"/>
  <c r="AY443" i="3"/>
  <c r="AY511" i="3"/>
  <c r="AY139" i="3"/>
  <c r="AY276" i="3"/>
  <c r="AY363" i="3"/>
  <c r="AY425" i="3"/>
  <c r="AY217" i="3"/>
  <c r="AY420" i="3"/>
  <c r="AY541" i="3"/>
  <c r="AY68" i="3"/>
  <c r="AY138" i="3"/>
  <c r="AY294" i="3"/>
  <c r="AY227" i="3"/>
  <c r="BJ6" i="3"/>
  <c r="AY197" i="3"/>
  <c r="AY242" i="3"/>
  <c r="AY332" i="3"/>
  <c r="AY438" i="3"/>
  <c r="AY585" i="3"/>
  <c r="AY543" i="3"/>
  <c r="AY96" i="3"/>
  <c r="AY169" i="3"/>
  <c r="AY396" i="3"/>
  <c r="AY328" i="3"/>
  <c r="AY442" i="3"/>
  <c r="AY538" i="3"/>
  <c r="BR6" i="3"/>
  <c r="AY63" i="3"/>
  <c r="AY167" i="3"/>
  <c r="AY232" i="3"/>
  <c r="AY314" i="3"/>
  <c r="AY500" i="3"/>
  <c r="AY91" i="3"/>
  <c r="AY195" i="3"/>
  <c r="AY273" i="3"/>
  <c r="AY351" i="3"/>
  <c r="AY448" i="3"/>
  <c r="AY583" i="3"/>
  <c r="AY98" i="3"/>
  <c r="AY115" i="3"/>
  <c r="AY168" i="3"/>
  <c r="AY350" i="3"/>
  <c r="AY529" i="3"/>
  <c r="AY355" i="3"/>
  <c r="AY433" i="3"/>
  <c r="AY553" i="3"/>
  <c r="AY36" i="3"/>
  <c r="AY165" i="3"/>
  <c r="AY271" i="3"/>
  <c r="AY397" i="3"/>
  <c r="AY109" i="3"/>
  <c r="AY177" i="3"/>
  <c r="AY388" i="3"/>
  <c r="AY316" i="3"/>
  <c r="AY414" i="3"/>
  <c r="AY534" i="3"/>
  <c r="AY508" i="3"/>
  <c r="AY49" i="3"/>
  <c r="AY129" i="3"/>
  <c r="AY385" i="3"/>
  <c r="AY304" i="3"/>
  <c r="AY410" i="3"/>
  <c r="AY564" i="3"/>
  <c r="AY570" i="3"/>
  <c r="AY78" i="3"/>
  <c r="AY127" i="3"/>
  <c r="AY394" i="3"/>
  <c r="AY469" i="3"/>
  <c r="AY13" i="3"/>
  <c r="AY86" i="3"/>
  <c r="AY164" i="3"/>
  <c r="AY241" i="3"/>
  <c r="AY339" i="3"/>
  <c r="AY416" i="3"/>
  <c r="BT6" i="3"/>
  <c r="AY34" i="3"/>
  <c r="AY183" i="3"/>
  <c r="AY253" i="3"/>
  <c r="AY489" i="3"/>
  <c r="AY300" i="3"/>
  <c r="AY311" i="3"/>
  <c r="AY562" i="3"/>
  <c r="AY92" i="3"/>
  <c r="AY198" i="3"/>
  <c r="AY126" i="3"/>
  <c r="AY262" i="3"/>
  <c r="AY374" i="3"/>
  <c r="AY41" i="3"/>
  <c r="AY295" i="3"/>
  <c r="AY353" i="3"/>
  <c r="AY488" i="3"/>
  <c r="AY411" i="3"/>
  <c r="AY527" i="3"/>
  <c r="AY514" i="3"/>
  <c r="AY21" i="3"/>
  <c r="AY282" i="3"/>
  <c r="AY345" i="3"/>
  <c r="AY476" i="3"/>
  <c r="AY423" i="3"/>
  <c r="AY502" i="3"/>
  <c r="BA6" i="3"/>
  <c r="AY192" i="3"/>
  <c r="AY280" i="3"/>
  <c r="AY359" i="3"/>
  <c r="AY456" i="3"/>
  <c r="AY528" i="3"/>
  <c r="AY70" i="3"/>
  <c r="AY143" i="3"/>
  <c r="AY224" i="3"/>
  <c r="AY306" i="3"/>
  <c r="AY521" i="3"/>
  <c r="AY207" i="3"/>
  <c r="AY163" i="3"/>
  <c r="AY236" i="3"/>
  <c r="AY460" i="3"/>
  <c r="AY245" i="3"/>
  <c r="AY481" i="3"/>
  <c r="AY574" i="3"/>
  <c r="AY61" i="3"/>
  <c r="AY201" i="3"/>
  <c r="AY299" i="3"/>
  <c r="AY246" i="3"/>
  <c r="AY368" i="3"/>
  <c r="AY24" i="3"/>
  <c r="AY290" i="3"/>
  <c r="AY333" i="3"/>
  <c r="AY66" i="3"/>
  <c r="AY297" i="3"/>
  <c r="AY26" i="3"/>
  <c r="AY513" i="3"/>
  <c r="AY25" i="3"/>
  <c r="AY247" i="3"/>
  <c r="AY88" i="3"/>
  <c r="AY377" i="3"/>
  <c r="AY406" i="3"/>
  <c r="AY518" i="3"/>
  <c r="AY194" i="3"/>
  <c r="AY364" i="3"/>
  <c r="AY426" i="3"/>
  <c r="AY509" i="3"/>
  <c r="AY19" i="3"/>
  <c r="AY378" i="3"/>
  <c r="AY408" i="3"/>
  <c r="AY54" i="3"/>
  <c r="AY256" i="3"/>
  <c r="AY432" i="3"/>
  <c r="AY176" i="3"/>
  <c r="AY193" i="3"/>
  <c r="AY137" i="3"/>
  <c r="AY548" i="3"/>
  <c r="AY386" i="3"/>
  <c r="AY50" i="3"/>
  <c r="AY284" i="3"/>
  <c r="AY180" i="3"/>
  <c r="AY549" i="3"/>
  <c r="AY206" i="3"/>
  <c r="AY270" i="3"/>
  <c r="AY73" i="3"/>
  <c r="AY370" i="3"/>
  <c r="AY435" i="3"/>
  <c r="AY501" i="3"/>
  <c r="AY205" i="3"/>
  <c r="AY352" i="3"/>
  <c r="AY402" i="3"/>
  <c r="AY551" i="3"/>
  <c r="AY203" i="3"/>
  <c r="AY383" i="3"/>
  <c r="AY558" i="3"/>
  <c r="AY38" i="3"/>
  <c r="AY240" i="3"/>
  <c r="AY400" i="3"/>
  <c r="AY220" i="3"/>
  <c r="AY581" i="3"/>
  <c r="AY431" i="3"/>
  <c r="AY23" i="3"/>
  <c r="AY268" i="3"/>
  <c r="AY269" i="3"/>
  <c r="AY573" i="3"/>
  <c r="AY182" i="3"/>
  <c r="AY254" i="3"/>
  <c r="AY56" i="3"/>
  <c r="AY341" i="3"/>
  <c r="AY419" i="3"/>
  <c r="AY584" i="3"/>
  <c r="AY189" i="3"/>
  <c r="AY329" i="3"/>
  <c r="AY439" i="3"/>
  <c r="AY545" i="3"/>
  <c r="AY187" i="3"/>
  <c r="AY376" i="3"/>
  <c r="AY517" i="3"/>
  <c r="AY27" i="3"/>
  <c r="AY213" i="3"/>
  <c r="AY429" i="3"/>
  <c r="AY132" i="3"/>
  <c r="AY366" i="3"/>
  <c r="AY395" i="3"/>
  <c r="AY555" i="3"/>
  <c r="AY173" i="3"/>
  <c r="AY392" i="3"/>
  <c r="AY166" i="3"/>
  <c r="AY324" i="3"/>
  <c r="AY503" i="3"/>
  <c r="AY556" i="3"/>
  <c r="AY113" i="3"/>
  <c r="AY305" i="3"/>
  <c r="AY407" i="3"/>
  <c r="AY531" i="3"/>
  <c r="AY135" i="3"/>
  <c r="AY347" i="3"/>
  <c r="AY560" i="3"/>
  <c r="AY148" i="3"/>
  <c r="AY391" i="3"/>
  <c r="BD6" i="3"/>
  <c r="AY229" i="3"/>
  <c r="AY494" i="3"/>
  <c r="AY362" i="3"/>
  <c r="AY289" i="3"/>
  <c r="AY335" i="3"/>
  <c r="AY358" i="3"/>
  <c r="AY105" i="3"/>
  <c r="AY157" i="3"/>
  <c r="AY389" i="3"/>
  <c r="AY161" i="3"/>
  <c r="AY491" i="3"/>
  <c r="BQ6" i="3"/>
  <c r="AY582" i="3"/>
  <c r="AY287" i="3"/>
  <c r="AY312" i="3"/>
  <c r="AY399" i="3"/>
  <c r="AY578" i="3"/>
  <c r="AY301" i="3"/>
  <c r="AY331" i="3"/>
  <c r="AY512" i="3"/>
  <c r="AY175" i="3"/>
  <c r="AY354" i="3"/>
  <c r="AY15" i="3"/>
  <c r="AY90" i="3"/>
  <c r="AY334" i="3"/>
  <c r="AY343" i="3"/>
  <c r="AY89" i="3"/>
  <c r="AY141" i="3"/>
  <c r="AY381" i="3"/>
  <c r="AY130" i="3"/>
  <c r="AY475" i="3"/>
  <c r="AY561" i="3"/>
  <c r="AY519" i="3"/>
  <c r="AY298" i="3"/>
  <c r="AY487" i="3"/>
  <c r="AY579" i="3"/>
  <c r="AY493" i="3"/>
  <c r="AY285" i="3"/>
  <c r="AY485" i="3"/>
  <c r="AY568" i="3"/>
  <c r="AY159" i="3"/>
  <c r="AY323" i="3"/>
  <c r="BC6" i="3"/>
  <c r="AY188" i="3"/>
  <c r="AY318" i="3"/>
  <c r="AY327" i="3"/>
  <c r="AY100" i="3"/>
  <c r="AY133" i="3"/>
  <c r="AY373" i="3"/>
  <c r="AY121" i="3"/>
  <c r="AY467" i="3"/>
  <c r="BF6" i="3"/>
  <c r="AY523" i="3"/>
  <c r="AY251" i="3"/>
  <c r="AY471" i="3"/>
  <c r="AY14" i="3"/>
  <c r="AY99" i="3"/>
  <c r="AY296" i="3"/>
  <c r="AY482" i="3"/>
  <c r="BL6" i="3"/>
  <c r="AY128" i="3"/>
  <c r="AY307" i="3"/>
  <c r="AY504" i="3"/>
  <c r="AY404" i="3"/>
  <c r="AY520" i="3"/>
  <c r="AY46" i="3"/>
  <c r="AY490" i="3"/>
  <c r="AY147" i="3"/>
  <c r="AY417" i="3"/>
  <c r="AY263" i="3"/>
  <c r="AY393" i="3"/>
  <c r="AY37" i="3"/>
  <c r="AY565" i="3"/>
  <c r="AY221" i="3"/>
  <c r="AY39" i="3"/>
  <c r="AY474" i="3"/>
  <c r="AY238" i="3"/>
  <c r="AY313" i="3"/>
  <c r="AY172" i="3"/>
  <c r="AY550" i="3"/>
  <c r="AY152" i="3"/>
  <c r="AY470" i="3"/>
  <c r="AY310" i="3"/>
  <c r="AY85" i="3"/>
  <c r="AY134" i="3"/>
  <c r="AY357" i="3"/>
  <c r="AY279" i="3"/>
  <c r="AY472" i="3"/>
  <c r="AY536" i="3"/>
  <c r="AY65" i="3"/>
  <c r="AY235" i="3"/>
  <c r="AY484" i="3"/>
  <c r="D3" i="6"/>
  <c r="AY110" i="3"/>
  <c r="AY265" i="3"/>
  <c r="AY466" i="3"/>
  <c r="AY102" i="3"/>
  <c r="AY119" i="3"/>
  <c r="AY338" i="3"/>
  <c r="AY586" i="3"/>
  <c r="AY51" i="3"/>
  <c r="AY106" i="3"/>
  <c r="AY28" i="3"/>
  <c r="AY93" i="3"/>
  <c r="AY495" i="3"/>
  <c r="AY453" i="3"/>
  <c r="AY35" i="3"/>
  <c r="AY424" i="3"/>
  <c r="AY272" i="3"/>
  <c r="AY131" i="3"/>
  <c r="AY444" i="3"/>
  <c r="AY465" i="3"/>
  <c r="AY53" i="3"/>
  <c r="AY291" i="3"/>
  <c r="AY360" i="3"/>
  <c r="AY275" i="3"/>
  <c r="AY457" i="3"/>
  <c r="AY571" i="3"/>
  <c r="AY80" i="3"/>
  <c r="AY266" i="3"/>
  <c r="AY468" i="3"/>
  <c r="AY524" i="3"/>
  <c r="AY47" i="3"/>
  <c r="AY249" i="3"/>
  <c r="AY451" i="3"/>
  <c r="AY71" i="3"/>
  <c r="AY293" i="3"/>
  <c r="AY477" i="3"/>
  <c r="AY498" i="3"/>
  <c r="AY87" i="3"/>
  <c r="AY75" i="3"/>
  <c r="AY497" i="3"/>
  <c r="AY52" i="3"/>
  <c r="AY278" i="3"/>
  <c r="BB6" i="3"/>
  <c r="AY449" i="3"/>
  <c r="AY48" i="3"/>
  <c r="AY380" i="3"/>
  <c r="AY461" i="3"/>
  <c r="AY575" i="3"/>
  <c r="AY233" i="3"/>
  <c r="AY440" i="3"/>
  <c r="AY257" i="3"/>
  <c r="AY422" i="3"/>
  <c r="AY325" i="3"/>
  <c r="AY179" i="3"/>
  <c r="AY210" i="3"/>
  <c r="AY55" i="3"/>
  <c r="AY369" i="3"/>
  <c r="AY569" i="3"/>
  <c r="AY547" i="3"/>
  <c r="AY29" i="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J26" i="67" l="1"/>
  <c r="J29" i="67" s="1"/>
  <c r="D10" i="69"/>
  <c r="D20" i="12"/>
  <c r="C20" i="12" s="1"/>
  <c r="C18" i="12" s="1"/>
  <c r="D10" i="68"/>
  <c r="D10" i="11"/>
  <c r="C10" i="11" s="1"/>
  <c r="I19" i="6"/>
  <c r="H19" i="6" s="1"/>
  <c r="H27" i="6" s="1"/>
  <c r="M27" i="6"/>
  <c r="D17" i="12"/>
  <c r="C17" i="12" s="1"/>
  <c r="C14" i="12"/>
  <c r="D14" i="6"/>
  <c r="D28" i="6"/>
  <c r="D30" i="6" s="1"/>
  <c r="D21" i="6"/>
  <c r="D13" i="6"/>
  <c r="D23" i="6"/>
  <c r="L19" i="9"/>
  <c r="M19" i="9"/>
  <c r="C118" i="9" s="1"/>
  <c r="C14" i="74" s="1"/>
  <c r="B2" i="74" s="1"/>
  <c r="D24" i="6"/>
  <c r="D29" i="6"/>
  <c r="H25" i="6"/>
  <c r="H20" i="6"/>
  <c r="D15" i="6"/>
  <c r="D12" i="6"/>
  <c r="H21" i="6"/>
  <c r="D26" i="6"/>
  <c r="R26" i="6" s="1"/>
  <c r="C18" i="4"/>
  <c r="H22" i="6"/>
  <c r="D22" i="6"/>
  <c r="R22" i="6" s="1"/>
  <c r="H23" i="6"/>
  <c r="D20" i="6"/>
  <c r="R20" i="6" s="1"/>
  <c r="H24" i="6"/>
  <c r="H26" i="6"/>
  <c r="D5" i="6"/>
  <c r="D6" i="6"/>
  <c r="D19" i="6"/>
  <c r="D10" i="6"/>
  <c r="D25" i="6"/>
  <c r="E61" i="40"/>
  <c r="D9" i="6"/>
  <c r="D11" i="6"/>
  <c r="D8" i="6"/>
  <c r="D16" i="6" s="1"/>
  <c r="C20" i="11"/>
  <c r="C25" i="11" s="1"/>
  <c r="C35" i="69"/>
  <c r="C38" i="69"/>
  <c r="O14" i="1"/>
  <c r="O16" i="1" s="1"/>
  <c r="T16" i="1"/>
  <c r="M16" i="1"/>
  <c r="C8" i="74"/>
  <c r="C7" i="74"/>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R24" i="6" l="1"/>
  <c r="C28" i="11"/>
  <c r="C27" i="11" s="1"/>
  <c r="P14" i="1"/>
  <c r="P16" i="1" s="1"/>
  <c r="C11" i="12" s="1"/>
  <c r="R21" i="6"/>
  <c r="D27" i="6"/>
  <c r="D31" i="6" s="1"/>
  <c r="R19" i="6"/>
  <c r="R27" i="6" s="1"/>
  <c r="C10" i="68"/>
  <c r="D19" i="68"/>
  <c r="I27" i="6"/>
  <c r="S19" i="6"/>
  <c r="S27" i="6" s="1"/>
  <c r="D8" i="74"/>
  <c r="D7" i="74"/>
  <c r="C21" i="9"/>
  <c r="D21" i="9"/>
  <c r="G21" i="9"/>
  <c r="C31" i="11"/>
  <c r="N16" i="1"/>
  <c r="L16" i="1"/>
  <c r="C34" i="68"/>
  <c r="C34" i="11"/>
  <c r="R25" i="6"/>
  <c r="A7" i="51"/>
  <c r="B7" i="72" s="1"/>
  <c r="C4" i="52"/>
  <c r="B45" i="72" s="1"/>
  <c r="A10" i="51"/>
  <c r="B9" i="72" s="1"/>
  <c r="R23" i="6"/>
  <c r="C10" i="69"/>
  <c r="C8" i="69" s="1"/>
  <c r="C5" i="69" s="1"/>
  <c r="D19" i="69"/>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23" i="69" l="1"/>
  <c r="C22" i="69" s="1"/>
  <c r="C38" i="11"/>
  <c r="C35" i="11"/>
  <c r="C19" i="68"/>
  <c r="D37" i="68"/>
  <c r="C37" i="68" s="1"/>
  <c r="C38" i="68"/>
  <c r="C35" i="68"/>
  <c r="F50" i="68"/>
  <c r="F50" i="11"/>
  <c r="F50" i="69"/>
  <c r="I6" i="6"/>
  <c r="I5" i="6"/>
  <c r="C19" i="69"/>
  <c r="D37" i="69"/>
  <c r="C37" i="69" s="1"/>
  <c r="C33" i="69" s="1"/>
  <c r="C15" i="12"/>
  <c r="C12" i="12"/>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L57" i="67" l="1"/>
  <c r="L60" i="67" s="1"/>
  <c r="Q66" i="67" s="1"/>
  <c r="Q67" i="67"/>
  <c r="C16" i="12"/>
  <c r="C21" i="12" s="1"/>
  <c r="C22" i="12" s="1"/>
  <c r="C30" i="12" s="1"/>
  <c r="C28" i="12" s="1"/>
  <c r="C33" i="11"/>
  <c r="C42" i="11" s="1"/>
  <c r="C41" i="11" s="1"/>
  <c r="C33" i="68"/>
  <c r="C20" i="68"/>
  <c r="C24" i="68"/>
  <c r="C39" i="69"/>
  <c r="C42" i="69"/>
  <c r="C41" i="69" s="1"/>
  <c r="C20" i="69"/>
  <c r="C25" i="69" s="1"/>
  <c r="C24"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57" i="67" l="1"/>
  <c r="Q62" i="67" s="1"/>
  <c r="C39" i="11"/>
  <c r="C27" i="12"/>
  <c r="C25" i="12" s="1"/>
  <c r="C32" i="12" s="1"/>
  <c r="B2" i="12" s="1"/>
  <c r="B3" i="12" s="1"/>
  <c r="C28" i="68"/>
  <c r="C27" i="68" s="1"/>
  <c r="C31" i="68" s="1"/>
  <c r="C25" i="68"/>
  <c r="C46" i="69"/>
  <c r="C45" i="69" s="1"/>
  <c r="C49" i="69" s="1"/>
  <c r="C51" i="69" s="1"/>
  <c r="C43" i="69"/>
  <c r="C39" i="68"/>
  <c r="C43" i="68" s="1"/>
  <c r="C42" i="68"/>
  <c r="C41" i="68" s="1"/>
  <c r="C46" i="11"/>
  <c r="C45" i="11" s="1"/>
  <c r="C49" i="11" s="1"/>
  <c r="C51" i="11" s="1"/>
  <c r="C43" i="11"/>
  <c r="E7" i="71"/>
  <c r="B6" i="71"/>
  <c r="C28" i="69"/>
  <c r="C27" i="69" s="1"/>
  <c r="C31" i="69" s="1"/>
  <c r="L63" i="40"/>
  <c r="K65" i="40"/>
  <c r="L68" i="39"/>
  <c r="K70" i="39"/>
  <c r="M52" i="37"/>
  <c r="U17" i="71"/>
  <c r="D17" i="71"/>
  <c r="V17" i="71" s="1"/>
  <c r="C16" i="71"/>
  <c r="C46" i="15"/>
  <c r="B2" i="67"/>
  <c r="Q56" i="15"/>
  <c r="Q75" i="67"/>
  <c r="Q57" i="15"/>
  <c r="B2" i="15"/>
  <c r="B3" i="15" s="1"/>
  <c r="Q47" i="15"/>
  <c r="Q53" i="15" s="1"/>
  <c r="Q65" i="15"/>
  <c r="Q75" i="15" s="1"/>
  <c r="C43" i="15"/>
  <c r="C83" i="15"/>
  <c r="C82" i="15" s="1"/>
  <c r="C52" i="11" l="1"/>
  <c r="B2" i="11" s="1"/>
  <c r="B3" i="11" s="1"/>
  <c r="C52" i="69"/>
  <c r="B2" i="69" s="1"/>
  <c r="B3" i="69" s="1"/>
  <c r="C46" i="68"/>
  <c r="C45" i="68" s="1"/>
  <c r="C49" i="68" s="1"/>
  <c r="C51" i="68" s="1"/>
  <c r="E6" i="71"/>
  <c r="B5" i="71"/>
  <c r="E5" i="71" s="1"/>
  <c r="M63" i="40"/>
  <c r="L65" i="40"/>
  <c r="N52" i="37"/>
  <c r="O52" i="37" s="1"/>
  <c r="L70" i="39"/>
  <c r="M68" i="39"/>
  <c r="D16" i="71"/>
  <c r="C15" i="71"/>
  <c r="Q62" i="15"/>
  <c r="C52" i="68" l="1"/>
  <c r="B2" i="68" s="1"/>
  <c r="B3" i="68" s="1"/>
  <c r="C57" i="69"/>
  <c r="C56" i="69" s="1"/>
  <c r="C56" i="11"/>
  <c r="C57" i="11" s="1"/>
  <c r="F7" i="37"/>
  <c r="AA7" i="37" s="1"/>
  <c r="R42" i="37" s="1"/>
  <c r="N63" i="40"/>
  <c r="M65" i="40"/>
  <c r="M70" i="39"/>
  <c r="N68" i="39"/>
  <c r="J7" i="37"/>
  <c r="H7" i="37"/>
  <c r="C14" i="71"/>
  <c r="D15" i="71"/>
  <c r="C57" i="68" l="1"/>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D1" i="43" l="1"/>
  <c r="E33" i="43"/>
  <c r="H42" i="43"/>
  <c r="I42" i="43" s="1"/>
  <c r="C31" i="43" s="1"/>
  <c r="E42" i="43"/>
  <c r="C30" i="43" l="1"/>
  <c r="E6" i="76"/>
  <c r="E2" i="76" l="1"/>
  <c r="B2" i="43"/>
  <c r="B6" i="76"/>
  <c r="B2" i="76" l="1"/>
  <c r="B3" i="76" s="1"/>
  <c r="B3" i="43"/>
  <c r="B52" i="72"/>
  <c r="G4" i="52"/>
  <c r="B32" i="72"/>
  <c r="D14" i="53"/>
  <c r="H5" i="52"/>
  <c r="H119" i="9"/>
  <c r="C80" i="9"/>
  <c r="E80" i="9"/>
  <c r="E81" i="9"/>
  <c r="M65" i="9"/>
  <c r="L65" i="9"/>
  <c r="B51" i="72"/>
  <c r="F4" i="52"/>
  <c r="D13" i="53"/>
  <c r="B30" i="72"/>
  <c r="M66" i="9"/>
  <c r="L66" i="9"/>
  <c r="M67" i="9"/>
  <c r="L67" i="9"/>
  <c r="M55" i="9"/>
  <c r="D59" i="9"/>
  <c r="H108" i="9"/>
  <c r="D15" i="53"/>
  <c r="B31" i="72"/>
  <c r="B49" i="72"/>
  <c r="D5" i="52"/>
  <c r="D119" i="9"/>
  <c r="C86" i="9"/>
  <c r="C93" i="9"/>
  <c r="C97" i="9"/>
  <c r="D58" i="9"/>
  <c r="D56" i="9"/>
  <c r="M54" i="9"/>
  <c r="C73" i="9"/>
  <c r="C78" i="9"/>
  <c r="B47" i="72"/>
  <c r="D118" i="9"/>
  <c r="D4" i="52"/>
  <c r="B22" i="72"/>
  <c r="D6" i="53"/>
  <c r="D6" i="74"/>
  <c r="G14" i="74"/>
  <c r="B6" i="74"/>
  <c r="C6" i="74"/>
  <c r="G118" i="9"/>
  <c r="F118" i="9"/>
  <c r="F119" i="9"/>
  <c r="F5" i="52"/>
  <c r="B53" i="72"/>
  <c r="M64" i="9"/>
  <c r="L64" i="9"/>
  <c r="F14" i="74"/>
  <c r="E14" i="74"/>
  <c r="D9" i="52"/>
  <c r="D123" i="9"/>
  <c r="B48" i="72"/>
  <c r="E118" i="9"/>
  <c r="E4" i="52"/>
  <c r="L63" i="9"/>
  <c r="M63" i="9"/>
  <c r="M69" i="9"/>
  <c r="N69" i="9"/>
  <c r="C72" i="9"/>
  <c r="C79" i="9"/>
  <c r="C81" i="9"/>
  <c r="D5" i="74"/>
  <c r="D14" i="74"/>
  <c r="B5" i="74"/>
  <c r="C5" i="74"/>
  <c r="H102" i="9"/>
  <c r="D7" i="53"/>
  <c r="B21" i="72"/>
  <c r="D5" i="53"/>
  <c r="B20" i="72"/>
  <c r="M48" i="9"/>
  <c r="C85" i="9"/>
  <c r="C95" i="9"/>
  <c r="C96" i="9"/>
  <c r="E96" i="9"/>
  <c r="E97" i="9"/>
  <c r="N58" i="9"/>
  <c r="D55" i="9"/>
  <c r="M53" i="9"/>
  <c r="N57" i="9"/>
  <c r="P57" i="9"/>
  <c r="N61" i="9"/>
  <c r="N59" i="9"/>
  <c r="N60" i="9"/>
  <c r="M68" i="9"/>
  <c r="M49" i="9"/>
  <c r="L68" i="9"/>
  <c r="H4" i="52"/>
  <c r="C104" i="9"/>
  <c r="I4" i="52"/>
  <c r="C105" i="9"/>
  <c r="H107" i="9"/>
  <c r="D122" i="9"/>
  <c r="D8" i="52"/>
  <c r="D52" i="9"/>
  <c r="D53"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<sst xmlns="http://schemas.openxmlformats.org/spreadsheetml/2006/main" count="7699" uniqueCount="3133">
  <si>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</si>
  <si>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</si>
  <si>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</si>
  <si>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</si>
  <si>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</si>
  <si>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</si>
  <si>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</si>
  <si>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</si>
  <si>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</si>
  <si>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</si>
  <si>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</si>
  <si>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</si>
  <si>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</si>
  <si>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</si>
  <si>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</si>
  <si>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</si>
  <si>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</si>
  <si>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</si>
  <si>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</si>
  <si>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</si>
  <si>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</si>
  <si>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</si>
  <si>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</si>
  <si>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</si>
  <si>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</si>
  <si>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</si>
  <si>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</si>
  <si>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</si>
  <si>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</si>
  <si>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</si>
  <si>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</si>
  <si>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</si>
  <si>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</si>
  <si>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</si>
  <si>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</si>
  <si>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</si>
  <si>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</si>
  <si>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</si>
  <si>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</si>
  <si>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</si>
  <si>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</si>
  <si>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</si>
  <si>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</si>
  <si>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</si>
  <si>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</si>
  <si>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</si>
  <si>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</si>
  <si>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</si>
  <si>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</si>
  <si>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</si>
  <si>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</si>
  <si>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</si>
  <si>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</si>
  <si>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</si>
  <si>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</si>
  <si>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</si>
  <si>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</si>
  <si>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</si>
  <si>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</si>
  <si>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</si>
  <si>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</si>
  <si>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</si>
  <si>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</si>
  <si>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</si>
  <si>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</si>
  <si>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</si>
  <si>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</si>
  <si>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</si>
  <si>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</si>
  <si>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</si>
  <si>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</si>
  <si>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</si>
  <si>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</si>
  <si>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</si>
  <si>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</si>
  <si>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</si>
  <si>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</si>
  <si>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</si>
  <si>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</si>
  <si>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</si>
  <si>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</si>
  <si>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</si>
  <si>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</si>
  <si>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</si>
  <si>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</si>
  <si>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</si>
  <si>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</si>
  <si>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</si>
  <si>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</si>
  <si>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</si>
  <si>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</si>
  <si>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</si>
  <si>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</si>
  <si>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</si>
  <si>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</si>
  <si>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</si>
  <si>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</si>
  <si>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</si>
  <si>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</si>
  <si>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</si>
  <si>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</si>
  <si>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</si>
  <si>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</si>
  <si>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</si>
  <si>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</si>
  <si>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</si>
  <si>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</si>
  <si>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</si>
  <si>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</si>
  <si>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</si>
  <si>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</si>
  <si>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</si>
  <si>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</si>
  <si>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</si>
  <si>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</si>
  <si>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</si>
  <si>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</si>
  <si>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</si>
  <si>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</si>
  <si>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</si>
  <si>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</si>
  <si>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</si>
  <si>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</si>
  <si>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</si>
  <si>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</si>
  <si>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</si>
  <si>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</si>
  <si>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</si>
  <si>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</si>
  <si>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</si>
  <si>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</si>
  <si>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</si>
  <si>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</si>
  <si>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</si>
  <si>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</si>
  <si>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</si>
  <si>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</si>
  <si>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</si>
  <si>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</si>
  <si>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</si>
  <si>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</si>
  <si>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</si>
  <si>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</si>
  <si>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</si>
  <si>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</si>
  <si>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</si>
  <si>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</si>
  <si>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</si>
  <si>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</si>
  <si>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</si>
  <si>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</si>
  <si>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</si>
  <si>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</si>
  <si>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</si>
  <si>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</si>
  <si>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</si>
  <si>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</si>
  <si>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</si>
  <si>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</si>
  <si>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</si>
  <si>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</si>
  <si>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</si>
  <si>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</si>
  <si>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</si>
  <si>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</si>
  <si>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</si>
  <si>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</si>
  <si>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</si>
  <si>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</si>
  <si>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</si>
  <si>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</si>
  <si>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</si>
  <si>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</si>
  <si>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</si>
  <si>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</si>
  <si>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</si>
  <si>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</si>
  <si>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</si>
  <si>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</si>
  <si>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</si>
  <si>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</si>
  <si>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</si>
  <si>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</si>
  <si>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</si>
  <si>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</si>
  <si>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</si>
  <si>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</si>
  <si>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</si>
  <si>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</si>
  <si>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</si>
  <si>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</si>
  <si>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</si>
  <si>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</si>
  <si>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</si>
  <si>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</si>
  <si>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</si>
  <si>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</si>
  <si>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</si>
  <si>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</si>
  <si>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</si>
  <si>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</si>
  <si>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</si>
  <si>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</si>
  <si>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</si>
  <si>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</si>
  <si>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</si>
  <si>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</si>
  <si>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</si>
  <si>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</si>
  <si>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</si>
  <si>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</si>
  <si>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</si>
  <si>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</si>
  <si>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</si>
  <si>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</si>
  <si>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</si>
  <si>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</si>
  <si>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</si>
  <si>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</si>
  <si>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</si>
  <si>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</si>
  <si>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</si>
  <si>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</si>
  <si>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</si>
  <si>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</si>
  <si>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</si>
  <si>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</si>
  <si>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</si>
  <si>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</si>
  <si>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</si>
  <si>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</si>
  <si>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</si>
  <si>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</si>
  <si>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</si>
  <si>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</si>
  <si>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</si>
  <si>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</si>
  <si>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</si>
  <si>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</si>
  <si>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</si>
  <si>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</si>
  <si>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</si>
  <si>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</si>
  <si>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</si>
  <si>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</si>
  <si>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</si>
  <si>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</si>
  <si>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</si>
  <si>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</si>
  <si>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</si>
  <si>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</si>
  <si>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</si>
  <si>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</si>
  <si>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</si>
  <si>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</si>
  <si>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</si>
  <si>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</si>
  <si>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</si>
  <si>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</si>
  <si>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</si>
  <si>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</si>
  <si>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</si>
  <si>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</si>
  <si>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</si>
  <si>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</si>
  <si>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</si>
  <si>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</si>
  <si>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</si>
  <si>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</si>
  <si>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</si>
  <si>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</si>
  <si>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</si>
  <si>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</si>
  <si>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</si>
  <si>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</si>
  <si>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</si>
  <si>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</si>
  <si>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</si>
  <si>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</si>
  <si>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</si>
  <si>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</si>
  <si>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</si>
  <si>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</si>
  <si>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</si>
  <si>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</si>
  <si>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</si>
  <si>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</si>
  <si>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</si>
  <si>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</si>
  <si>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</si>
  <si>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</si>
  <si>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</si>
  <si>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</si>
  <si>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</si>
  <si>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</si>
  <si>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</si>
  <si>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</si>
  <si>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</si>
  <si>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</si>
  <si>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</si>
  <si>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</si>
  <si>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</si>
  <si>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</si>
  <si>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</si>
  <si>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</si>
  <si>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</si>
  <si>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</si>
  <si>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</si>
  <si>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</si>
  <si>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</si>
  <si>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</si>
  <si>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</si>
  <si>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</si>
  <si>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</si>
  <si>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</si>
  <si>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</si>
  <si>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</si>
  <si>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</si>
  <si>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</si>
  <si>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</si>
  <si>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</si>
  <si>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</si>
  <si>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</si>
  <si>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</si>
  <si>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</si>
  <si>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</si>
  <si>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</si>
  <si>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</si>
  <si>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</si>
  <si>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</si>
  <si>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</si>
  <si>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</si>
  <si>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</si>
  <si>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</si>
  <si>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</si>
  <si>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</si>
  <si>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</si>
  <si>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</si>
  <si>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</si>
  <si>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</si>
  <si>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</si>
  <si>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</si>
  <si>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</si>
  <si>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</si>
  <si>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</si>
  <si>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</si>
  <si>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</si>
  <si>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</si>
  <si>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</si>
  <si>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</si>
  <si>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</si>
  <si>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</si>
  <si>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</si>
  <si>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</si>
  <si>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</si>
  <si>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</si>
  <si>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</si>
  <si>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</si>
  <si>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</si>
  <si>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</si>
  <si>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</si>
  <si>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</si>
  <si>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</si>
  <si>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</si>
  <si>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</si>
  <si>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</si>
  <si>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</si>
  <si>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</si>
  <si>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</si>
  <si>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</si>
  <si>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</si>
  <si>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</si>
  <si>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</si>
  <si>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</si>
  <si>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</si>
  <si>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</si>
  <si>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</si>
  <si>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</si>
  <si>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</si>
  <si>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</si>
  <si>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</si>
  <si>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</si>
  <si>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</si>
  <si>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</si>
  <si>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</si>
  <si>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</si>
  <si>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</si>
  <si>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</si>
  <si>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</si>
  <si>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</si>
  <si>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</si>
  <si>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</si>
  <si>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</si>
  <si>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</si>
  <si>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</si>
  <si>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</si>
  <si>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</si>
  <si>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</si>
  <si>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</si>
  <si>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</si>
  <si>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</si>
  <si>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</si>
  <si>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</si>
  <si>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</si>
  <si>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</si>
  <si>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</si>
  <si>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</si>
  <si>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</si>
  <si>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</si>
  <si>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</si>
  <si>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</si>
  <si>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</si>
  <si>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</si>
  <si>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</si>
  <si>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</si>
  <si>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</si>
  <si>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</si>
  <si>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</si>
  <si>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</si>
  <si>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</si>
  <si>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</si>
  <si>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</si>
  <si>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</si>
  <si>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</si>
  <si>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</si>
  <si>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</si>
  <si>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</si>
  <si>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</si>
  <si>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</si>
  <si>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</si>
  <si>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</si>
  <si>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</si>
  <si>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</si>
  <si>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</si>
  <si>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</si>
  <si>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</si>
  <si>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</si>
  <si>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</si>
  <si>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</si>
  <si>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</si>
  <si>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</si>
  <si>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</si>
  <si>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</si>
  <si>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</si>
  <si>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</si>
  <si>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</si>
  <si>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</si>
  <si>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</si>
  <si>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</si>
  <si>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</si>
  <si>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</si>
  <si>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</si>
  <si>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</si>
  <si>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</si>
  <si>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</si>
  <si>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</si>
  <si>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</si>
  <si>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</si>
  <si>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</si>
  <si>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</si>
  <si>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</si>
  <si>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</si>
  <si>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</si>
  <si>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</si>
  <si>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</si>
  <si>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</si>
  <si>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</si>
  <si>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</si>
  <si>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</si>
  <si>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</si>
  <si>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</si>
  <si>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</si>
  <si>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</si>
  <si>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</si>
  <si>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</si>
  <si>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</si>
  <si>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</si>
  <si>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</si>
  <si>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</si>
  <si>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</si>
  <si>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</si>
  <si>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</si>
  <si>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</si>
  <si>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</si>
  <si>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</si>
  <si>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</si>
  <si>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</si>
  <si>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</si>
  <si>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</si>
  <si>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</si>
  <si>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</si>
  <si>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</si>
  <si>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</si>
  <si>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</si>
  <si>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</si>
  <si>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</si>
  <si>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</si>
  <si>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</si>
  <si>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</si>
  <si>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</si>
  <si>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</si>
  <si>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</si>
  <si>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</si>
  <si>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</si>
  <si>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</si>
  <si>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</si>
  <si>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</si>
  <si>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</si>
  <si>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</si>
  <si>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</si>
  <si>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</si>
  <si>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</si>
  <si>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</si>
  <si>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</si>
  <si>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</si>
  <si>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</si>
  <si>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</si>
  <si>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</si>
  <si>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</si>
  <si>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</si>
  <si>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</si>
  <si>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</si>
  <si>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</si>
  <si>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</si>
  <si>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</si>
  <si>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</si>
  <si>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</si>
  <si>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</si>
  <si>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</si>
  <si>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</si>
  <si>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</si>
  <si>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</si>
  <si>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</si>
  <si>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</si>
  <si>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</si>
  <si>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</si>
  <si>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</si>
  <si>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</si>
  <si>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</si>
  <si>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</si>
  <si>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</si>
  <si>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</si>
  <si>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</si>
  <si>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</si>
  <si>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</si>
  <si>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</si>
  <si>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</si>
  <si>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</si>
  <si>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</si>
  <si>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</si>
  <si>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</si>
  <si>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</si>
  <si>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</si>
  <si>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</si>
  <si>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</si>
  <si>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</si>
  <si>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</si>
  <si>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</si>
  <si>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</si>
  <si>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</si>
  <si>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</si>
  <si>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</si>
  <si>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</si>
  <si>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</si>
  <si>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</si>
  <si>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</si>
  <si>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</si>
  <si>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</si>
  <si>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</si>
  <si>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</si>
  <si>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</si>
  <si>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</si>
  <si>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</si>
  <si>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</si>
  <si>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</si>
  <si>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</si>
  <si>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</si>
  <si>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</si>
  <si>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</si>
  <si>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</si>
  <si>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</si>
  <si>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</si>
  <si>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</si>
  <si>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</si>
  <si>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</si>
  <si>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</si>
  <si>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</si>
  <si>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</si>
  <si>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</si>
  <si>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</si>
  <si>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</si>
  <si>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</si>
  <si>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</si>
  <si>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</si>
  <si>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</si>
  <si>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</si>
  <si>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</si>
  <si>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</si>
  <si>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</si>
  <si>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</si>
  <si>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</si>
  <si>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</si>
  <si>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</si>
  <si>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</si>
  <si>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</si>
  <si>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</si>
  <si>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</si>
  <si>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</si>
  <si>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</si>
  <si>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</si>
  <si>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</si>
  <si>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</si>
  <si>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</si>
  <si>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</si>
  <si>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</si>
  <si>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</si>
  <si>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</si>
  <si>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</si>
  <si>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</si>
  <si>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</si>
  <si>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</si>
  <si>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</si>
  <si>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</si>
  <si>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</si>
  <si>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</si>
  <si>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</si>
  <si>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</si>
  <si>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</si>
  <si>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</si>
  <si>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</si>
  <si>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</si>
  <si>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</si>
  <si>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</si>
  <si>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</si>
  <si>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</si>
  <si>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</si>
  <si>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</si>
  <si>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</si>
  <si>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</si>
  <si>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</si>
  <si>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</si>
  <si>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</si>
  <si>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</si>
  <si>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</si>
  <si>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</si>
  <si>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</si>
  <si>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</si>
  <si>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</si>
  <si>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</si>
  <si>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</si>
  <si>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</si>
  <si>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</si>
  <si>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</si>
  <si>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</si>
  <si>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</si>
  <si>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</si>
  <si>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</si>
  <si>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</si>
  <si>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</si>
  <si>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</si>
  <si>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</si>
  <si>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</si>
  <si>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</si>
  <si>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</si>
  <si>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</si>
  <si>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</si>
  <si>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</si>
  <si>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</si>
  <si>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</si>
  <si>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</si>
  <si>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</si>
  <si>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</si>
  <si>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</si>
  <si>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</si>
  <si>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</si>
  <si>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</si>
  <si>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</si>
  <si>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</si>
  <si>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</si>
  <si>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</si>
  <si>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</si>
  <si>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</si>
  <si>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</si>
  <si>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</si>
  <si>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</si>
  <si>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</si>
  <si>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</si>
  <si>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</si>
  <si>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</si>
  <si>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</si>
  <si>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</si>
  <si>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</si>
  <si>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</si>
  <si>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</si>
  <si>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</si>
  <si>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</si>
  <si>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</si>
  <si>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</si>
  <si>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</si>
  <si>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</si>
  <si>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</si>
  <si>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</si>
  <si>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</si>
  <si>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</si>
  <si>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</si>
  <si>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</si>
  <si>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</si>
  <si>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</si>
  <si>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</si>
  <si>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</si>
  <si>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</si>
  <si>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</si>
  <si>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</si>
  <si>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</si>
  <si>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</si>
  <si>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</si>
  <si>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</si>
  <si>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</si>
  <si>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</si>
  <si>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</si>
  <si>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</si>
  <si>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</si>
  <si>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</si>
  <si>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</si>
  <si>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</si>
  <si>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</si>
  <si>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</si>
  <si>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</si>
  <si>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</si>
  <si>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</si>
  <si>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</si>
  <si>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</si>
  <si>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</si>
  <si>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</si>
  <si>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</si>
  <si>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</si>
  <si>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</si>
  <si>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</si>
  <si>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</si>
  <si>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</si>
  <si>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</si>
  <si>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</si>
  <si>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</si>
  <si>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</si>
  <si>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</si>
  <si>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</si>
  <si>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</si>
  <si>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</si>
  <si>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</si>
  <si>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</si>
  <si>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</si>
  <si>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</si>
  <si>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</si>
  <si>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</si>
  <si>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</si>
  <si>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</si>
  <si>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</si>
  <si>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</si>
  <si>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</si>
  <si>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</si>
  <si>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</si>
  <si>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</si>
  <si>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</si>
  <si>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</si>
  <si>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</si>
  <si>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</si>
  <si>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</si>
  <si>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</si>
  <si>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</si>
  <si>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</si>
  <si>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</si>
  <si>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</si>
  <si>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</si>
  <si>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</si>
  <si>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</si>
  <si>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</si>
  <si>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</si>
  <si>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</si>
  <si>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</si>
  <si>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</si>
  <si>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</si>
  <si>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</si>
  <si>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</si>
  <si>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</si>
  <si>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</si>
  <si>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</si>
  <si>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</si>
  <si>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</si>
  <si>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</si>
  <si>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</si>
  <si>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</si>
  <si>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</si>
  <si>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</si>
  <si>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</si>
  <si>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</si>
  <si>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</si>
  <si>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</si>
  <si>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</si>
  <si>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</si>
  <si>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</si>
  <si>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</si>
  <si>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</si>
  <si>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</si>
  <si>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</si>
  <si>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</si>
  <si>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</si>
  <si>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</si>
  <si>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</si>
  <si>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</si>
  <si>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</si>
  <si>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</si>
  <si>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</si>
  <si>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</si>
  <si>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</si>
  <si>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</si>
  <si>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</si>
  <si>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</si>
  <si>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</si>
  <si>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</si>
  <si>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</si>
  <si>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</si>
  <si>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</si>
  <si>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</si>
  <si>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</si>
  <si>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</si>
  <si>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</si>
  <si>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</si>
  <si>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</si>
  <si>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</si>
  <si>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</si>
  <si>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</si>
  <si>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</si>
  <si>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</si>
  <si>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</si>
  <si>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</si>
  <si>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</si>
  <si>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</si>
  <si>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</si>
  <si>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</si>
  <si>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</si>
  <si>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</si>
  <si>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</si>
  <si>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</si>
  <si>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</si>
  <si>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</si>
  <si>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</si>
  <si>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</si>
  <si>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</si>
  <si>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</si>
  <si>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</si>
  <si>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</si>
  <si>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</si>
  <si>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</si>
  <si>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</si>
  <si>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</si>
  <si>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</si>
  <si>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</si>
  <si>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</si>
  <si>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</si>
  <si>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</si>
  <si>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</si>
  <si>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</si>
  <si>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</si>
  <si>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</si>
  <si>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</si>
  <si>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</si>
  <si>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</si>
  <si>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</si>
  <si>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</si>
  <si>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</si>
  <si>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</si>
  <si>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</si>
  <si>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</si>
  <si>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</si>
  <si>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</si>
  <si>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</si>
  <si>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</si>
  <si>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</si>
  <si>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</si>
  <si>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</si>
  <si>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</si>
  <si>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</si>
  <si>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</si>
  <si>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</si>
  <si>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</si>
  <si>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</si>
  <si>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</si>
  <si>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</si>
  <si>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</si>
  <si>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</si>
  <si>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</si>
  <si>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</si>
  <si>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</si>
  <si>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</si>
  <si>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</si>
  <si>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</si>
  <si>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</si>
  <si>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</si>
  <si>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</si>
  <si>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</si>
  <si>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</si>
  <si>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</si>
  <si>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</si>
  <si>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</si>
  <si>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</si>
  <si>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</si>
  <si>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</si>
  <si>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</si>
  <si>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</si>
  <si>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</si>
  <si>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</si>
  <si>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</si>
  <si>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</si>
  <si>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</si>
  <si>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</si>
  <si>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</si>
  <si>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</si>
  <si>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</si>
  <si>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</si>
  <si>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</si>
  <si>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</si>
  <si>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</si>
  <si>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</si>
  <si>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</si>
  <si>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</si>
  <si>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</si>
  <si>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</si>
  <si>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</si>
  <si>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</si>
  <si>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</si>
  <si>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</si>
  <si>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</si>
  <si>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</si>
  <si>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</si>
  <si>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</si>
  <si>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</si>
  <si>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</si>
  <si>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</si>
  <si>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</si>
  <si>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</si>
  <si>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</si>
  <si>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</si>
  <si>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</si>
  <si>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</si>
  <si>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</si>
  <si>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</si>
  <si>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</si>
  <si>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</si>
  <si>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</si>
  <si>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</si>
  <si>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</si>
  <si>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</si>
  <si>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</si>
  <si>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</si>
  <si>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</si>
  <si>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</si>
  <si>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</si>
  <si>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</si>
  <si>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</si>
  <si>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</si>
  <si>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</si>
  <si>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</si>
  <si>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</si>
  <si>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</si>
  <si>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</si>
  <si>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</si>
  <si>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</si>
  <si>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</si>
  <si>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</si>
  <si>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</si>
  <si>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</si>
  <si>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</si>
  <si>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</si>
  <si>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</si>
  <si>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</si>
  <si>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</si>
  <si>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</si>
  <si>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</si>
  <si>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</si>
  <si>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</si>
  <si>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</si>
  <si>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</si>
  <si>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</si>
  <si>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</si>
  <si>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</si>
  <si>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</si>
  <si>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</si>
  <si>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</si>
  <si>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</si>
  <si>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</si>
  <si>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</si>
  <si>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</si>
  <si>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</si>
  <si>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</si>
  <si>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</si>
  <si>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</si>
  <si>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</si>
  <si>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</si>
  <si>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</si>
  <si>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</si>
  <si>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</si>
  <si>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</si>
  <si>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</si>
  <si>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</si>
  <si>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</si>
  <si>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</si>
  <si>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</si>
  <si>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</si>
  <si>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</si>
  <si>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</si>
  <si>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</si>
  <si>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</si>
  <si>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</si>
  <si>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</si>
  <si>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</si>
  <si>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</si>
  <si>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</si>
  <si>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</si>
  <si>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</si>
  <si>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</si>
  <si>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</si>
  <si>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</si>
  <si>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</si>
  <si>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</si>
  <si>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</si>
  <si>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</si>
  <si>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</si>
  <si>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</si>
  <si>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</si>
  <si>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</si>
  <si>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</si>
  <si>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</si>
  <si>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</si>
  <si>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</si>
  <si>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</si>
  <si>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</si>
  <si>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</si>
  <si>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</si>
  <si>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</si>
  <si>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</si>
  <si>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</si>
  <si>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</si>
  <si>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</si>
  <si>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</si>
  <si>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</si>
  <si>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</si>
  <si>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</si>
  <si>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</si>
  <si>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</si>
  <si>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</si>
  <si>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</si>
  <si>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</si>
  <si>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</si>
  <si>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</si>
  <si>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</si>
  <si>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</si>
  <si>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</si>
  <si>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</si>
  <si>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</si>
  <si>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</si>
  <si>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</si>
  <si>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</si>
  <si>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</si>
  <si>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</si>
  <si>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</si>
  <si>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</si>
  <si>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</si>
  <si>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</si>
  <si>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</si>
  <si>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</si>
  <si>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</si>
  <si>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</si>
  <si>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</si>
  <si>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</si>
  <si>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</si>
  <si>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</si>
  <si>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</si>
  <si>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</si>
  <si>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</si>
  <si>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</si>
  <si>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</si>
  <si>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</si>
  <si>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</si>
  <si>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</si>
  <si>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</si>
  <si>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</si>
  <si>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</si>
  <si>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</si>
  <si>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</si>
  <si>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</si>
  <si>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</si>
  <si>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</si>
  <si>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</si>
  <si>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</si>
  <si>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</si>
  <si>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</si>
  <si>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</si>
  <si>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</si>
  <si>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</si>
  <si>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</si>
  <si>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</si>
  <si>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</si>
  <si>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</si>
  <si>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</si>
  <si>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</si>
  <si>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</si>
  <si>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</si>
  <si>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</si>
  <si>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</si>
  <si>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</si>
  <si>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</si>
  <si>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</si>
  <si>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</si>
  <si>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</si>
  <si>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</si>
  <si>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</si>
  <si>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</si>
  <si>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</si>
  <si>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</si>
  <si>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</si>
  <si>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</si>
  <si>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</si>
  <si>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</si>
  <si>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</si>
  <si>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</si>
  <si>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</si>
  <si>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</si>
  <si>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</si>
  <si>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</si>
  <si>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</si>
  <si>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</si>
  <si>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</si>
  <si>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</si>
  <si>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</si>
  <si>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</si>
  <si>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</si>
  <si>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</si>
  <si>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</si>
  <si>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</si>
  <si>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</si>
  <si>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</si>
  <si>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</si>
  <si>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</si>
  <si>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</si>
  <si>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</si>
  <si>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</si>
  <si>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</si>
  <si>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</si>
  <si>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</si>
  <si>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</si>
  <si>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</si>
  <si>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</si>
  <si>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</si>
  <si>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</si>
  <si>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</si>
  <si>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</si>
  <si>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</si>
  <si>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</si>
  <si>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</si>
  <si>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</si>
  <si>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</si>
  <si>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</si>
  <si>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</si>
  <si>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</si>
  <si>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</si>
  <si>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</si>
  <si>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</si>
  <si>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</si>
  <si>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</si>
  <si>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</si>
  <si>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</si>
  <si>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</si>
  <si>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</si>
  <si>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</si>
  <si>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</si>
  <si>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</si>
  <si>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</si>
  <si>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</si>
  <si>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</si>
  <si>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</si>
  <si>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</si>
  <si>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</si>
  <si>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</si>
  <si>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</si>
  <si>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</si>
  <si>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</si>
  <si>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</si>
  <si>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</si>
  <si>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</si>
  <si>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</si>
  <si>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</si>
  <si>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</si>
  <si>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</si>
  <si>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</si>
  <si>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</si>
  <si>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</si>
  <si>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</si>
  <si>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</si>
  <si>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</si>
  <si>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</si>
  <si>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</si>
  <si>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</si>
  <si>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</si>
  <si>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</si>
  <si>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</si>
  <si>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</si>
  <si>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</si>
  <si>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</si>
  <si>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</si>
  <si>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</si>
  <si>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</si>
  <si>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</si>
  <si>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</si>
  <si>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</si>
  <si>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</si>
  <si>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</si>
  <si>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</si>
  <si>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</si>
  <si>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</si>
  <si>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</si>
  <si>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</si>
  <si>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</si>
  <si>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</si>
  <si>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</si>
  <si>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</si>
  <si>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</si>
  <si>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</si>
  <si>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</si>
  <si>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</si>
  <si>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</si>
  <si>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</si>
  <si>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</si>
  <si>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</si>
  <si>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</si>
  <si>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</si>
  <si>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</si>
  <si>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</si>
  <si>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</si>
  <si>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</si>
  <si>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</si>
  <si>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</si>
  <si>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</si>
  <si>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</si>
  <si>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</si>
  <si>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</si>
  <si>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</si>
  <si>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</si>
  <si>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</si>
  <si>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</si>
  <si>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</si>
  <si>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</si>
  <si>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</si>
  <si>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</si>
  <si>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</si>
  <si>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</si>
  <si>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</si>
  <si>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</si>
  <si>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</si>
  <si>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</si>
  <si>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</si>
  <si>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</si>
  <si>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</si>
  <si>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</si>
  <si>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</si>
  <si>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</si>
  <si>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</si>
  <si>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</si>
  <si>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</si>
  <si>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</si>
  <si>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</si>
  <si>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</si>
  <si>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</si>
  <si>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</si>
  <si>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</si>
  <si>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</si>
  <si>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</si>
  <si>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</si>
  <si>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</si>
  <si>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</si>
  <si>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</si>
  <si>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</si>
  <si>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</si>
  <si>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</si>
  <si>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</si>
  <si>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</si>
  <si>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</si>
  <si>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</si>
  <si>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</si>
  <si>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</si>
  <si>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</si>
  <si>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</si>
  <si>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</si>
  <si>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</si>
  <si>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</si>
  <si>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</si>
  <si>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</si>
  <si>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</si>
  <si>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</si>
  <si>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</si>
  <si>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</si>
  <si>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</si>
  <si>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</si>
  <si>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</si>
  <si>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</si>
  <si>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</si>
  <si>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</si>
  <si>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</si>
  <si>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</si>
  <si>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</si>
  <si>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</si>
  <si>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</si>
  <si>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</si>
  <si>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</si>
  <si>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</si>
  <si>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</si>
  <si>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</si>
  <si>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</si>
  <si>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</si>
  <si>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</si>
  <si>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</si>
  <si>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</si>
  <si>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</si>
  <si>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</si>
  <si>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</si>
  <si>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</si>
  <si>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</si>
  <si>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</si>
  <si>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</si>
  <si>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</si>
  <si>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</si>
  <si>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</si>
  <si>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</si>
  <si>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</si>
  <si>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</si>
  <si>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</si>
  <si>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</si>
  <si>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</si>
  <si>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</si>
  <si>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</si>
  <si>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</si>
  <si>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</si>
  <si>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</si>
  <si>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</si>
  <si>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</si>
  <si>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</si>
  <si>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</si>
  <si>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</si>
  <si>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</si>
  <si>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</si>
  <si>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</si>
  <si>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</si>
  <si>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</si>
  <si>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</si>
  <si>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</si>
  <si>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</si>
  <si>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</si>
  <si>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</si>
  <si>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</si>
  <si>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</si>
  <si>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</si>
  <si>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</si>
  <si>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</si>
  <si>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</si>
  <si>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</si>
  <si>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</si>
  <si>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</si>
  <si>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</si>
  <si>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</si>
  <si>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</si>
  <si>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</si>
  <si>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</si>
  <si>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</si>
  <si>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</si>
  <si>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</si>
  <si>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</si>
  <si>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</si>
  <si>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</si>
  <si>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</si>
  <si>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</si>
  <si>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</si>
  <si>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</si>
  <si>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</si>
  <si>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</si>
  <si>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</si>
  <si>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</si>
  <si>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</si>
  <si>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</si>
  <si>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</si>
  <si>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</si>
  <si>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</si>
  <si>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</si>
  <si>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</si>
  <si>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</si>
  <si>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</si>
  <si>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</si>
  <si>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</si>
  <si>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</si>
  <si>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</si>
  <si>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</si>
  <si>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</si>
  <si>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</si>
  <si>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</si>
  <si>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</si>
  <si>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</si>
  <si>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</si>
  <si>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</si>
  <si>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</si>
  <si>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</si>
  <si>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</si>
  <si>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</si>
  <si>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</si>
  <si>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</si>
  <si>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</si>
  <si>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</si>
  <si>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</si>
  <si>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</si>
  <si>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</si>
  <si>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</si>
  <si>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</si>
  <si>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</si>
  <si>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</si>
  <si>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</si>
  <si>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</si>
  <si>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</si>
  <si>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</si>
  <si>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</si>
  <si>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</si>
  <si>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</si>
  <si>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</si>
  <si>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</si>
  <si>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</si>
  <si>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</si>
  <si>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</si>
  <si>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</si>
  <si>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</si>
  <si>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</si>
  <si>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</si>
  <si>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</si>
  <si>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</si>
  <si>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</si>
  <si>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</si>
  <si>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</si>
  <si>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</si>
  <si>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</si>
  <si>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</si>
  <si>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</si>
  <si>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</si>
  <si>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</si>
  <si>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</si>
  <si>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</si>
  <si>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</si>
  <si>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</si>
  <si>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</si>
  <si>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</si>
  <si>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</si>
  <si>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</si>
  <si>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</si>
  <si>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</si>
  <si>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</si>
  <si>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</si>
  <si>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</si>
  <si>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</si>
  <si>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</si>
  <si>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</si>
  <si>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</si>
  <si>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</si>
  <si>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</si>
  <si>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</si>
  <si>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</si>
  <si>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</si>
  <si>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</si>
  <si>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</si>
  <si>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</si>
  <si>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</si>
  <si>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</si>
  <si>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</si>
  <si>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</si>
  <si>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</si>
  <si>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</si>
  <si>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</si>
  <si>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</si>
  <si>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</si>
  <si>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</si>
  <si>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</si>
  <si>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</si>
  <si>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</si>
  <si>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</si>
  <si>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</si>
  <si>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</si>
  <si>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</si>
  <si>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</si>
  <si>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</si>
  <si>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</si>
  <si>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</si>
  <si>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</si>
  <si>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</si>
  <si>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</si>
  <si>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</si>
  <si>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</si>
  <si>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</si>
  <si>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</si>
  <si>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</si>
  <si>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</si>
  <si>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</si>
  <si>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</si>
  <si>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</si>
  <si>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</si>
  <si>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</si>
  <si>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</si>
  <si>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</si>
  <si>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</si>
  <si>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</si>
  <si>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</si>
  <si>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</si>
  <si>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</si>
  <si>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</si>
  <si>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</si>
  <si>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</si>
  <si>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</si>
  <si>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</si>
  <si>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</si>
  <si>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</si>
  <si>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</si>
  <si>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</si>
  <si>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</si>
  <si>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</si>
  <si>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</si>
  <si>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</si>
  <si>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</si>
  <si>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</si>
  <si>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</si>
  <si>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</si>
  <si>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</si>
  <si>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</si>
  <si>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</si>
  <si>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</si>
  <si>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</si>
  <si>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</si>
  <si>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</si>
  <si>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</si>
  <si>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</si>
  <si>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</si>
  <si>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</si>
  <si>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</si>
  <si>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</si>
  <si>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</si>
  <si>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</si>
  <si>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</si>
  <si>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</si>
  <si>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</si>
  <si>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</si>
  <si>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</si>
  <si>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</si>
  <si>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</si>
  <si>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</si>
  <si>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</si>
  <si>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</si>
  <si>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</si>
  <si>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</si>
  <si>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</si>
  <si>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</si>
  <si>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</si>
  <si>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</si>
  <si>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</si>
  <si>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</si>
  <si>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</si>
  <si>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</si>
  <si>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</si>
  <si>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</si>
  <si>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</si>
  <si>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</si>
  <si>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</si>
  <si>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</si>
  <si>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</si>
  <si>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</si>
  <si>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</si>
  <si>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</si>
  <si>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</si>
  <si>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</si>
  <si>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</si>
  <si>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</si>
  <si>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</si>
  <si>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</si>
  <si>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</si>
  <si>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</si>
  <si>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</si>
  <si>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</si>
  <si>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</si>
  <si>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</si>
  <si>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</si>
  <si>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</si>
  <si>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</si>
  <si>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</si>
  <si>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</si>
  <si>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</si>
  <si>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</si>
  <si>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</si>
  <si>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</si>
  <si>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</si>
  <si>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</si>
  <si>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</si>
  <si>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</si>
  <si>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</si>
  <si>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</si>
  <si>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</si>
  <si>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</si>
  <si>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</si>
  <si>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</si>
  <si>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</si>
  <si>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</si>
  <si>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</si>
  <si>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</si>
  <si>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</si>
  <si>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</si>
  <si>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</si>
  <si>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</si>
  <si>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</si>
  <si>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</si>
  <si>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</si>
  <si>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</si>
  <si>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</si>
  <si>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</si>
  <si>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</si>
  <si>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</si>
  <si>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</si>
  <si>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</si>
  <si>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</si>
  <si>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</si>
  <si>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</si>
  <si>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</si>
  <si>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</si>
  <si>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</si>
  <si>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</si>
  <si>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</si>
  <si>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</si>
  <si>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</si>
  <si>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</si>
  <si>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</si>
  <si>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</si>
  <si>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</si>
  <si>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</si>
  <si>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</si>
  <si>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</si>
  <si>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</si>
  <si>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</si>
  <si>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</si>
  <si>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</si>
  <si>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</si>
  <si>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</si>
  <si>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</si>
  <si>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</si>
  <si>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</si>
  <si>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</si>
  <si>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</si>
  <si>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</si>
  <si>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</si>
  <si>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</si>
  <si>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</si>
  <si>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</si>
  <si>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</si>
  <si>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</si>
  <si>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</si>
  <si>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</si>
  <si>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</si>
  <si>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</si>
  <si>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</si>
  <si>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</si>
  <si>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</si>
  <si>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</si>
  <si>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</si>
  <si>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</si>
  <si>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</si>
  <si>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</si>
  <si>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</si>
  <si>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</si>
  <si>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</si>
  <si>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</si>
  <si>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</si>
  <si>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</si>
  <si>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</si>
  <si>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</si>
  <si>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</si>
  <si>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</si>
  <si>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</si>
  <si>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</si>
  <si>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</si>
  <si>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</si>
  <si>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</si>
  <si>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</si>
  <si>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</si>
  <si>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</si>
  <si>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</si>
  <si>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</si>
  <si>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</si>
  <si>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</si>
  <si>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</si>
  <si>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</si>
  <si>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</si>
  <si>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</si>
  <si>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</si>
  <si>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</si>
  <si>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</si>
  <si>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</si>
  <si>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</si>
  <si>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</si>
  <si>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</si>
  <si>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</si>
  <si>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</si>
  <si>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</si>
  <si>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</si>
  <si>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</si>
  <si>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</si>
  <si>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</si>
  <si>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</si>
  <si>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</si>
  <si>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</si>
  <si>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</si>
  <si>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</si>
  <si>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</si>
  <si>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</si>
  <si>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</si>
  <si>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</si>
  <si>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</si>
  <si>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</si>
  <si>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</si>
  <si>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</si>
  <si>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</si>
  <si>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</si>
  <si>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</si>
  <si>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</si>
  <si>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</si>
  <si>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</si>
  <si>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</si>
  <si>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</si>
  <si>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</si>
  <si>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</si>
  <si>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</si>
  <si>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</si>
  <si>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</si>
  <si>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</si>
  <si>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</si>
  <si>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</si>
  <si>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</si>
  <si>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</si>
  <si>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</si>
  <si>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</si>
  <si>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</si>
  <si>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</si>
  <si>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</si>
  <si>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</si>
  <si>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</si>
  <si>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</si>
  <si>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</si>
  <si>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</si>
  <si>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</si>
  <si>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</si>
  <si>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</si>
  <si>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</si>
  <si>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</si>
  <si>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</si>
  <si>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</si>
  <si>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</si>
  <si>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</si>
  <si>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</si>
  <si>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</si>
  <si>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</si>
  <si>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</si>
  <si>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</si>
  <si>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</si>
  <si>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</si>
  <si>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</si>
  <si>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</si>
  <si>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</si>
  <si>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</si>
  <si>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</si>
  <si>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</si>
  <si>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</si>
  <si>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</si>
  <si>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</si>
  <si>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</si>
  <si>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</si>
  <si>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</si>
  <si>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</si>
  <si>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</si>
  <si>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</si>
  <si>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</si>
  <si>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</si>
  <si>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</si>
  <si>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</si>
  <si>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</si>
  <si>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</si>
  <si>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</si>
  <si>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</si>
  <si>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</si>
  <si>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</si>
  <si>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</si>
  <si>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</si>
  <si>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</si>
  <si>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</si>
  <si>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</si>
  <si>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</si>
  <si>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</si>
  <si>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</si>
  <si>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</si>
  <si>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</si>
  <si>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</si>
  <si>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</si>
  <si>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</si>
  <si>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</si>
  <si>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</si>
  <si>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</si>
  <si>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</si>
  <si>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</si>
  <si>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</si>
  <si>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</si>
  <si>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</si>
  <si>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</si>
  <si>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</si>
  <si>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</si>
  <si>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</si>
  <si>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</si>
  <si>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</si>
  <si>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</si>
  <si>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</si>
  <si>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</si>
  <si>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</si>
  <si>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</si>
  <si>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</si>
  <si>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</si>
  <si>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</si>
  <si>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</si>
  <si>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</si>
  <si>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</si>
  <si>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</si>
  <si>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</si>
  <si>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</si>
  <si>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</si>
  <si>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</si>
  <si>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</si>
  <si>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</si>
  <si>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</si>
  <si>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</si>
  <si>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</si>
  <si>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</si>
  <si>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</si>
  <si>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</si>
  <si>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</si>
  <si>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</si>
  <si>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</si>
  <si>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</si>
  <si>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</si>
  <si>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</si>
  <si>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</si>
  <si>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</si>
  <si>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</si>
  <si>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</si>
  <si>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</si>
  <si>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</si>
  <si>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</si>
  <si>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</si>
  <si>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</si>
  <si>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</si>
  <si>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</si>
  <si>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</si>
  <si>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</si>
  <si>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</si>
  <si>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</si>
  <si>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</si>
  <si>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</si>
  <si>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</si>
  <si>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</si>
  <si>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</si>
  <si>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</si>
  <si>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</si>
  <si>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</si>
  <si>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</si>
  <si>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</si>
  <si>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</si>
  <si>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</si>
  <si>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</si>
  <si>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</si>
  <si>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</si>
  <si>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</si>
  <si>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</si>
  <si>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</si>
  <si>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</si>
  <si>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</si>
  <si>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</si>
  <si>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</si>
  <si>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</si>
  <si>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</si>
  <si>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</si>
  <si>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</si>
  <si>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</si>
  <si>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</si>
  <si>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</si>
  <si>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</si>
  <si>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</si>
  <si>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</si>
  <si>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</si>
  <si>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</si>
  <si>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</si>
  <si>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</si>
  <si>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</si>
  <si>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</si>
  <si>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</si>
  <si>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</si>
  <si>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</si>
  <si>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</si>
  <si>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</si>
  <si>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</si>
  <si>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</si>
  <si>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</si>
  <si>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</si>
  <si>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</si>
  <si>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</si>
  <si>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</si>
  <si>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</si>
  <si>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</si>
  <si>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</si>
  <si>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</si>
  <si>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</si>
  <si>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</si>
  <si>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</si>
  <si>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</si>
  <si>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</si>
  <si>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</si>
  <si>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</si>
  <si>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</si>
  <si>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</si>
  <si>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</si>
  <si>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</si>
  <si>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</si>
  <si>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</si>
  <si>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</si>
  <si>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</si>
  <si>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</si>
  <si>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</si>
  <si>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</si>
  <si>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</si>
  <si>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</si>
  <si>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</si>
  <si>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</si>
  <si>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</si>
  <si>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</si>
  <si>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</si>
  <si>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</si>
  <si>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</si>
  <si>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</si>
  <si>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</si>
  <si>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</si>
  <si>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</si>
  <si>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</si>
  <si>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</si>
  <si>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</si>
  <si>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</si>
  <si>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</si>
  <si>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</si>
  <si>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</si>
  <si>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</si>
  <si>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</si>
  <si>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</si>
  <si>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</si>
  <si>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</si>
  <si>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</si>
  <si>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</si>
  <si>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</si>
  <si>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</si>
  <si>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</si>
  <si>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</si>
  <si>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</si>
  <si>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</si>
  <si>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</si>
  <si>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</si>
  <si>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</si>
  <si>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</si>
  <si>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</si>
  <si>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</si>
  <si>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</si>
  <si>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</si>
  <si>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</si>
  <si>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</si>
  <si>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</si>
  <si>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</si>
  <si>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</si>
  <si>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</si>
  <si>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</si>
  <si>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</si>
  <si>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</si>
  <si>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</si>
  <si>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</si>
  <si>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</si>
  <si>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</si>
  <si>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</si>
  <si>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</si>
  <si>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</si>
  <si>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</si>
  <si>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</si>
  <si>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</si>
  <si>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</si>
  <si>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</si>
  <si>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</si>
  <si>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</si>
  <si>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</si>
  <si>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</si>
  <si>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</si>
  <si>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</si>
  <si>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</si>
  <si>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</si>
  <si>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</si>
  <si>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</si>
  <si>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</si>
  <si>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</si>
  <si>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</si>
  <si>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</si>
  <si>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</si>
  <si>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</si>
  <si>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</si>
  <si>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</si>
  <si>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</si>
  <si>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</si>
  <si>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</si>
  <si>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</si>
  <si>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</si>
  <si>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</si>
  <si>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</si>
  <si>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</si>
  <si>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</si>
  <si>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</si>
  <si>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</si>
  <si>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</si>
  <si>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</si>
  <si>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</si>
  <si>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</si>
  <si>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</si>
  <si>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</si>
  <si>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</si>
  <si>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</si>
  <si>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</si>
  <si>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</si>
  <si>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</si>
  <si>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</si>
  <si>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</si>
  <si>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</si>
  <si>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</si>
  <si>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</si>
  <si>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</si>
  <si>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</si>
  <si>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</si>
  <si>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</si>
  <si>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</si>
  <si>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</si>
  <si>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</si>
  <si>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</si>
  <si>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</si>
  <si>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</si>
  <si>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</si>
  <si>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</si>
  <si>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</si>
  <si>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</si>
  <si>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</si>
  <si>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</si>
  <si>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</si>
  <si>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</si>
  <si>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</si>
  <si>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</si>
  <si>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</si>
  <si>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</si>
  <si>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</si>
  <si>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</si>
  <si>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</si>
  <si>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</si>
  <si>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</si>
  <si>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</si>
  <si>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</si>
  <si>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</si>
  <si>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</si>
  <si>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</si>
  <si>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</si>
  <si>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</si>
  <si>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</si>
  <si>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</si>
  <si>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</si>
  <si>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</si>
  <si>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</si>
  <si>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</si>
  <si>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</si>
  <si>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</si>
  <si>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</si>
  <si>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</si>
  <si>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</si>
  <si>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</si>
  <si>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</si>
  <si>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</si>
  <si>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</si>
  <si>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</si>
  <si>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</si>
  <si>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</si>
  <si>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</si>
  <si>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</si>
  <si>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</si>
  <si>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</si>
  <si>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</si>
  <si>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</si>
  <si>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</si>
  <si>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</si>
  <si>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</si>
  <si>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</si>
  <si>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</si>
  <si>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</si>
  <si>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</si>
  <si>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</si>
  <si>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</si>
  <si>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</si>
  <si>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</si>
  <si>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</si>
  <si>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</si>
  <si>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</si>
  <si>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</si>
  <si>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</si>
  <si>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</si>
  <si>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</si>
  <si>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</si>
  <si>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</si>
  <si>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</si>
  <si>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</si>
  <si>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</si>
  <si>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</si>
  <si>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</si>
  <si>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</si>
  <si>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</si>
  <si>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</si>
  <si>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</si>
  <si>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</si>
  <si>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</si>
  <si>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</si>
  <si>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</si>
  <si>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</si>
  <si>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</si>
  <si>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</si>
  <si>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</si>
  <si>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</si>
  <si>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</si>
  <si>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</si>
  <si>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</si>
  <si>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</si>
  <si>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</si>
  <si>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</si>
  <si>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</si>
  <si>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</si>
  <si>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</si>
  <si>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</si>
  <si>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</si>
  <si>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</si>
  <si>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</si>
  <si>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</si>
  <si>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</si>
  <si>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</si>
  <si>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</si>
  <si>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</si>
  <si>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</si>
  <si>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</si>
  <si>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</si>
  <si>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</si>
  <si>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</si>
  <si>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</si>
  <si>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</si>
  <si>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</si>
  <si>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</si>
  <si>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</si>
  <si>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</si>
  <si>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</si>
  <si>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</si>
  <si>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</si>
  <si>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</si>
  <si>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</si>
  <si>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</si>
  <si>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</si>
  <si>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</si>
  <si>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</si>
  <si>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</si>
  <si>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</si>
  <si>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</si>
  <si>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</si>
  <si>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</si>
  <si>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</si>
  <si>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</si>
  <si>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</si>
  <si>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</si>
  <si>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</si>
  <si>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</si>
  <si>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</si>
  <si>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</si>
  <si>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</si>
  <si>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</si>
  <si>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</si>
  <si>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</si>
  <si>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</si>
  <si>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</si>
  <si>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</si>
  <si>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</si>
  <si>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</si>
  <si>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</si>
  <si>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</si>
  <si>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</si>
  <si>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</si>
  <si>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</si>
  <si>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</si>
  <si>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</si>
  <si>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</si>
  <si>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</si>
  <si>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</si>
  <si>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</si>
  <si>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</si>
  <si>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</si>
  <si>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</si>
  <si>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</si>
  <si>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</si>
  <si>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</si>
  <si>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</si>
  <si>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</si>
  <si>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</si>
  <si>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</si>
  <si>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</si>
  <si>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</si>
  <si>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</si>
  <si>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</si>
  <si>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</si>
  <si>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</si>
  <si>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</si>
  <si>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</si>
  <si>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</si>
  <si>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</si>
  <si>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</si>
  <si>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</si>
  <si>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</si>
  <si>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</si>
  <si>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</si>
  <si>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</si>
  <si>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</si>
  <si>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</si>
  <si>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</si>
  <si>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</si>
  <si>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</si>
  <si>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</si>
  <si>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</si>
  <si>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</si>
  <si>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</si>
  <si>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</si>
  <si>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</si>
  <si>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</si>
  <si>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</si>
  <si>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</si>
  <si>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</si>
  <si>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</si>
  <si>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</si>
  <si>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</si>
  <si>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</si>
  <si>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</si>
  <si>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</si>
  <si>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</si>
  <si>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</si>
  <si>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</si>
  <si>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</si>
  <si>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</si>
  <si>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</si>
  <si>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</si>
  <si>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</si>
  <si>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</si>
  <si>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</si>
  <si>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</si>
  <si>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</si>
  <si>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</si>
  <si>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</si>
  <si>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</si>
  <si>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</si>
  <si>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</si>
  <si>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</si>
  <si>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</si>
  <si>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</si>
  <si>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</si>
  <si>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</si>
  <si>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</si>
  <si>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</si>
  <si>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</si>
  <si>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</si>
  <si>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</si>
  <si>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</si>
  <si>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</si>
  <si>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</si>
  <si>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</si>
  <si>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</si>
  <si>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</si>
  <si>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</si>
  <si>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</si>
  <si>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</si>
  <si>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</si>
  <si>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</si>
  <si>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</si>
  <si>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</si>
  <si>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</si>
  <si>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</si>
  <si>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</si>
  <si>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</si>
  <si>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</si>
  <si>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</si>
  <si>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</si>
  <si>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</si>
  <si>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</si>
  <si>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</si>
  <si>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</si>
  <si>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</si>
  <si>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</si>
  <si>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</si>
  <si>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</si>
  <si>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</si>
  <si>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</si>
  <si>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</si>
  <si>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</si>
  <si>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</si>
  <si>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</si>
  <si>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</si>
  <si>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</si>
  <si>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</si>
  <si>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</si>
  <si>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</si>
  <si>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</si>
  <si>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</si>
  <si>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</si>
  <si>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</si>
  <si>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</si>
  <si>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</si>
  <si>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</si>
  <si>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</si>
  <si>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</si>
  <si>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</si>
  <si>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</si>
  <si>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</si>
  <si>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</si>
  <si>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</si>
  <si>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</si>
  <si>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</si>
  <si>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</si>
  <si>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</si>
  <si>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</si>
  <si>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</si>
  <si>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</si>
  <si>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</si>
  <si>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</si>
  <si>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</si>
  <si>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</si>
  <si>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</si>
  <si>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</si>
  <si>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</si>
  <si>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</si>
  <si>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</si>
  <si>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</si>
  <si>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</si>
  <si>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</si>
  <si>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</si>
  <si>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</si>
  <si>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</si>
  <si>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</si>
  <si>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</si>
  <si>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</si>
  <si>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</si>
  <si>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</si>
  <si>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</si>
  <si>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</si>
  <si>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</si>
  <si>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</si>
  <si>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</si>
  <si>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</si>
  <si>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</si>
  <si>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</si>
  <si>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</si>
  <si>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</si>
  <si>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</si>
  <si>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</si>
  <si>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</si>
  <si>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</si>
  <si>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</si>
  <si>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</si>
  <si>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</si>
  <si>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</si>
  <si>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</si>
  <si>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</si>
  <si>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</si>
  <si>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</si>
  <si>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</si>
  <si>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</si>
  <si>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</si>
  <si>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</si>
  <si>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</si>
  <si>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</si>
  <si>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</si>
  <si>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</si>
  <si>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</si>
  <si>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</si>
  <si>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</si>
  <si>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</si>
  <si>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</si>
  <si>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</si>
  <si>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</si>
  <si>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</si>
  <si>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</si>
  <si>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</si>
  <si>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</si>
  <si>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</si>
  <si>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</si>
  <si>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</si>
  <si>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</si>
  <si>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</si>
  <si>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</si>
  <si>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</si>
  <si>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</si>
  <si>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</si>
  <si>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</si>
  <si>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</si>
  <si>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</si>
  <si>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</si>
  <si>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</si>
  <si>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</si>
  <si>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</si>
  <si>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</si>
  <si>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</si>
  <si>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</si>
  <si>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</si>
  <si>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</si>
  <si>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</si>
  <si>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</si>
  <si>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</si>
  <si>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</si>
  <si>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</si>
  <si>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</si>
  <si>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</si>
  <si>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</si>
  <si>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</si>
  <si>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</si>
  <si>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</si>
  <si>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</si>
  <si>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</si>
  <si>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</si>
  <si>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</si>
  <si>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</si>
  <si>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</si>
  <si>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</si>
  <si>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</si>
  <si>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</si>
  <si>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</si>
  <si>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</si>
  <si>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</si>
  <si>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</si>
  <si>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</si>
  <si>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</si>
  <si>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</si>
  <si>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</si>
  <si>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</si>
  <si>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</si>
  <si>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</si>
  <si>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</si>
  <si>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</si>
  <si>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</si>
  <si>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</si>
  <si>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</si>
  <si>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</si>
  <si>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</si>
  <si>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</si>
  <si>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</si>
  <si>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</si>
  <si>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</si>
  <si>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</si>
  <si>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</si>
  <si>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</si>
  <si>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</si>
  <si>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</si>
  <si>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</si>
  <si>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</si>
  <si>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</si>
  <si>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</si>
  <si>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</si>
  <si>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</si>
  <si>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</si>
  <si>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</si>
  <si>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</si>
  <si>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</si>
  <si>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</si>
  <si>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</si>
  <si>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</si>
  <si>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</si>
  <si>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</si>
  <si>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</si>
  <si>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</si>
  <si>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</si>
  <si>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</si>
  <si>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</si>
  <si>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</si>
  <si>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</si>
  <si>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</si>
  <si>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</si>
  <si>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</si>
  <si>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</si>
  <si>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</si>
  <si>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</si>
  <si>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</si>
  <si>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</si>
  <si>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</si>
  <si>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</si>
  <si>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</si>
  <si>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</si>
  <si>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</si>
  <si>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</si>
  <si>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</si>
  <si>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</si>
  <si>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</si>
  <si>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</si>
  <si>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</si>
  <si>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</si>
  <si>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</si>
  <si>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</si>
  <si>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</si>
  <si>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</si>
  <si>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</si>
  <si>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</si>
  <si>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</si>
  <si>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</si>
  <si>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</si>
  <si>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</si>
  <si>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</si>
  <si>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</si>
  <si>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</si>
  <si>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</si>
  <si>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</si>
  <si>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</si>
  <si>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</si>
  <si>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</si>
  <si>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</si>
  <si>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</si>
  <si>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</si>
  <si>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</si>
  <si>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</si>
  <si>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</si>
  <si>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</si>
  <si>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</si>
  <si>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</si>
  <si>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</si>
  <si>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</si>
  <si>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</si>
  <si>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</si>
  <si>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</si>
  <si>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</si>
  <si>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</si>
  <si>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</si>
  <si>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</si>
  <si>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</si>
  <si>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</si>
  <si>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</si>
  <si>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</si>
  <si>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</si>
  <si>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</si>
  <si>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</si>
  <si>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</si>
  <si>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</si>
  <si>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</si>
  <si>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</si>
  <si>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</si>
  <si>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</si>
  <si>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</si>
  <si>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</si>
  <si>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</si>
  <si>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</si>
  <si>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</si>
  <si>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</si>
  <si>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</si>
  <si>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</si>
  <si>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</si>
  <si>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</si>
  <si>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</si>
  <si>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</si>
  <si>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</si>
  <si>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</si>
  <si>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</si>
  <si>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</si>
  <si>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</si>
  <si>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</si>
  <si>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</si>
  <si>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</si>
  <si>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</si>
  <si>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</si>
  <si>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</si>
  <si>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</si>
  <si>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</si>
  <si>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</si>
  <si>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</si>
  <si>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</si>
  <si>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</si>
  <si>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</si>
  <si>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</si>
  <si>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</si>
  <si>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</si>
  <si>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</si>
  <si>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</si>
  <si>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</si>
  <si>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</si>
  <si>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</si>
  <si>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</si>
  <si>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</si>
  <si>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</si>
  <si>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</si>
  <si>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</si>
  <si>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</si>
  <si>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</si>
  <si>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</si>
  <si>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</si>
  <si>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</si>
  <si>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</si>
  <si>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</si>
  <si>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</si>
  <si>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</si>
  <si>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</si>
  <si>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</si>
  <si>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</si>
  <si>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</si>
  <si>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</si>
  <si>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</si>
  <si>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</si>
  <si>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</si>
  <si>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</si>
  <si>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</si>
  <si>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</si>
  <si>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</si>
  <si>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</si>
  <si>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</si>
  <si>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</si>
  <si>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</si>
  <si>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</si>
  <si>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</si>
  <si>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</si>
  <si>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</si>
  <si>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</si>
  <si>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</si>
  <si>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</si>
  <si>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</si>
  <si>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</si>
  <si>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</si>
  <si>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</si>
  <si>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</si>
  <si>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</si>
  <si>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</si>
  <si>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</si>
  <si>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</si>
  <si>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</si>
  <si>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</si>
  <si>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</si>
  <si>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</si>
  <si>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</si>
  <si>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</si>
  <si>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</si>
  <si>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</si>
  <si>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</si>
  <si>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</si>
  <si>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</si>
  <si>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</si>
  <si>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</si>
  <si>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</si>
  <si>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</si>
  <si>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</si>
  <si>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</si>
  <si>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</si>
  <si>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</si>
  <si>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</si>
  <si>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</si>
  <si>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</si>
  <si>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</si>
  <si>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</si>
  <si>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</si>
  <si>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</si>
  <si>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</si>
  <si>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</si>
  <si>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</si>
  <si>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</si>
  <si>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</si>
  <si>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</si>
  <si>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</si>
  <si>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</si>
  <si>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</si>
  <si>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</si>
  <si>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</si>
  <si>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</si>
  <si>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</si>
  <si>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</si>
  <si>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</si>
  <si>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</si>
  <si>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</si>
  <si>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</si>
  <si>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</si>
  <si>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</si>
  <si>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</si>
  <si>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</si>
  <si>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</si>
  <si>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</si>
  <si>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</si>
  <si>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</si>
  <si>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</si>
  <si>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</si>
  <si>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</si>
  <si>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</si>
  <si>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</si>
  <si>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</si>
  <si>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</si>
  <si>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</si>
  <si>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</si>
  <si>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</si>
  <si>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</si>
  <si>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</si>
  <si>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</si>
  <si>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</si>
  <si>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</si>
  <si>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</si>
  <si>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</si>
  <si>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</si>
  <si>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</si>
  <si>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</si>
  <si>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</si>
  <si>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</si>
  <si>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</si>
  <si>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</si>
  <si>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</si>
  <si>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</si>
  <si>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</si>
  <si>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</si>
  <si>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</si>
  <si>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</si>
  <si>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</si>
  <si>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</si>
  <si>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</si>
  <si>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</si>
  <si>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</si>
  <si>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</si>
  <si>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</si>
  <si>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</si>
  <si>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</si>
  <si>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</si>
  <si>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</si>
  <si>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</si>
  <si>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</si>
  <si>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</si>
  <si>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</si>
  <si>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</si>
  <si>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</si>
  <si>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</si>
  <si>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</si>
  <si>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</si>
  <si>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</si>
  <si>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</si>
  <si>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</si>
  <si>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</si>
  <si>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</si>
  <si>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</si>
  <si>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</si>
  <si>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</si>
  <si>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</si>
  <si>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</si>
  <si>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</si>
  <si>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</si>
  <si>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</si>
  <si>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</si>
  <si>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</si>
  <si>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</si>
  <si>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</si>
  <si>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</si>
  <si>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</si>
  <si>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</si>
  <si>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</si>
  <si>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</si>
  <si>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</si>
  <si>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</si>
  <si>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</si>
  <si>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</si>
  <si>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</si>
  <si>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</si>
  <si>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</si>
  <si>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</si>
  <si>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</si>
  <si>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</si>
  <si>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</si>
  <si>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</si>
  <si>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</si>
  <si>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</si>
  <si>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</si>
  <si>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</si>
  <si>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</si>
  <si>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</si>
  <si>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</si>
  <si>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</si>
  <si>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</si>
  <si>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</si>
  <si>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</si>
  <si>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</si>
  <si>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</si>
  <si>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</si>
  <si>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</si>
  <si>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</si>
  <si>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</si>
  <si>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</si>
  <si>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</si>
  <si>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</si>
  <si>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</si>
  <si>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</si>
  <si>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</si>
  <si>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</si>
  <si>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</si>
  <si>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</si>
  <si>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</si>
  <si>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</si>
  <si>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</si>
  <si>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</si>
  <si>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</si>
  <si>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</si>
  <si>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</si>
  <si>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</si>
  <si>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</si>
  <si>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</si>
  <si>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</si>
  <si>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</si>
  <si>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</si>
  <si>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</si>
  <si>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</si>
  <si>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</si>
  <si>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</si>
  <si>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</si>
  <si>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</si>
  <si>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</si>
  <si>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</si>
  <si>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</si>
  <si>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</si>
  <si>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</si>
  <si>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</si>
  <si>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</si>
  <si>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</si>
  <si>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</si>
  <si>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</si>
  <si>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</si>
  <si>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</si>
  <si>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</si>
  <si>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</si>
  <si>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</si>
  <si>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</si>
  <si>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</si>
  <si>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</si>
  <si>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</si>
  <si>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</si>
  <si>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</si>
  <si>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</si>
  <si>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</si>
  <si>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</si>
  <si>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</si>
  <si>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</si>
  <si>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</si>
  <si>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</si>
  <si>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</si>
  <si>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</si>
  <si>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</si>
  <si>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</si>
  <si>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</si>
  <si>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</si>
  <si>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</si>
  <si>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</si>
  <si>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</si>
  <si>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</si>
  <si>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</si>
  <si>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</si>
  <si>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</si>
  <si>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</si>
  <si>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</si>
  <si>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</si>
  <si>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</si>
  <si>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</si>
  <si>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</si>
  <si>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</si>
  <si>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</si>
  <si>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</si>
  <si>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</si>
  <si>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</si>
  <si>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</si>
  <si>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</si>
  <si>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</si>
  <si>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</si>
  <si>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</si>
  <si>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</si>
  <si>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</si>
  <si>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</si>
  <si>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</si>
  <si>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</si>
  <si>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</si>
  <si>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</si>
  <si>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</si>
  <si>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</si>
  <si>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</si>
  <si>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</si>
  <si>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</si>
  <si>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</si>
  <si>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</si>
  <si>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</si>
  <si>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</si>
  <si>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</si>
  <si>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</si>
  <si>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</si>
  <si>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</si>
  <si>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</si>
  <si>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</si>
  <si>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</si>
  <si>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</si>
  <si>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</si>
  <si>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</si>
  <si>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</si>
  <si>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</si>
  <si>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</si>
  <si>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</si>
  <si>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</si>
  <si>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</si>
  <si>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</si>
  <si>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</si>
  <si>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</si>
  <si>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</si>
  <si>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</si>
  <si>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</si>
  <si>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</si>
  <si>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</si>
  <si>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</si>
  <si>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</si>
  <si>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</si>
  <si>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</si>
  <si>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</si>
  <si>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</si>
  <si>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</si>
  <si>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</si>
  <si>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</si>
  <si>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</si>
  <si>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</si>
  <si>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</si>
  <si>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</si>
  <si>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</si>
  <si>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</si>
  <si>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</si>
  <si>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</si>
  <si>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</si>
  <si>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</si>
  <si>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</si>
  <si>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</si>
  <si>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</si>
  <si>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</si>
  <si>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</si>
  <si>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</si>
  <si>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</si>
  <si>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</si>
  <si>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</si>
  <si>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</si>
  <si>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</si>
  <si>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</si>
  <si>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</si>
  <si>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</si>
  <si>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</si>
  <si>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</si>
  <si>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</si>
  <si>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</si>
  <si>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</si>
  <si>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</si>
  <si>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</si>
  <si>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</si>
  <si>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</si>
  <si>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</si>
  <si>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</si>
  <si>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</si>
  <si>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</si>
  <si>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</si>
  <si>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</si>
  <si>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</si>
  <si>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</si>
  <si>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</si>
  <si>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</si>
  <si>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</si>
  <si>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</si>
  <si>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</si>
  <si>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</si>
  <si>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</si>
  <si>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</si>
  <si>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</si>
  <si>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</si>
  <si>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</si>
  <si>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</si>
  <si>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</si>
  <si>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</si>
  <si>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</si>
  <si>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</si>
  <si>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</si>
  <si>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</si>
  <si>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</si>
  <si>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</si>
  <si>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</si>
  <si>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</si>
  <si>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</si>
  <si>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</si>
  <si>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</si>
  <si>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</si>
  <si>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</si>
  <si>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</si>
  <si>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</si>
  <si>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</si>
  <si>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</si>
  <si>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</si>
  <si>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</si>
  <si>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</si>
  <si>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</si>
  <si>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</si>
  <si>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</si>
  <si>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</si>
  <si>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</si>
  <si>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</si>
  <si>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</si>
  <si>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</si>
  <si>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</si>
  <si>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</si>
  <si>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</si>
  <si>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</si>
  <si>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</si>
  <si>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</si>
  <si>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</si>
  <si>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</si>
  <si>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</si>
  <si>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</si>
  <si>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</si>
  <si>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</si>
  <si>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</si>
  <si>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</si>
  <si>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</si>
  <si>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</si>
  <si>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</si>
  <si>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</si>
  <si>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</si>
  <si>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</si>
  <si>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</si>
  <si>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</si>
  <si>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</si>
  <si>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</si>
  <si>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</si>
  <si>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</si>
  <si>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</si>
  <si>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</si>
  <si>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</si>
  <si>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</si>
  <si>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</si>
  <si>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</si>
  <si>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</si>
  <si>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</si>
  <si>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</si>
  <si>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</si>
  <si>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</si>
  <si>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</si>
  <si>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</si>
  <si>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</si>
  <si>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</si>
  <si>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</si>
  <si>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</si>
  <si>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</si>
  <si>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</si>
  <si>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</si>
  <si>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</si>
  <si>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</si>
  <si>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</si>
  <si>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</si>
  <si>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</si>
  <si>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</si>
  <si>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</si>
  <si>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</si>
  <si>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</si>
  <si>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</si>
  <si>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</si>
  <si>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</si>
  <si>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</si>
  <si>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</si>
  <si>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</si>
  <si>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</si>
  <si>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</si>
  <si>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</si>
  <si>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</si>
  <si>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</si>
  <si>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</si>
  <si>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</si>
  <si>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</si>
  <si>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</si>
  <si>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</si>
  <si>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</si>
  <si>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</si>
  <si>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</si>
  <si>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</si>
  <si>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</si>
  <si>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</si>
  <si>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</si>
  <si>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</si>
  <si>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</si>
  <si>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</si>
  <si>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</si>
  <si>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</si>
  <si>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</si>
  <si>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</si>
  <si>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</si>
  <si>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</si>
  <si>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</si>
  <si>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</si>
  <si>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</si>
  <si>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</si>
  <si>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</si>
  <si>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</si>
  <si>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</si>
  <si>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</si>
  <si>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</si>
  <si>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</si>
  <si>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</si>
  <si>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</si>
  <si>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</si>
  <si>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估价对象容积率</t>
  </si>
  <si>
    <t>不临65条商业街</t>
  </si>
  <si>
    <t>与级别开发程度不一致</t>
  </si>
  <si>
    <t>平整</t>
  </si>
  <si>
    <t>较好</t>
  </si>
  <si>
    <t>燃气</t>
  </si>
  <si>
    <t>容积率修正</t>
  </si>
  <si>
    <t>工业项目</t>
  </si>
  <si>
    <t>无</t>
  </si>
  <si>
    <t>较差</t>
  </si>
  <si>
    <t>好</t>
  </si>
  <si>
    <t>Ⅵ-BDA核心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</si>
</sst>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5810;&#20215;/&#26032;&#24314;&#25991;&#20214;&#22841;/&#35745;&#31639;&#34920;-&#40857;&#26071;&#24191;&#22330;&#22797;&#20272;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5810;&#20215;/&#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45;&#31639;&#34920;-&#20134;&#24196;&#20140;&#31934;&#21307;&#30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成本法"/>
      <sheetName val="土地比较法-住宅、综合"/>
      <sheetName val="收益法（汇总）"/>
      <sheetName val="收益法-地上商业"/>
      <sheetName val="收益法-地下商业"/>
      <sheetName val="收益法 (元)"/>
      <sheetName val="收益法-酒店模型"/>
      <sheetName val="收益法-地下车库"/>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G15">
            <v>36.43</v>
          </cell>
        </row>
      </sheetData>
      <sheetData sheetId="11">
        <row r="5">
          <cell r="K5">
            <v>14121.230000000001</v>
          </cell>
        </row>
        <row r="13">
          <cell r="I13">
            <v>11810.92</v>
          </cell>
        </row>
        <row r="14">
          <cell r="I14">
            <v>12045.64</v>
          </cell>
        </row>
        <row r="15">
          <cell r="I15">
            <v>12019.87</v>
          </cell>
        </row>
        <row r="16">
          <cell r="I16">
            <v>2751.25</v>
          </cell>
        </row>
      </sheetData>
      <sheetData sheetId="12" refreshError="1"/>
      <sheetData sheetId="13">
        <row r="6">
          <cell r="I6">
            <v>2.29</v>
          </cell>
        </row>
      </sheetData>
      <sheetData sheetId="14">
        <row r="6">
          <cell r="F6">
            <v>26.42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I15">
            <v>28.65</v>
          </cell>
        </row>
      </sheetData>
      <sheetData sheetId="11">
        <row r="5">
          <cell r="I5">
            <v>20126.390000000003</v>
          </cell>
        </row>
        <row r="15">
          <cell r="G15">
            <v>20.010000000000002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K13">
            <v>3790.82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198" customWidth="1"/>
    <col min="2" max="2" width="81" style="1215" customWidth="1"/>
    <col min="3" max="16384" width="9" style="1213"/>
  </cols>
  <sheetData>
    <row r="1" spans="1:2" s="1201" customFormat="1" ht="16.2" thickBot="1">
      <c r="A1" s="1200" t="s">
        <v>759</v>
      </c>
      <c r="B1" s="1199" t="s">
        <v>838</v>
      </c>
    </row>
    <row r="2" spans="1:2" s="1204" customFormat="1" ht="16.2"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6.2" thickBot="1">
      <c r="A5" s="1208" t="s">
        <v>763</v>
      </c>
      <c r="B5" s="1209" t="str">
        <f>'预评函-封皮'!B49</f>
        <v>康正预评字号</v>
      </c>
    </row>
    <row r="6" spans="1:2" s="1204" customFormat="1" ht="16.2"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2022年4月29日</v>
      </c>
    </row>
    <row r="13" spans="1:2" s="1207" customFormat="1">
      <c r="A13" s="1205" t="s">
        <v>767</v>
      </c>
      <c r="B13" s="1206" t="str">
        <f>'预评函-1'!A18</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6.2" thickBot="1">
      <c r="A18" s="1208" t="s">
        <v>772</v>
      </c>
      <c r="B18" s="1209" t="str">
        <f>'预评函-1'!A24</f>
        <v>本次评估采用的主估价方法为基准地价系数修正法和基准地价系数修正法。</v>
      </c>
    </row>
    <row r="19" spans="1:2" s="1204" customFormat="1" ht="16.2"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ht="31.2">
      <c r="A42" s="1205" t="s">
        <v>828</v>
      </c>
      <c r="B42" s="1206" t="str">
        <f>'预评函-3'!B2</f>
        <v>建筑面积</v>
      </c>
    </row>
    <row r="43" spans="1:2" s="1207" customFormat="1">
      <c r="A43" s="1205" t="s">
        <v>829</v>
      </c>
      <c r="B43" s="1206">
        <f>'预评函-3'!B4</f>
        <v>0</v>
      </c>
    </row>
    <row r="44" spans="1:2" s="1207" customFormat="1" ht="31.2">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6.2" thickBot="1">
      <c r="A57" s="1208" t="s">
        <v>837</v>
      </c>
      <c r="B57" s="1209" t="str">
        <f>'预评函-3'!A6</f>
        <v>估价师知悉的法定优先受偿款</v>
      </c>
    </row>
    <row r="58" spans="1:2" s="1204" customFormat="1" ht="16.2"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6.2" thickBot="1">
      <c r="A69" s="1208" t="s">
        <v>799</v>
      </c>
      <c r="B69" s="1210">
        <f>'预评函-4'!C31</f>
        <v>42551</v>
      </c>
    </row>
    <row r="70" spans="1:2" ht="16.2" thickTop="1">
      <c r="A70" s="1211" t="s">
        <v>800</v>
      </c>
      <c r="B70" s="1212">
        <f>'预评函-4'!A4</f>
        <v>0</v>
      </c>
    </row>
    <row r="71" spans="1:2">
      <c r="A71" s="1205" t="s">
        <v>801</v>
      </c>
      <c r="B71" s="1206">
        <f>'预评函-4'!B4</f>
        <v>0</v>
      </c>
    </row>
    <row r="72" spans="1:2">
      <c r="A72" s="1205" t="s">
        <v>802</v>
      </c>
      <c r="B72" s="1214">
        <f>'预评函-4'!A5</f>
        <v>0</v>
      </c>
    </row>
    <row r="73" spans="1:2" s="1201" customFormat="1" ht="16.2" thickBot="1">
      <c r="A73" s="1208" t="s">
        <v>803</v>
      </c>
      <c r="B73" s="1209">
        <f>'预评函-4'!B5</f>
        <v>0</v>
      </c>
    </row>
    <row r="74" spans="1:2" ht="16.2"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4"/>
  <cols>
    <col min="1" max="1" width="13.44140625" style="1549" customWidth="1"/>
    <col min="2" max="2" width="23.21875" style="1500" customWidth="1"/>
    <col min="3" max="3" width="13" style="1544" customWidth="1"/>
    <col min="4" max="4" width="5.77734375" style="1541" customWidth="1"/>
    <col min="5" max="5" width="7.109375" style="1541" customWidth="1"/>
    <col min="6" max="6" width="10.6640625" style="1541" customWidth="1"/>
    <col min="7" max="7" width="7.44140625" style="1541" customWidth="1"/>
    <col min="8" max="8" width="9" style="1544" customWidth="1"/>
    <col min="9" max="9" width="11.6640625" style="1544" customWidth="1"/>
    <col min="10" max="10" width="9" style="1544" customWidth="1"/>
    <col min="11" max="19" width="9" style="1541" customWidth="1"/>
    <col min="20" max="23" width="9" style="1544" customWidth="1"/>
    <col min="24" max="24" width="21.109375" style="1500" customWidth="1"/>
    <col min="25" max="16384" width="9" style="1500"/>
  </cols>
  <sheetData>
    <row r="1" spans="1:23" s="1538" customFormat="1" ht="28.8">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6"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6"/>
      <c r="B54" s="1547" t="s">
        <v>619</v>
      </c>
      <c r="C54" s="1544" t="s">
        <v>821</v>
      </c>
    </row>
    <row r="55" spans="1:4">
      <c r="A55" s="3416"/>
      <c r="B55" s="1547" t="s">
        <v>620</v>
      </c>
      <c r="C55" s="1544" t="s">
        <v>822</v>
      </c>
    </row>
    <row r="56" spans="1:4">
      <c r="A56" s="3416"/>
      <c r="B56" s="1547" t="s">
        <v>621</v>
      </c>
      <c r="C56" s="1544" t="s">
        <v>826</v>
      </c>
    </row>
    <row r="57" spans="1:4">
      <c r="A57" s="3416"/>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F40" sqref="F40"/>
    </sheetView>
  </sheetViews>
  <sheetFormatPr defaultColWidth="10" defaultRowHeight="13.2"/>
  <cols>
    <col min="1" max="1" width="16.88671875" style="1739" customWidth="1"/>
    <col min="2" max="2" width="10" style="1739" customWidth="1"/>
    <col min="3" max="3" width="11.44140625" style="1739" customWidth="1"/>
    <col min="4" max="4" width="12.21875" style="1739" customWidth="1"/>
    <col min="5" max="5" width="12.6640625" style="1739" customWidth="1"/>
    <col min="6" max="6" width="10" style="1739" customWidth="1"/>
    <col min="7" max="7" width="10.77734375" style="1739" customWidth="1"/>
    <col min="8" max="8" width="10" style="1739" customWidth="1"/>
    <col min="9" max="9" width="11.10937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8" thickBot="1">
      <c r="A1" s="2190" t="s">
        <v>2456</v>
      </c>
      <c r="B1" s="3417" t="str">
        <f>IF(B10="北京市","北京市",C10)&amp;F10&amp;IF(结果表!G1="在建","出让国有建设用地使用权及在建建筑物",IF(结果表!G1="土地","出让国有建设用地使用权",))&amp;B9&amp;"预评估"</f>
        <v>北京市房地产抵押价值预评估</v>
      </c>
      <c r="C1" s="3418"/>
      <c r="D1" s="3418"/>
      <c r="E1" s="3418"/>
      <c r="F1" s="3418"/>
      <c r="G1" s="3418"/>
      <c r="H1" s="3418"/>
      <c r="I1" s="3419"/>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44680</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8"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8"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20" t="s">
        <v>2465</v>
      </c>
      <c r="E8" s="2215" t="s">
        <v>3109</v>
      </c>
      <c r="F8" s="2216"/>
      <c r="G8" s="2490"/>
      <c r="H8" s="2490"/>
      <c r="I8" s="2490"/>
      <c r="J8" s="2265"/>
      <c r="K8" s="2440"/>
      <c r="L8" s="2439"/>
      <c r="M8" s="2439"/>
      <c r="N8" s="2265"/>
      <c r="O8" s="2276"/>
      <c r="P8" s="2265"/>
      <c r="Q8" s="2265"/>
      <c r="R8" s="2265"/>
    </row>
    <row r="9" spans="1:28" ht="13.8" thickBot="1">
      <c r="A9" s="2217" t="s">
        <v>2466</v>
      </c>
      <c r="B9" s="2218" t="s">
        <v>3109</v>
      </c>
      <c r="C9" s="2219"/>
      <c r="D9" s="3421"/>
      <c r="E9" s="2218"/>
      <c r="F9" s="2220"/>
      <c r="G9" s="2492"/>
      <c r="H9" s="2492"/>
      <c r="I9" s="2492"/>
      <c r="J9" s="2265"/>
      <c r="K9" s="2442"/>
      <c r="L9" s="2439"/>
      <c r="M9" s="2439"/>
      <c r="N9" s="2265"/>
      <c r="O9" s="2276"/>
      <c r="P9" s="2265"/>
      <c r="Q9" s="2265"/>
      <c r="R9" s="2265"/>
    </row>
    <row r="10" spans="1:28" ht="13.8" thickTop="1">
      <c r="A10" s="2221" t="s">
        <v>2467</v>
      </c>
      <c r="B10" s="2222" t="s">
        <v>3110</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t="s">
        <v>3111</v>
      </c>
      <c r="C11" s="2227"/>
      <c r="D11" s="2228"/>
      <c r="E11" s="2194"/>
      <c r="F11" s="2194"/>
      <c r="G11" s="2194"/>
      <c r="H11" s="2194"/>
      <c r="I11" s="2194"/>
      <c r="J11" s="2265"/>
      <c r="K11" s="2442"/>
      <c r="L11" s="2439"/>
      <c r="M11" s="2439"/>
      <c r="N11" s="2265"/>
      <c r="O11" s="2276"/>
      <c r="P11" s="2265"/>
      <c r="Q11" s="2265"/>
      <c r="R11" s="2265"/>
    </row>
    <row r="12" spans="1:28">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c r="F13" s="870"/>
      <c r="G13" s="870"/>
      <c r="H13" s="870"/>
      <c r="I13" s="870">
        <v>55140</v>
      </c>
      <c r="J13" s="2265"/>
      <c r="K13" s="2442"/>
      <c r="L13" s="2439"/>
      <c r="M13" s="2439"/>
      <c r="N13" s="2265"/>
      <c r="O13" s="2276"/>
      <c r="P13" s="2265"/>
      <c r="Q13" s="2265"/>
      <c r="R13" s="2265"/>
    </row>
    <row r="14" spans="1:28">
      <c r="A14" s="1088"/>
      <c r="B14" s="2231"/>
      <c r="C14" s="2232" t="s">
        <v>2479</v>
      </c>
      <c r="D14" s="2233"/>
      <c r="E14" s="2233"/>
      <c r="F14" s="2233"/>
      <c r="G14" s="2233"/>
      <c r="H14" s="2233"/>
      <c r="I14" s="2233">
        <v>50</v>
      </c>
      <c r="J14" s="2265"/>
      <c r="K14" s="2443"/>
      <c r="L14" s="2439"/>
      <c r="M14" s="2439"/>
      <c r="N14" s="2265"/>
      <c r="O14" s="2276"/>
      <c r="P14" s="2265"/>
      <c r="Q14" s="2265"/>
      <c r="R14" s="2265"/>
    </row>
    <row r="15" spans="1:28">
      <c r="A15" s="322"/>
      <c r="B15" s="2234"/>
      <c r="C15" s="2235" t="s">
        <v>2480</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f>IF(B12="出让",IF(I13="","",ROUNDDOWN(MIN((I13-$D$3)/365,I14),2)),I14)</f>
        <v>28.65</v>
      </c>
      <c r="J15" s="2265"/>
      <c r="K15" s="2444"/>
      <c r="L15" s="2277"/>
      <c r="M15" s="2277"/>
      <c r="N15" s="2335"/>
      <c r="O15" s="2277"/>
      <c r="P15" s="2335"/>
      <c r="Q15" s="2265"/>
      <c r="R15" s="2265"/>
    </row>
    <row r="16" spans="1:28">
      <c r="A16" s="2224" t="s">
        <v>2481</v>
      </c>
      <c r="B16" s="3427"/>
      <c r="C16" s="3428"/>
      <c r="D16" s="3429"/>
      <c r="E16" s="2239" t="s">
        <v>2482</v>
      </c>
      <c r="F16" s="3430"/>
      <c r="G16" s="3431"/>
      <c r="H16" s="3431"/>
      <c r="I16" s="3432"/>
      <c r="J16" s="2265"/>
      <c r="K16" s="2444"/>
      <c r="L16" s="2277"/>
      <c r="M16" s="2277"/>
      <c r="N16" s="2335"/>
      <c r="O16" s="2277"/>
      <c r="P16" s="2335"/>
      <c r="Q16" s="2265"/>
      <c r="R16" s="2265"/>
    </row>
    <row r="17" spans="1:28">
      <c r="A17" s="315" t="s">
        <v>2483</v>
      </c>
      <c r="B17" s="304" t="s">
        <v>2484</v>
      </c>
      <c r="C17" s="10">
        <f>'数据-汇总表'!E3</f>
        <v>0</v>
      </c>
      <c r="D17" s="2145" t="s">
        <v>2485</v>
      </c>
      <c r="E17" s="3433" t="s">
        <v>2486</v>
      </c>
      <c r="F17" s="3434"/>
      <c r="G17" s="3434"/>
      <c r="H17" s="3434"/>
      <c r="I17" s="3435"/>
      <c r="J17" s="2265"/>
      <c r="K17" s="2445"/>
      <c r="L17" s="2277"/>
      <c r="M17" s="2277"/>
      <c r="N17" s="2335"/>
      <c r="O17" s="2277"/>
      <c r="P17" s="2335"/>
      <c r="Q17" s="2265"/>
      <c r="R17" s="2265"/>
      <c r="S17" s="2265"/>
      <c r="T17" s="2265"/>
      <c r="U17" s="2265"/>
      <c r="V17" s="2265"/>
    </row>
    <row r="18" spans="1:28" ht="24.6" thickBot="1">
      <c r="A18" s="2240" t="s">
        <v>2487</v>
      </c>
      <c r="B18" s="1097" t="s">
        <v>2488</v>
      </c>
      <c r="C18" s="2241" t="e">
        <f>'数据-汇总表'!D3</f>
        <v>#DIV/0!</v>
      </c>
      <c r="D18" s="1099" t="s">
        <v>2489</v>
      </c>
      <c r="E18" s="3436" t="s">
        <v>2490</v>
      </c>
      <c r="F18" s="3437"/>
      <c r="G18" s="3437"/>
      <c r="H18" s="3437"/>
      <c r="I18" s="3438"/>
      <c r="J18" s="2265"/>
      <c r="K18" s="2445"/>
      <c r="L18" s="2277"/>
      <c r="M18" s="2277"/>
      <c r="N18" s="2335"/>
      <c r="O18" s="2277"/>
      <c r="P18" s="2335"/>
      <c r="Q18" s="2265"/>
      <c r="R18" s="2265"/>
      <c r="S18" s="2265"/>
      <c r="T18" s="2265"/>
      <c r="U18" s="2265"/>
      <c r="V18" s="2265"/>
    </row>
    <row r="19" spans="1:28" ht="54"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1"/>
      <c r="I19" s="2491"/>
      <c r="J19" s="2265"/>
      <c r="K19" s="2442"/>
      <c r="L19" s="2439"/>
      <c r="M19" s="2439"/>
      <c r="N19" s="2335"/>
      <c r="O19" s="2277"/>
      <c r="P19" s="2335"/>
      <c r="Q19" s="2265"/>
      <c r="R19" s="2265"/>
      <c r="S19" s="2265"/>
      <c r="T19" s="2265"/>
      <c r="U19" s="2265"/>
      <c r="V19" s="2265"/>
    </row>
    <row r="20" spans="1:28">
      <c r="A20" s="2459" t="s">
        <v>2493</v>
      </c>
      <c r="B20" s="3423" t="s">
        <v>2494</v>
      </c>
      <c r="C20" s="3424"/>
      <c r="D20" s="3425" t="s">
        <v>2495</v>
      </c>
      <c r="E20" s="3426"/>
      <c r="F20" s="2474" t="s">
        <v>1305</v>
      </c>
      <c r="G20" s="2491"/>
      <c r="H20" s="2491"/>
      <c r="I20" s="2491"/>
      <c r="J20" s="2265"/>
      <c r="K20" s="3422"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8"/>
      <c r="O20" s="2237"/>
      <c r="P20" s="2238"/>
      <c r="Q20" s="2194"/>
      <c r="R20" s="2194"/>
      <c r="S20" s="2194"/>
      <c r="T20" s="2194"/>
      <c r="U20" s="2194"/>
      <c r="V20" s="2194"/>
      <c r="W20" s="1739"/>
      <c r="X20" s="1739"/>
      <c r="Y20" s="1739"/>
      <c r="Z20" s="1739"/>
      <c r="AA20" s="1739"/>
      <c r="AB20" s="1739"/>
    </row>
    <row r="21" spans="1:28" ht="24.6" thickBot="1">
      <c r="A21" s="2459"/>
      <c r="B21" s="2460" t="s">
        <v>2497</v>
      </c>
      <c r="C21" s="2461" t="s">
        <v>1306</v>
      </c>
      <c r="D21" s="1561" t="s">
        <v>2498</v>
      </c>
      <c r="E21" s="2462" t="s">
        <v>1306</v>
      </c>
      <c r="F21" s="2475"/>
      <c r="G21" s="2491"/>
      <c r="H21" s="2491"/>
      <c r="I21" s="2491"/>
      <c r="J21" s="2265"/>
      <c r="K21" s="3422"/>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36.6" thickBot="1">
      <c r="A22" s="2459"/>
      <c r="B22" s="2463" t="s">
        <v>2499</v>
      </c>
      <c r="C22" s="2461" t="s">
        <v>1307</v>
      </c>
      <c r="D22" s="2490"/>
      <c r="E22" s="2490"/>
      <c r="F22" s="2490"/>
      <c r="G22" s="2491"/>
      <c r="H22" s="2491"/>
      <c r="I22" s="2491"/>
      <c r="J22" s="2265"/>
      <c r="K22" s="3422"/>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8"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8" thickTop="1">
      <c r="A27" s="3440" t="s">
        <v>2502</v>
      </c>
      <c r="B27" s="322" t="s">
        <v>2503</v>
      </c>
      <c r="C27" s="2242" t="s">
        <v>3128</v>
      </c>
      <c r="D27" s="2243"/>
      <c r="E27" s="2491"/>
      <c r="F27" s="2491"/>
      <c r="G27" s="2491"/>
      <c r="H27" s="2491"/>
      <c r="I27" s="2491"/>
      <c r="J27" s="2265"/>
      <c r="K27" s="2444"/>
      <c r="L27" s="2277"/>
      <c r="M27" s="2277"/>
      <c r="N27" s="2335"/>
      <c r="O27" s="2277"/>
      <c r="P27" s="2335"/>
      <c r="Q27" s="2265"/>
      <c r="R27" s="2265"/>
      <c r="S27" s="2265"/>
      <c r="T27" s="2265"/>
      <c r="U27" s="2265"/>
      <c r="V27" s="2265"/>
    </row>
    <row r="28" spans="1:28">
      <c r="A28" s="3440"/>
      <c r="B28" s="304" t="s">
        <v>2504</v>
      </c>
      <c r="C28" s="2244" t="s">
        <v>3129</v>
      </c>
      <c r="D28" s="2245"/>
      <c r="E28" s="2491"/>
      <c r="F28" s="2491"/>
      <c r="G28" s="2491"/>
      <c r="H28" s="2491"/>
      <c r="I28" s="2491"/>
      <c r="J28" s="2265"/>
      <c r="K28" s="2442"/>
      <c r="L28" s="2439"/>
      <c r="M28" s="2439"/>
      <c r="N28" s="2265"/>
      <c r="O28" s="2276"/>
      <c r="P28" s="2265"/>
      <c r="Q28" s="2265"/>
      <c r="R28" s="2265"/>
      <c r="S28" s="2265"/>
      <c r="T28" s="2265"/>
      <c r="U28" s="2265"/>
      <c r="V28" s="2265"/>
    </row>
    <row r="29" spans="1:28">
      <c r="A29" s="3440"/>
      <c r="B29" s="304" t="s">
        <v>2505</v>
      </c>
      <c r="C29" s="2246" t="s">
        <v>3114</v>
      </c>
      <c r="D29" s="2247"/>
      <c r="E29" s="2491"/>
      <c r="F29" s="2491"/>
      <c r="G29" s="2491"/>
      <c r="H29" s="2491"/>
      <c r="I29" s="2491"/>
      <c r="J29" s="2265"/>
      <c r="K29" s="2442"/>
      <c r="L29" s="2439"/>
      <c r="M29" s="2439"/>
      <c r="N29" s="2265"/>
      <c r="O29" s="2276"/>
      <c r="P29" s="2265"/>
      <c r="Q29" s="2265"/>
      <c r="R29" s="2265"/>
      <c r="S29" s="2265"/>
      <c r="T29" s="2265"/>
      <c r="U29" s="2265"/>
      <c r="V29" s="2265"/>
    </row>
    <row r="30" spans="1:28">
      <c r="A30" s="3441"/>
      <c r="B30" s="304" t="s">
        <v>2506</v>
      </c>
      <c r="C30" s="3442"/>
      <c r="D30" s="3443"/>
      <c r="E30" s="2491"/>
      <c r="F30" s="2491"/>
      <c r="G30" s="2491"/>
      <c r="H30" s="2491"/>
      <c r="I30" s="2491"/>
      <c r="J30" s="2265"/>
      <c r="K30" s="2442"/>
      <c r="L30" s="2439"/>
      <c r="M30" s="2439"/>
      <c r="N30" s="2265"/>
      <c r="O30" s="2276"/>
      <c r="P30" s="2265"/>
      <c r="Q30" s="2265"/>
      <c r="R30" s="2265"/>
      <c r="S30" s="2265"/>
      <c r="T30" s="2265"/>
      <c r="U30" s="2265"/>
      <c r="V30" s="2265"/>
    </row>
    <row r="31" spans="1:28">
      <c r="A31" s="3444" t="s">
        <v>2507</v>
      </c>
      <c r="B31" s="2248" t="s">
        <v>3115</v>
      </c>
      <c r="C31" s="2146" t="str">
        <f>IF(B31="现房","成新及维护状况正常否",IF(B31="在建","工程状态是否正常",IF(B31="土地","是否闲置","-")))</f>
        <v>成新及维护状况正常否</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45"/>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45"/>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t="s">
        <v>3116</v>
      </c>
      <c r="C34" s="1996" t="s">
        <v>3117</v>
      </c>
      <c r="D34" s="1996" t="s">
        <v>3118</v>
      </c>
      <c r="E34" s="1996" t="s">
        <v>3119</v>
      </c>
      <c r="F34" s="1996" t="s">
        <v>3120</v>
      </c>
      <c r="G34" s="1996" t="s">
        <v>3126</v>
      </c>
      <c r="H34" s="1996"/>
      <c r="I34" s="2491"/>
      <c r="J34" s="2265"/>
      <c r="K34" s="2253">
        <f>COUNTIF(B34:H34,"——")</f>
        <v>0</v>
      </c>
      <c r="L34" s="325" t="s">
        <v>2509</v>
      </c>
      <c r="M34" s="325" t="s">
        <v>2510</v>
      </c>
      <c r="N34" s="325" t="s">
        <v>2511</v>
      </c>
      <c r="O34" s="325" t="s">
        <v>2512</v>
      </c>
      <c r="P34" s="325" t="s">
        <v>2513</v>
      </c>
      <c r="Q34" s="325" t="s">
        <v>2514</v>
      </c>
      <c r="R34" s="325" t="s">
        <v>2515</v>
      </c>
      <c r="S34" s="3439" t="s">
        <v>2516</v>
      </c>
      <c r="T34" s="2254" t="str">
        <f>NUMBERSTRING(7-K34,1)&amp;"通"</f>
        <v>七通</v>
      </c>
      <c r="U34" s="2265"/>
      <c r="V34" s="2265"/>
    </row>
    <row r="35" spans="1:30">
      <c r="A35" s="2255"/>
      <c r="B35" s="3446" t="s">
        <v>2517</v>
      </c>
      <c r="C35" s="3446"/>
      <c r="D35" s="3446"/>
      <c r="E35" s="3446"/>
      <c r="F35" s="668">
        <f>C10</f>
        <v>0</v>
      </c>
      <c r="G35" s="2491"/>
      <c r="H35" s="2491"/>
      <c r="I35" s="2491"/>
      <c r="J35" s="2265"/>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通路、通电、通讯、通上水、通下水、燃气</v>
      </c>
      <c r="R35" s="331" t="str">
        <f>B34&amp;"、"&amp;C34&amp;"、"&amp;D34&amp;"、"&amp;E34&amp;"、"&amp;F34&amp;"、"&amp;G34&amp;"、"&amp;H34</f>
        <v>通路、通电、通讯、通上水、通下水、燃气、</v>
      </c>
      <c r="S35" s="3439"/>
      <c r="T35" s="331" t="str">
        <f>IF(T34="一通",L35,IF(T34="二通",M35,IF(T34="三通",N35,IF(T34="四通",O35,IF(T34="五通",P35,IF(T34="六通",Q35,R35))))))</f>
        <v>通路、通电、通讯、通上水、通下水、燃气、</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c r="C37" s="2257"/>
      <c r="D37" s="2257"/>
      <c r="E37" s="2257" t="s">
        <v>56</v>
      </c>
      <c r="F37" s="2257"/>
      <c r="G37" s="2491"/>
      <c r="H37" s="2491"/>
      <c r="I37" s="2491"/>
      <c r="J37" s="2265"/>
      <c r="K37" s="2442"/>
      <c r="L37" s="2439"/>
      <c r="M37" s="2439"/>
      <c r="N37" s="2265"/>
      <c r="O37" s="2276"/>
      <c r="P37" s="2265"/>
      <c r="Q37" s="2265"/>
      <c r="R37" s="2265"/>
      <c r="S37" s="2265"/>
      <c r="T37" s="2265"/>
      <c r="U37" s="2265"/>
      <c r="V37" s="2265"/>
    </row>
    <row r="38" spans="1:30" ht="13.8" thickBot="1">
      <c r="A38" s="2458" t="s">
        <v>2519</v>
      </c>
      <c r="B38" s="2258"/>
      <c r="C38" s="2258"/>
      <c r="D38" s="2258"/>
      <c r="E38" s="2258" t="s">
        <v>3132</v>
      </c>
      <c r="F38" s="2258"/>
      <c r="G38" s="2492"/>
      <c r="H38" s="2492"/>
      <c r="I38" s="2492"/>
      <c r="J38" s="2265"/>
      <c r="K38" s="2442"/>
      <c r="L38" s="2439"/>
      <c r="M38" s="2439"/>
      <c r="N38" s="2265"/>
      <c r="O38" s="2276"/>
      <c r="P38" s="2265"/>
      <c r="Q38" s="2265"/>
      <c r="R38" s="2265"/>
      <c r="S38" s="2265"/>
      <c r="T38" s="2265"/>
      <c r="U38" s="2265"/>
      <c r="V38" s="2265"/>
    </row>
    <row r="39" spans="1:30" s="2261" customFormat="1" ht="14.4"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2">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8671875" defaultRowHeight="13.8"/>
  <cols>
    <col min="1" max="1" width="10.6640625" style="1566" customWidth="1"/>
    <col min="2" max="2" width="11" style="1566" customWidth="1"/>
    <col min="3" max="3" width="10.33203125" style="1566" customWidth="1"/>
    <col min="4" max="4" width="9.109375" style="1566" customWidth="1"/>
    <col min="5" max="6" width="10" style="1627" customWidth="1"/>
    <col min="7" max="8" width="10" style="1566" customWidth="1"/>
    <col min="9" max="9" width="10.6640625" style="1566" customWidth="1"/>
    <col min="10" max="10" width="9.44140625" style="1566" customWidth="1"/>
    <col min="11" max="11" width="11" style="1566" customWidth="1"/>
    <col min="12" max="14" width="9.44140625" style="1566" customWidth="1"/>
    <col min="15" max="15" width="9.88671875" style="1566" customWidth="1"/>
    <col min="16" max="16" width="9.77734375" style="1566" customWidth="1"/>
    <col min="17" max="17" width="9.33203125" style="1566" customWidth="1"/>
    <col min="18" max="18" width="9.21875" style="1566" customWidth="1"/>
    <col min="19" max="19" width="10.88671875" style="1566" customWidth="1"/>
    <col min="20" max="21" width="10.77734375" style="1566" customWidth="1"/>
    <col min="22" max="22" width="10.88671875" style="1566" customWidth="1"/>
    <col min="23" max="27" width="10.77734375" style="1566" customWidth="1"/>
    <col min="28" max="28" width="10.88671875" style="1566" customWidth="1"/>
    <col min="29" max="29" width="11" style="1566" bestFit="1" customWidth="1"/>
    <col min="30" max="30" width="10" style="1566" bestFit="1" customWidth="1"/>
    <col min="31" max="31" width="9.77734375" style="1566" customWidth="1"/>
    <col min="32" max="46" width="9.44140625" style="1566" customWidth="1"/>
    <col min="47" max="47" width="18.109375" style="1566" customWidth="1"/>
    <col min="48" max="50" width="9.77734375" style="1566" customWidth="1"/>
    <col min="51" max="55" width="10.44140625" style="1566" bestFit="1" customWidth="1"/>
    <col min="56" max="56" width="9.44140625" style="1566" bestFit="1" customWidth="1"/>
    <col min="57" max="63" width="9.109375" style="1566" bestFit="1" customWidth="1"/>
    <col min="64" max="64" width="9.44140625" style="1566" bestFit="1" customWidth="1"/>
    <col min="65" max="65" width="9.109375" style="1566" bestFit="1" customWidth="1"/>
    <col min="66" max="66" width="9.44140625" style="1566" bestFit="1" customWidth="1"/>
    <col min="67" max="69" width="9.109375" style="1566" bestFit="1" customWidth="1"/>
    <col min="70" max="70" width="9.44140625" style="1566" bestFit="1" customWidth="1"/>
    <col min="71" max="71" width="9" style="1566" customWidth="1"/>
    <col min="72" max="72" width="9.109375" style="1566" bestFit="1" customWidth="1"/>
    <col min="73" max="16384" width="8.88671875" style="1566"/>
  </cols>
  <sheetData>
    <row r="1" spans="1:72" ht="21">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3.2">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3.2">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3.2">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5.2">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3.2">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3.2">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3.2">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3.2">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3.2">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3.2">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3.2">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3.2">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3.2">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47" t="s">
        <v>0</v>
      </c>
      <c r="B1" s="3447" t="s">
        <v>4</v>
      </c>
      <c r="C1" s="3447" t="s">
        <v>5</v>
      </c>
      <c r="D1" s="3448" t="s">
        <v>53</v>
      </c>
      <c r="E1" s="3448" t="s">
        <v>54</v>
      </c>
      <c r="F1" s="3448"/>
      <c r="G1" s="3448"/>
      <c r="H1" s="3448"/>
      <c r="I1" s="3448"/>
      <c r="J1" s="3448"/>
      <c r="K1" s="3448"/>
      <c r="L1" s="3448"/>
      <c r="M1" s="3448"/>
    </row>
    <row r="2" spans="1:13" ht="27" customHeight="1">
      <c r="A2" s="3447"/>
      <c r="B2" s="3447"/>
      <c r="C2" s="3447"/>
      <c r="D2" s="3448"/>
      <c r="E2" s="3448" t="s">
        <v>37</v>
      </c>
      <c r="F2" s="3448" t="s">
        <v>38</v>
      </c>
      <c r="G2" s="3448"/>
      <c r="H2" s="3448"/>
      <c r="I2" s="3448"/>
      <c r="J2" s="3448" t="s">
        <v>39</v>
      </c>
      <c r="K2" s="3448"/>
      <c r="L2" s="3448"/>
      <c r="M2" s="3448"/>
    </row>
    <row r="3" spans="1:13" ht="46.8">
      <c r="A3" s="3447"/>
      <c r="B3" s="3447"/>
      <c r="C3" s="3447"/>
      <c r="D3" s="3448"/>
      <c r="E3" s="344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8" t="s">
        <v>55</v>
      </c>
      <c r="B9" s="3448"/>
      <c r="C9" s="34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1875" defaultRowHeight="13.8"/>
  <cols>
    <col min="1" max="1" width="12.109375" style="1631" customWidth="1"/>
    <col min="2" max="2" width="10.21875" style="1631" customWidth="1"/>
    <col min="3" max="3" width="18.44140625" style="1631" customWidth="1"/>
    <col min="4" max="4" width="11.6640625" style="1631" customWidth="1"/>
    <col min="5" max="5" width="13.33203125" style="1631" customWidth="1"/>
    <col min="6" max="8" width="11.44140625" style="1631" customWidth="1"/>
    <col min="9" max="9" width="11.109375" style="1631" customWidth="1"/>
    <col min="10" max="10" width="3.109375" style="2476" customWidth="1"/>
    <col min="11" max="16" width="10" style="1631" customWidth="1"/>
    <col min="17" max="17" width="2.6640625" style="1631" customWidth="1"/>
    <col min="18" max="18" width="9.33203125" style="1631" bestFit="1" customWidth="1"/>
    <col min="19" max="19" width="10.44140625" style="1631" bestFit="1" customWidth="1"/>
    <col min="20" max="16384" width="9.21875" style="1631"/>
  </cols>
  <sheetData>
    <row r="1" spans="1:16" ht="18" thickBot="1">
      <c r="A1" s="1630" t="s">
        <v>1379</v>
      </c>
      <c r="B1" s="1145"/>
      <c r="C1" s="1145"/>
      <c r="D1" s="1145"/>
      <c r="E1" s="1145"/>
      <c r="F1" s="1145"/>
      <c r="G1" s="1145"/>
      <c r="H1" s="1145"/>
      <c r="I1" s="1145"/>
      <c r="J1" s="1145"/>
      <c r="K1" s="1145"/>
      <c r="L1" s="1145"/>
      <c r="M1" s="1145"/>
      <c r="N1" s="1145"/>
      <c r="O1" s="1145"/>
      <c r="P1" s="1145"/>
    </row>
    <row r="2" spans="1:16" ht="14.4">
      <c r="A2" s="3458" t="s">
        <v>1380</v>
      </c>
      <c r="B2" s="3458"/>
      <c r="C2" s="3458"/>
      <c r="D2" s="810" t="s">
        <v>1356</v>
      </c>
      <c r="E2" s="1632" t="s">
        <v>1357</v>
      </c>
      <c r="F2" s="2486"/>
      <c r="G2" s="2477"/>
      <c r="H2" s="2478"/>
      <c r="I2" s="2148" t="s">
        <v>1381</v>
      </c>
      <c r="J2" s="2486"/>
      <c r="K2" s="2486"/>
      <c r="L2" s="2486"/>
      <c r="M2" s="2486"/>
      <c r="N2" s="2488"/>
      <c r="O2" s="2486"/>
      <c r="P2" s="2486"/>
    </row>
    <row r="3" spans="1:16" ht="15" thickBot="1">
      <c r="A3" s="3459" t="s">
        <v>1354</v>
      </c>
      <c r="B3" s="3459"/>
      <c r="C3" s="3459"/>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4.4">
      <c r="A4" s="3460"/>
      <c r="B4" s="3461"/>
      <c r="C4" s="3462"/>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ht="14.4">
      <c r="A5" s="46" t="s">
        <v>1358</v>
      </c>
      <c r="B5" s="3463" t="s">
        <v>1359</v>
      </c>
      <c r="C5" s="3463"/>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3" t="s">
        <v>1360</v>
      </c>
      <c r="C6" s="3463"/>
      <c r="D6" s="47" t="e">
        <f>ROUND($D$3*E6/$E$3,2)</f>
        <v>#DIV/0!</v>
      </c>
      <c r="E6" s="48">
        <f>E3-E5</f>
        <v>0</v>
      </c>
      <c r="F6" s="2486"/>
      <c r="G6" s="2480" t="s">
        <v>1361</v>
      </c>
      <c r="H6" s="1152" t="s">
        <v>1362</v>
      </c>
      <c r="I6" s="2481" t="e">
        <f>ROUND(F31/D31,2)</f>
        <v>#DIV/0!</v>
      </c>
      <c r="J6" s="2486"/>
      <c r="K6" s="2486"/>
      <c r="L6" s="2486"/>
      <c r="M6" s="2486"/>
      <c r="N6" s="2486"/>
      <c r="O6" s="2486"/>
      <c r="P6" s="2486"/>
    </row>
    <row r="7" spans="1:16" ht="15" thickBot="1">
      <c r="A7" s="3455"/>
      <c r="B7" s="3456"/>
      <c r="C7" s="3457"/>
      <c r="D7" s="1634" t="s">
        <v>1356</v>
      </c>
      <c r="E7" s="1638" t="s">
        <v>1363</v>
      </c>
      <c r="F7" s="2486"/>
      <c r="G7" s="2482" t="s">
        <v>1364</v>
      </c>
      <c r="H7" s="2483"/>
      <c r="I7" s="2484"/>
      <c r="J7" s="2486"/>
      <c r="K7" s="2486"/>
      <c r="L7" s="2486"/>
      <c r="M7" s="2486"/>
      <c r="N7" s="2486"/>
      <c r="O7" s="2486"/>
      <c r="P7" s="2486"/>
    </row>
    <row r="8" spans="1:16" ht="14.4">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ht="14.4">
      <c r="A9" s="1639"/>
      <c r="B9" s="1640"/>
      <c r="C9" s="47" t="s">
        <v>1368</v>
      </c>
      <c r="D9" s="47" t="e">
        <f t="shared" si="0"/>
        <v>#DIV/0!</v>
      </c>
      <c r="E9" s="51">
        <v>0</v>
      </c>
      <c r="F9" s="2486"/>
      <c r="G9" s="2487"/>
      <c r="H9" s="2487"/>
      <c r="I9" s="2486"/>
      <c r="J9" s="2486"/>
      <c r="K9" s="2486"/>
      <c r="L9" s="2486"/>
      <c r="M9" s="2486"/>
      <c r="N9" s="2486"/>
      <c r="O9" s="2486"/>
      <c r="P9" s="2486"/>
    </row>
    <row r="10" spans="1:16" ht="14.4">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ht="14.4">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ht="14.4">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ht="14.4">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ht="14.4">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 thickBot="1">
      <c r="A16" s="1637"/>
      <c r="B16" s="1640"/>
      <c r="C16" s="49" t="s">
        <v>1372</v>
      </c>
      <c r="D16" s="49" t="e">
        <f>SUM(D8:D15)</f>
        <v>#DIV/0!</v>
      </c>
      <c r="E16" s="52">
        <f>SUM(E8:E15)</f>
        <v>0</v>
      </c>
      <c r="F16" s="2486"/>
      <c r="G16" s="2487"/>
      <c r="H16" s="1641" t="s">
        <v>1384</v>
      </c>
      <c r="I16" s="1642"/>
      <c r="J16" s="1145"/>
      <c r="K16" s="3452" t="s">
        <v>1384</v>
      </c>
      <c r="L16" s="3453"/>
      <c r="M16" s="3453"/>
      <c r="N16" s="3453"/>
      <c r="O16" s="3453"/>
      <c r="P16" s="3454"/>
    </row>
    <row r="17" spans="1:19" ht="14.4">
      <c r="A17" s="1643" t="s">
        <v>1385</v>
      </c>
      <c r="B17" s="1644" t="s">
        <v>1386</v>
      </c>
      <c r="C17" s="1645" t="s">
        <v>1387</v>
      </c>
      <c r="D17" s="1646" t="s">
        <v>1375</v>
      </c>
      <c r="E17" s="1647" t="s">
        <v>1376</v>
      </c>
      <c r="F17" s="1648"/>
      <c r="G17" s="1649"/>
      <c r="H17" s="1650" t="s">
        <v>1388</v>
      </c>
      <c r="I17" s="1651" t="s">
        <v>1373</v>
      </c>
      <c r="J17" s="1145"/>
      <c r="K17" s="3449" t="s">
        <v>1389</v>
      </c>
      <c r="L17" s="3450"/>
      <c r="M17" s="3451"/>
      <c r="N17" s="3449" t="s">
        <v>1390</v>
      </c>
      <c r="O17" s="3450"/>
      <c r="P17" s="3451"/>
      <c r="R17" s="1633" t="s">
        <v>1391</v>
      </c>
      <c r="S17" s="59"/>
    </row>
    <row r="18" spans="1:19" ht="14.4">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ht="14.4">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ht="14.4">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ht="14.4">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ht="14.4">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ht="14.4">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ht="14.4">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ht="14.4">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ht="14.4">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ht="14.4">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ht="14.4">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4.4">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ht="14.4">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7734375" defaultRowHeight="13.2"/>
  <cols>
    <col min="1" max="1" width="20.88671875" style="1739" customWidth="1"/>
    <col min="2" max="2" width="12" style="1676" customWidth="1"/>
    <col min="3" max="3" width="12.77734375" style="1676" customWidth="1"/>
    <col min="4" max="4" width="9.109375" style="1740" customWidth="1"/>
    <col min="5" max="5" width="15" style="1676" bestFit="1" customWidth="1"/>
    <col min="6" max="10" width="8.88671875" style="1676" customWidth="1"/>
    <col min="11" max="12" width="12.33203125" style="1594" customWidth="1"/>
    <col min="13" max="13" width="8.6640625" style="1676" customWidth="1"/>
    <col min="14" max="14" width="11.88671875" style="1676" customWidth="1"/>
    <col min="15" max="15" width="8.44140625" style="1676" customWidth="1"/>
    <col min="16" max="17" width="10.88671875" style="1676" customWidth="1"/>
    <col min="18" max="19" width="12.44140625" style="1676" customWidth="1"/>
    <col min="20" max="20" width="12.109375" style="1676" customWidth="1"/>
    <col min="21" max="21" width="7.44140625" style="1676" customWidth="1"/>
    <col min="22" max="22" width="6.33203125" style="1676" customWidth="1"/>
    <col min="23" max="30" width="6.77734375" style="1676" customWidth="1"/>
    <col min="31" max="31" width="8" style="1676" customWidth="1"/>
    <col min="32" max="34" width="7.21875" style="1676" customWidth="1"/>
    <col min="35" max="39" width="8" style="1676" customWidth="1"/>
    <col min="40" max="40" width="13.77734375" style="1675"/>
    <col min="41" max="41" width="11.6640625" style="1675" customWidth="1"/>
    <col min="42" max="42" width="9.77734375" style="1675" customWidth="1"/>
    <col min="43" max="67" width="13.77734375" style="1675"/>
    <col min="68" max="16384" width="13.77734375" style="1676"/>
  </cols>
  <sheetData>
    <row r="1" spans="1:67" ht="18"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 thickBot="1">
      <c r="A2" s="1677" t="s">
        <v>1410</v>
      </c>
      <c r="B2" s="1055">
        <f>项目基本情况!D3</f>
        <v>44680</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4.4"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57.6">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3.8">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3.8">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3.8">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3.8">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3.8">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3.8">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3.8">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3.8">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4">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8.8">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8"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4">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4">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4">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4">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4">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4.4"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8.8">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8.8">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9.4"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8.8">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8.8">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9.4"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4">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4">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4">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4">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4">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4">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4.4"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4">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4">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4">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4">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4">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4">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4">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4">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4">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8.8">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4">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4">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4">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4">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4">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4">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4">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4">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4">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0" customWidth="1"/>
    <col min="2" max="2" width="24.44140625" style="1565" customWidth="1"/>
    <col min="3" max="3" width="24.44140625" style="2336" customWidth="1"/>
    <col min="4" max="4" width="2.6640625" style="2336" customWidth="1"/>
    <col min="5" max="5" width="5.88671875" style="2336" customWidth="1"/>
    <col min="6" max="6" width="27" style="1565" customWidth="1"/>
    <col min="7" max="7" width="27" style="2337" customWidth="1"/>
    <col min="8" max="8" width="11.88671875" style="2317" customWidth="1"/>
    <col min="9" max="9" width="16.77734375" style="2318" customWidth="1"/>
    <col min="10" max="10" width="2.6640625" style="2317" customWidth="1"/>
    <col min="11" max="11" width="11.88671875" style="2317" customWidth="1"/>
    <col min="12" max="12" width="16.77734375" style="2318" customWidth="1"/>
    <col min="13" max="13" width="2.6640625" style="2317" customWidth="1"/>
    <col min="14" max="14" width="11.88671875" style="2317" customWidth="1"/>
    <col min="15" max="15" width="16.77734375" style="2318" customWidth="1"/>
    <col min="16" max="16" width="2.6640625" style="2317" customWidth="1"/>
    <col min="17" max="17" width="11.88671875" style="2317" customWidth="1"/>
    <col min="18" max="18" width="16.77734375" style="2319" customWidth="1"/>
    <col min="19" max="29" width="9" style="813"/>
    <col min="30" max="16384" width="9" style="1680"/>
  </cols>
  <sheetData>
    <row r="1" spans="1:29" s="2283" customFormat="1" ht="18" thickBot="1">
      <c r="A1" s="3464" t="s">
        <v>2574</v>
      </c>
      <c r="B1" s="3465"/>
      <c r="C1" s="3465"/>
      <c r="D1" s="3465"/>
      <c r="E1" s="3465"/>
      <c r="F1" s="3465"/>
      <c r="G1" s="3465"/>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4.4"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7.200000000000003">
      <c r="A4" s="2268"/>
      <c r="B4" s="325" t="s">
        <v>2542</v>
      </c>
      <c r="C4" s="2294" t="s">
        <v>2543</v>
      </c>
      <c r="D4" s="2291"/>
      <c r="E4" s="2295"/>
      <c r="F4" s="1365" t="s">
        <v>2544</v>
      </c>
      <c r="G4" s="2296" t="s">
        <v>2545</v>
      </c>
      <c r="H4" s="813"/>
      <c r="I4" s="813"/>
      <c r="J4" s="813"/>
      <c r="K4" s="813"/>
      <c r="L4" s="813"/>
      <c r="M4" s="813"/>
      <c r="N4" s="813"/>
      <c r="O4" s="813"/>
      <c r="P4" s="813"/>
      <c r="Q4" s="813"/>
      <c r="R4" s="813"/>
    </row>
    <row r="5" spans="1:29" ht="37.200000000000003">
      <c r="A5" s="2268"/>
      <c r="B5" s="325" t="s">
        <v>2546</v>
      </c>
      <c r="C5" s="2294" t="s">
        <v>2547</v>
      </c>
      <c r="D5" s="2291"/>
      <c r="E5" s="2295"/>
      <c r="F5" s="325" t="s">
        <v>2548</v>
      </c>
      <c r="G5" s="2296" t="s">
        <v>2549</v>
      </c>
      <c r="H5" s="813"/>
      <c r="I5" s="813"/>
      <c r="J5" s="813"/>
      <c r="K5" s="813"/>
      <c r="L5" s="813"/>
      <c r="M5" s="813"/>
      <c r="N5" s="813"/>
      <c r="O5" s="813"/>
      <c r="P5" s="813"/>
      <c r="Q5" s="813"/>
      <c r="R5" s="813"/>
    </row>
    <row r="6" spans="1:29" ht="48">
      <c r="A6" s="2268"/>
      <c r="B6" s="325" t="s">
        <v>2550</v>
      </c>
      <c r="C6" s="2296" t="s">
        <v>2545</v>
      </c>
      <c r="D6" s="2291"/>
      <c r="E6" s="2295"/>
      <c r="F6" s="325" t="s">
        <v>2551</v>
      </c>
      <c r="G6" s="2296" t="s">
        <v>2552</v>
      </c>
      <c r="H6" s="813"/>
      <c r="I6" s="813"/>
      <c r="J6" s="813"/>
      <c r="K6" s="813"/>
      <c r="L6" s="813"/>
      <c r="M6" s="813"/>
      <c r="N6" s="813"/>
      <c r="O6" s="813"/>
      <c r="P6" s="813"/>
      <c r="Q6" s="813"/>
      <c r="R6" s="813"/>
    </row>
    <row r="7" spans="1:29" ht="36.6"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ht="24">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4.4"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7.399999999999999">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 thickBot="1">
      <c r="A13" s="2316" t="s">
        <v>2575</v>
      </c>
      <c r="B13" s="2310"/>
      <c r="C13" s="2310"/>
      <c r="D13" s="2308"/>
      <c r="E13" s="2310"/>
      <c r="F13" s="2310"/>
      <c r="G13" s="2310"/>
    </row>
    <row r="14" spans="1:29" ht="14.4" thickBot="1">
      <c r="A14" s="2320"/>
      <c r="B14" s="2320"/>
      <c r="C14" s="2321" t="s">
        <v>2558</v>
      </c>
      <c r="D14" s="2291"/>
      <c r="E14" s="2322"/>
      <c r="F14" s="2322"/>
      <c r="G14" s="2286" t="s">
        <v>2559</v>
      </c>
    </row>
    <row r="15" spans="1:29" ht="52.8">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9.6">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9.6">
      <c r="A17" s="2272"/>
      <c r="B17" s="2326" t="s">
        <v>2546</v>
      </c>
      <c r="C17" s="2327" t="str">
        <f>C5</f>
        <v>估价对象位于XX商圈，周边办公楼项目较多，入驻率高，办公集聚程度较好</v>
      </c>
      <c r="D17" s="2297"/>
      <c r="E17" s="2273"/>
      <c r="F17" s="2328" t="s">
        <v>2563</v>
      </c>
      <c r="G17" s="2330"/>
    </row>
    <row r="18" spans="1:18" ht="52.8">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6.4">
      <c r="A19" s="2272"/>
      <c r="B19" s="2328" t="s">
        <v>2564</v>
      </c>
      <c r="C19" s="2330"/>
      <c r="D19" s="2291"/>
      <c r="E19" s="2273"/>
      <c r="F19" s="325" t="s">
        <v>2548</v>
      </c>
      <c r="G19" s="2329" t="str">
        <f>G5</f>
        <v>估价对象所在区域公共配套设施齐备情况</v>
      </c>
    </row>
    <row r="20" spans="1:18" ht="26.4">
      <c r="A20" s="2272"/>
      <c r="B20" s="2328" t="s">
        <v>2565</v>
      </c>
      <c r="C20" s="2327" t="str">
        <f>C9</f>
        <v>区域自然环境：；人文环境；综合评价环境状况一般</v>
      </c>
      <c r="D20" s="2297"/>
      <c r="E20" s="2273"/>
      <c r="F20" s="325" t="s">
        <v>2551</v>
      </c>
      <c r="G20" s="2329" t="str">
        <f>G6</f>
        <v>估价对象所在区域基础设施水平</v>
      </c>
    </row>
    <row r="21" spans="1:18" ht="26.4">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4.4"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4.4"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39" customWidth="1"/>
    <col min="2" max="9" width="15.77734375" style="2339" customWidth="1"/>
    <col min="10" max="16384" width="9" style="2339"/>
  </cols>
  <sheetData>
    <row r="1" spans="1:11" ht="16.2">
      <c r="A1" s="2338" t="s">
        <v>903</v>
      </c>
      <c r="B1" s="2338">
        <f>SUM(B14:B23)</f>
        <v>0</v>
      </c>
      <c r="C1" s="2513"/>
      <c r="D1" s="2513"/>
      <c r="E1" s="2513"/>
      <c r="F1" s="2513"/>
      <c r="G1" s="2514"/>
      <c r="H1" s="2515"/>
      <c r="I1" s="2515"/>
      <c r="J1" s="2515"/>
      <c r="K1" s="2515"/>
    </row>
    <row r="2" spans="1:11" ht="16.2">
      <c r="A2" s="2338" t="s">
        <v>891</v>
      </c>
      <c r="B2" s="2338" t="e">
        <f>SUM(C14:C23)</f>
        <v>#DIV/0!</v>
      </c>
      <c r="C2" s="2513"/>
      <c r="D2" s="2513"/>
      <c r="E2" s="2513"/>
      <c r="F2" s="2513"/>
      <c r="G2" s="2514"/>
      <c r="H2" s="2515"/>
      <c r="I2" s="2515"/>
      <c r="J2" s="2515"/>
      <c r="K2" s="2515"/>
    </row>
    <row r="3" spans="1:11" ht="15.6">
      <c r="A3" s="2338" t="s">
        <v>900</v>
      </c>
      <c r="B3" s="2340">
        <f>项目基本情况!D3</f>
        <v>44680</v>
      </c>
      <c r="C3" s="2513"/>
      <c r="D3" s="2513"/>
      <c r="E3" s="2513"/>
      <c r="F3" s="2513"/>
      <c r="G3" s="2514"/>
      <c r="H3" s="2515"/>
      <c r="I3" s="2515"/>
      <c r="J3" s="2515"/>
      <c r="K3" s="2515"/>
    </row>
    <row r="4" spans="1:11" ht="31.2">
      <c r="A4" s="2338" t="s">
        <v>899</v>
      </c>
      <c r="B4" s="2338" t="s">
        <v>898</v>
      </c>
      <c r="C4" s="2338" t="s">
        <v>897</v>
      </c>
      <c r="D4" s="2338" t="s">
        <v>896</v>
      </c>
      <c r="E4" s="2513"/>
      <c r="F4" s="2514"/>
      <c r="G4" s="2514"/>
      <c r="H4" s="2515"/>
      <c r="I4" s="2515"/>
      <c r="J4" s="2515"/>
      <c r="K4" s="2515"/>
    </row>
    <row r="5" spans="1:11" ht="15.6">
      <c r="A5" s="2338" t="s">
        <v>895</v>
      </c>
      <c r="B5" s="2338" t="e">
        <f ca="1">SUM(D14:D23)</f>
        <v>#REF!</v>
      </c>
      <c r="C5" s="2338" t="e">
        <f ca="1">ROUND(B5*10000/$B$1,0)</f>
        <v>#REF!</v>
      </c>
      <c r="D5" s="2338" t="e">
        <f ca="1">ROUND(B5*10000/$B$2,0)</f>
        <v>#REF!</v>
      </c>
      <c r="E5" s="2513"/>
      <c r="F5" s="2514"/>
      <c r="G5" s="2514"/>
      <c r="H5" s="2515"/>
      <c r="I5" s="2515"/>
      <c r="J5" s="2515"/>
      <c r="K5" s="2515"/>
    </row>
    <row r="6" spans="1:11" ht="15.6">
      <c r="A6" s="2338" t="s">
        <v>894</v>
      </c>
      <c r="B6" s="2338" t="e">
        <f ca="1">SUM(G14:G23)</f>
        <v>#REF!</v>
      </c>
      <c r="C6" s="2338" t="e">
        <f ca="1">ROUND(B6*10000/$B$1,0)</f>
        <v>#REF!</v>
      </c>
      <c r="D6" s="2338" t="e">
        <f ca="1">ROUND(B6*10000/$B$2,0)</f>
        <v>#REF!</v>
      </c>
      <c r="E6" s="2513"/>
      <c r="F6" s="2514"/>
      <c r="G6" s="2514"/>
      <c r="H6" s="2515"/>
      <c r="I6" s="2515"/>
      <c r="J6" s="2515"/>
      <c r="K6" s="2515"/>
    </row>
    <row r="7" spans="1:11" ht="15.6">
      <c r="A7" s="2338" t="s">
        <v>902</v>
      </c>
      <c r="B7" s="2338">
        <f>SUM(H14:H23)</f>
        <v>0</v>
      </c>
      <c r="C7" s="2338" t="e">
        <f>ROUND(B7*10000/$B$1,0)</f>
        <v>#DIV/0!</v>
      </c>
      <c r="D7" s="2338" t="e">
        <f>ROUND(B7*10000/$B$2,0)</f>
        <v>#DIV/0!</v>
      </c>
      <c r="E7" s="2513"/>
      <c r="F7" s="2514"/>
      <c r="G7" s="2514"/>
      <c r="H7" s="2515"/>
      <c r="I7" s="2515"/>
      <c r="J7" s="2515"/>
      <c r="K7" s="2515"/>
    </row>
    <row r="8" spans="1:11" ht="15.6">
      <c r="A8" s="2338" t="s">
        <v>825</v>
      </c>
      <c r="B8" s="2338">
        <f>SUM(I14:I23)</f>
        <v>0</v>
      </c>
      <c r="C8" s="2338" t="e">
        <f>ROUND(B8*10000/$B$1,0)</f>
        <v>#DIV/0!</v>
      </c>
      <c r="D8" s="2338" t="e">
        <f>ROUND(B8*10000/$B$2,0)</f>
        <v>#DIV/0!</v>
      </c>
      <c r="E8" s="2513"/>
      <c r="F8" s="2514"/>
      <c r="G8" s="2514"/>
      <c r="H8" s="2515"/>
      <c r="I8" s="2515"/>
      <c r="J8" s="2515"/>
      <c r="K8" s="2515"/>
    </row>
    <row r="9" spans="1:11" ht="15.6">
      <c r="A9" s="2338" t="s">
        <v>893</v>
      </c>
      <c r="B9" s="2346"/>
      <c r="C9" s="2513"/>
      <c r="D9" s="2513"/>
      <c r="E9" s="2513"/>
      <c r="F9" s="2514"/>
      <c r="G9" s="2514"/>
      <c r="H9" s="2515"/>
      <c r="I9" s="2515"/>
      <c r="J9" s="2515"/>
      <c r="K9" s="2515"/>
    </row>
    <row r="10" spans="1:11" ht="15.6">
      <c r="A10" s="2338" t="s">
        <v>892</v>
      </c>
      <c r="B10" s="2346"/>
      <c r="C10" s="2513"/>
      <c r="D10" s="2513"/>
      <c r="E10" s="2513"/>
      <c r="F10" s="2514"/>
      <c r="G10" s="2514"/>
      <c r="H10" s="2515"/>
      <c r="I10" s="2515"/>
      <c r="J10" s="2515"/>
      <c r="K10" s="2515"/>
    </row>
    <row r="11" spans="1:11" ht="15.6">
      <c r="A11" s="2338" t="s">
        <v>908</v>
      </c>
      <c r="B11" s="2346"/>
      <c r="C11" s="2513"/>
      <c r="D11" s="2513"/>
      <c r="E11" s="2513"/>
      <c r="F11" s="2514"/>
      <c r="G11" s="2514"/>
      <c r="H11" s="2515"/>
      <c r="I11" s="2515"/>
      <c r="J11" s="2515"/>
      <c r="K11" s="2515"/>
    </row>
    <row r="12" spans="1:11" ht="15.6">
      <c r="A12" s="2513"/>
      <c r="B12" s="2513"/>
      <c r="C12" s="2513"/>
      <c r="D12" s="2513"/>
      <c r="E12" s="2513"/>
      <c r="F12" s="2514"/>
      <c r="G12" s="2514"/>
      <c r="H12" s="2515"/>
      <c r="I12" s="2515"/>
      <c r="J12" s="2515"/>
      <c r="K12" s="2515"/>
    </row>
    <row r="13" spans="1:11" ht="31.8">
      <c r="A13" s="2341" t="s">
        <v>907</v>
      </c>
      <c r="B13" s="2342" t="s">
        <v>904</v>
      </c>
      <c r="C13" s="2342" t="s">
        <v>906</v>
      </c>
      <c r="D13" s="2342" t="s">
        <v>905</v>
      </c>
      <c r="E13" s="2338" t="s">
        <v>897</v>
      </c>
      <c r="F13" s="2338" t="s">
        <v>896</v>
      </c>
      <c r="G13" s="2342" t="s">
        <v>890</v>
      </c>
      <c r="H13" s="2342" t="s">
        <v>901</v>
      </c>
      <c r="I13" s="2342" t="s">
        <v>889</v>
      </c>
      <c r="J13" s="2514"/>
      <c r="K13" s="2515"/>
    </row>
    <row r="14" spans="1:11" ht="15.6">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5.6">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5.6">
      <c r="A16" s="2343" t="s">
        <v>886</v>
      </c>
      <c r="B16" s="2345"/>
      <c r="C16" s="2345"/>
      <c r="D16" s="2345"/>
      <c r="E16" s="2344" t="e">
        <f t="shared" si="0"/>
        <v>#DIV/0!</v>
      </c>
      <c r="F16" s="2344" t="e">
        <f t="shared" si="1"/>
        <v>#DIV/0!</v>
      </c>
      <c r="G16" s="1327"/>
      <c r="H16" s="1327"/>
      <c r="I16" s="2345"/>
      <c r="J16" s="2515"/>
      <c r="K16" s="2515"/>
    </row>
    <row r="17" spans="1:11" ht="15.6">
      <c r="A17" s="2343" t="s">
        <v>885</v>
      </c>
      <c r="B17" s="2345"/>
      <c r="C17" s="2345"/>
      <c r="D17" s="2345"/>
      <c r="E17" s="2344" t="e">
        <f t="shared" si="0"/>
        <v>#DIV/0!</v>
      </c>
      <c r="F17" s="2344" t="e">
        <f t="shared" si="1"/>
        <v>#DIV/0!</v>
      </c>
      <c r="G17" s="1327"/>
      <c r="H17" s="1327"/>
      <c r="I17" s="2345"/>
      <c r="J17" s="2515"/>
      <c r="K17" s="2515"/>
    </row>
    <row r="18" spans="1:11" ht="15.6">
      <c r="A18" s="2343" t="s">
        <v>884</v>
      </c>
      <c r="B18" s="2345"/>
      <c r="C18" s="2345"/>
      <c r="D18" s="2345"/>
      <c r="E18" s="2344" t="e">
        <f t="shared" si="0"/>
        <v>#DIV/0!</v>
      </c>
      <c r="F18" s="2344" t="e">
        <f t="shared" si="1"/>
        <v>#DIV/0!</v>
      </c>
      <c r="G18" s="2345"/>
      <c r="H18" s="2345"/>
      <c r="I18" s="2345"/>
      <c r="J18" s="2515"/>
      <c r="K18" s="2515"/>
    </row>
    <row r="19" spans="1:11" ht="15.6">
      <c r="A19" s="2343" t="s">
        <v>883</v>
      </c>
      <c r="B19" s="2345"/>
      <c r="C19" s="2345"/>
      <c r="D19" s="2345"/>
      <c r="E19" s="2344" t="e">
        <f t="shared" si="0"/>
        <v>#DIV/0!</v>
      </c>
      <c r="F19" s="2344" t="e">
        <f t="shared" si="1"/>
        <v>#DIV/0!</v>
      </c>
      <c r="G19" s="2345"/>
      <c r="H19" s="2345"/>
      <c r="I19" s="2345"/>
      <c r="J19" s="2515"/>
      <c r="K19" s="2515"/>
    </row>
    <row r="20" spans="1:11" ht="15.6">
      <c r="A20" s="2343" t="s">
        <v>882</v>
      </c>
      <c r="B20" s="2345"/>
      <c r="C20" s="2345"/>
      <c r="D20" s="2345"/>
      <c r="E20" s="2344" t="e">
        <f t="shared" si="0"/>
        <v>#DIV/0!</v>
      </c>
      <c r="F20" s="2344" t="e">
        <f t="shared" si="1"/>
        <v>#DIV/0!</v>
      </c>
      <c r="G20" s="2345"/>
      <c r="H20" s="2345"/>
      <c r="I20" s="2345"/>
      <c r="J20" s="2515"/>
      <c r="K20" s="2515"/>
    </row>
    <row r="21" spans="1:11" ht="15.6">
      <c r="A21" s="2343" t="s">
        <v>881</v>
      </c>
      <c r="B21" s="2345"/>
      <c r="C21" s="2345"/>
      <c r="D21" s="2345"/>
      <c r="E21" s="2344" t="e">
        <f t="shared" si="0"/>
        <v>#DIV/0!</v>
      </c>
      <c r="F21" s="2344" t="e">
        <f t="shared" si="1"/>
        <v>#DIV/0!</v>
      </c>
      <c r="G21" s="2345"/>
      <c r="H21" s="2345"/>
      <c r="I21" s="2345"/>
      <c r="J21" s="2515"/>
      <c r="K21" s="2515"/>
    </row>
    <row r="22" spans="1:11" ht="15.6">
      <c r="A22" s="2343" t="s">
        <v>880</v>
      </c>
      <c r="B22" s="2345"/>
      <c r="C22" s="2345"/>
      <c r="D22" s="2345"/>
      <c r="E22" s="2344" t="e">
        <f t="shared" si="0"/>
        <v>#DIV/0!</v>
      </c>
      <c r="F22" s="2344" t="e">
        <f t="shared" si="1"/>
        <v>#DIV/0!</v>
      </c>
      <c r="G22" s="2345"/>
      <c r="H22" s="2345"/>
      <c r="I22" s="2345"/>
      <c r="J22" s="2515"/>
      <c r="K22" s="2515"/>
    </row>
    <row r="23" spans="1:11" ht="15.6">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640625" defaultRowHeight="21.75" customHeight="1"/>
  <cols>
    <col min="1" max="2" width="12.6640625" style="1747"/>
    <col min="3" max="4" width="12.6640625" style="1747" customWidth="1"/>
    <col min="5" max="9" width="12.6640625" style="1747"/>
    <col min="10" max="11" width="12.6640625" style="729" customWidth="1"/>
    <col min="12" max="12" width="12.6640625" style="729"/>
    <col min="13" max="13" width="14.109375" style="729" bestFit="1" customWidth="1"/>
    <col min="14" max="26" width="12.6640625" style="729"/>
    <col min="27" max="35" width="12.6640625" style="1746"/>
    <col min="36" max="16384" width="12.6640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36" t="str">
        <f>项目基本情况!S2</f>
        <v>北京市房地产</v>
      </c>
      <c r="B2" s="3537"/>
      <c r="C2" s="3537"/>
      <c r="D2" s="3537"/>
      <c r="E2" s="3537"/>
      <c r="F2" s="3537"/>
      <c r="G2" s="3537"/>
      <c r="H2" s="3537"/>
      <c r="I2" s="3538"/>
    </row>
    <row r="3" spans="1:12" ht="13.2">
      <c r="A3" s="3540" t="s">
        <v>1514</v>
      </c>
      <c r="B3" s="3541"/>
      <c r="C3" s="3541"/>
      <c r="D3" s="3541"/>
      <c r="E3" s="3541"/>
      <c r="F3" s="3541"/>
      <c r="G3" s="3541"/>
      <c r="H3" s="3541"/>
      <c r="I3" s="3541"/>
    </row>
    <row r="4" spans="1:12" ht="14.4">
      <c r="A4" s="1748" t="s">
        <v>1515</v>
      </c>
      <c r="B4" s="1749" t="s">
        <v>1516</v>
      </c>
      <c r="C4" s="1750"/>
      <c r="D4" s="1750"/>
      <c r="E4" s="3545" t="s">
        <v>1517</v>
      </c>
      <c r="F4" s="3546"/>
      <c r="G4" s="3546"/>
      <c r="H4" s="3546"/>
      <c r="I4" s="3547"/>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81" t="s">
        <v>1518</v>
      </c>
      <c r="B5" s="3539">
        <v>25</v>
      </c>
      <c r="C5" s="3542"/>
      <c r="D5" s="3530"/>
      <c r="E5" s="135" t="s">
        <v>1519</v>
      </c>
      <c r="F5" s="1751"/>
      <c r="G5" s="1751"/>
      <c r="H5" s="1751"/>
      <c r="I5" s="1365"/>
    </row>
    <row r="6" spans="1:12" ht="13.2">
      <c r="A6" s="3481"/>
      <c r="B6" s="3539"/>
      <c r="C6" s="3544"/>
      <c r="D6" s="3530"/>
      <c r="E6" s="135" t="s">
        <v>1520</v>
      </c>
      <c r="F6" s="1751"/>
      <c r="G6" s="1751"/>
      <c r="H6" s="1751"/>
      <c r="I6" s="1365"/>
    </row>
    <row r="7" spans="1:12" ht="13.2">
      <c r="A7" s="3481"/>
      <c r="B7" s="3539"/>
      <c r="C7" s="3543"/>
      <c r="D7" s="3530"/>
      <c r="E7" s="135" t="s">
        <v>1521</v>
      </c>
      <c r="F7" s="1751"/>
      <c r="G7" s="1751"/>
      <c r="H7" s="1751"/>
      <c r="I7" s="1365"/>
    </row>
    <row r="8" spans="1:12" ht="13.2">
      <c r="A8" s="3481" t="s">
        <v>1522</v>
      </c>
      <c r="B8" s="3539">
        <v>15</v>
      </c>
      <c r="C8" s="3542"/>
      <c r="D8" s="3530"/>
      <c r="E8" s="135" t="s">
        <v>1523</v>
      </c>
      <c r="F8" s="1751"/>
      <c r="G8" s="1751"/>
      <c r="H8" s="1751"/>
      <c r="I8" s="1365"/>
    </row>
    <row r="9" spans="1:12" ht="13.2">
      <c r="A9" s="3481"/>
      <c r="B9" s="3539"/>
      <c r="C9" s="3543"/>
      <c r="D9" s="3530"/>
      <c r="E9" s="135" t="s">
        <v>1524</v>
      </c>
      <c r="F9" s="1751"/>
      <c r="G9" s="1751"/>
      <c r="H9" s="1751"/>
      <c r="I9" s="1365"/>
    </row>
    <row r="10" spans="1:12" ht="13.2">
      <c r="A10" s="3481" t="s">
        <v>1525</v>
      </c>
      <c r="B10" s="3539">
        <v>15</v>
      </c>
      <c r="C10" s="3542"/>
      <c r="D10" s="3530"/>
      <c r="E10" s="135" t="s">
        <v>1526</v>
      </c>
      <c r="F10" s="1751"/>
      <c r="G10" s="1751"/>
      <c r="H10" s="1751"/>
      <c r="I10" s="1365"/>
    </row>
    <row r="11" spans="1:12" ht="13.2">
      <c r="A11" s="3481"/>
      <c r="B11" s="3539"/>
      <c r="C11" s="3543"/>
      <c r="D11" s="3530"/>
      <c r="E11" s="135" t="s">
        <v>1527</v>
      </c>
      <c r="F11" s="1751"/>
      <c r="G11" s="1751"/>
      <c r="H11" s="1751"/>
      <c r="I11" s="1365"/>
    </row>
    <row r="12" spans="1:12" ht="13.2">
      <c r="A12" s="3481" t="s">
        <v>1528</v>
      </c>
      <c r="B12" s="3539">
        <v>15</v>
      </c>
      <c r="C12" s="3542"/>
      <c r="D12" s="3530"/>
      <c r="E12" s="135" t="s">
        <v>1529</v>
      </c>
      <c r="F12" s="1751"/>
      <c r="G12" s="1751"/>
      <c r="H12" s="1751"/>
      <c r="I12" s="1365"/>
    </row>
    <row r="13" spans="1:12" ht="13.2">
      <c r="A13" s="3481"/>
      <c r="B13" s="3539"/>
      <c r="C13" s="3543"/>
      <c r="D13" s="3530"/>
      <c r="E13" s="135" t="s">
        <v>1530</v>
      </c>
      <c r="F13" s="1751"/>
      <c r="G13" s="1751"/>
      <c r="H13" s="1751"/>
      <c r="I13" s="1365"/>
    </row>
    <row r="14" spans="1:12" ht="13.2">
      <c r="A14" s="3481" t="s">
        <v>1531</v>
      </c>
      <c r="B14" s="3539">
        <v>30</v>
      </c>
      <c r="C14" s="3542"/>
      <c r="D14" s="3530"/>
      <c r="E14" s="135" t="s">
        <v>1532</v>
      </c>
      <c r="F14" s="1751"/>
      <c r="G14" s="1751"/>
      <c r="H14" s="1751"/>
      <c r="I14" s="1365"/>
    </row>
    <row r="15" spans="1:12" ht="13.2">
      <c r="A15" s="3481"/>
      <c r="B15" s="3539"/>
      <c r="C15" s="3544"/>
      <c r="D15" s="3530"/>
      <c r="E15" s="135" t="s">
        <v>1533</v>
      </c>
      <c r="F15" s="1751"/>
      <c r="G15" s="1751"/>
      <c r="H15" s="1751"/>
      <c r="I15" s="1365"/>
    </row>
    <row r="16" spans="1:12" ht="13.2">
      <c r="A16" s="3481"/>
      <c r="B16" s="3539"/>
      <c r="C16" s="3543"/>
      <c r="D16" s="3530"/>
      <c r="E16" s="135" t="s">
        <v>1534</v>
      </c>
      <c r="F16" s="1751"/>
      <c r="G16" s="1751"/>
      <c r="H16" s="1751"/>
      <c r="I16" s="1365"/>
    </row>
    <row r="17" spans="1:36" ht="14.4">
      <c r="A17" s="1752" t="s">
        <v>1535</v>
      </c>
      <c r="B17" s="59"/>
      <c r="C17" s="136">
        <f>SUM(C5:C16)</f>
        <v>0</v>
      </c>
      <c r="D17" s="136">
        <f>SUM(D5:D16)</f>
        <v>0</v>
      </c>
      <c r="E17" s="133"/>
      <c r="F17" s="133"/>
      <c r="G17" s="133"/>
      <c r="H17" s="133"/>
      <c r="I17" s="133"/>
      <c r="K17" s="304"/>
      <c r="L17" s="304" t="s">
        <v>1536</v>
      </c>
      <c r="M17" s="304" t="s">
        <v>1537</v>
      </c>
    </row>
    <row r="18" spans="1:36" ht="31.95" customHeight="1" thickBot="1">
      <c r="A18" s="1753" t="s">
        <v>1538</v>
      </c>
      <c r="B18" s="1754"/>
      <c r="C18" s="137" t="e">
        <f>ROUND(C17/SUM(C17:D17),2)</f>
        <v>#DIV/0!</v>
      </c>
      <c r="D18" s="137" t="e">
        <f>1-C18</f>
        <v>#DIV/0!</v>
      </c>
      <c r="E18" s="3561" t="s">
        <v>2415</v>
      </c>
      <c r="F18" s="3562"/>
      <c r="G18" s="3562"/>
      <c r="H18" s="3562"/>
      <c r="I18" s="3562"/>
      <c r="K18" s="304" t="s">
        <v>1539</v>
      </c>
      <c r="L18" s="304">
        <f>IF(C1="",'数据-汇总表'!E3,SUMIF(项目类型,C1,'数据-汇总表'!E17:E26)+SUMIF(项目类型,C1,'数据-汇总表'!I17:I26))</f>
        <v>0</v>
      </c>
      <c r="M18" s="304">
        <f>IF(C1="",'数据-汇总表'!E3,SUMIF(项目类型,C1,'数据-汇总表'!E17:E26))</f>
        <v>0</v>
      </c>
    </row>
    <row r="19" spans="1:36" ht="14.4">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4.4">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8" thickBot="1">
      <c r="A23" s="1741"/>
      <c r="B23" s="1741"/>
      <c r="C23" s="1741"/>
      <c r="D23" s="1741"/>
      <c r="E23" s="133"/>
      <c r="F23" s="133"/>
      <c r="G23" s="133"/>
      <c r="H23" s="133"/>
      <c r="I23" s="133"/>
    </row>
    <row r="24" spans="1:36" ht="14.4">
      <c r="A24" s="3554" t="s">
        <v>1549</v>
      </c>
      <c r="B24" s="1756" t="s">
        <v>1541</v>
      </c>
      <c r="C24" s="140">
        <f>IF(B30=0,0,D30)</f>
        <v>0</v>
      </c>
      <c r="D24" s="1763"/>
      <c r="E24" s="133"/>
      <c r="F24" s="133"/>
      <c r="G24" s="133"/>
      <c r="H24" s="133"/>
      <c r="I24" s="133"/>
    </row>
    <row r="25" spans="1:36" ht="14.4">
      <c r="A25" s="3555"/>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3.8">
      <c r="A27" s="1765"/>
      <c r="B27" s="146">
        <v>0</v>
      </c>
      <c r="C27" s="146">
        <v>0</v>
      </c>
      <c r="D27" s="147">
        <f>ROUND(C27*B27/10000,0)</f>
        <v>0</v>
      </c>
      <c r="E27" s="133"/>
      <c r="F27" s="133"/>
      <c r="G27" s="133"/>
      <c r="H27" s="133"/>
      <c r="I27" s="133"/>
    </row>
    <row r="28" spans="1:36" ht="13.8">
      <c r="A28" s="1765"/>
      <c r="B28" s="146"/>
      <c r="C28" s="146"/>
      <c r="D28" s="147"/>
      <c r="E28" s="133"/>
      <c r="F28" s="133"/>
      <c r="G28" s="133"/>
      <c r="H28" s="133"/>
      <c r="I28" s="133"/>
    </row>
    <row r="29" spans="1:36" ht="13.8">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6" thickTop="1" thickBot="1">
      <c r="A32" s="1767" t="s">
        <v>1555</v>
      </c>
      <c r="B32" s="1768"/>
      <c r="C32" s="148" t="e">
        <f ca="1">IF(D32="总价",G19-C24,G20-C25)</f>
        <v>#REF!</v>
      </c>
      <c r="D32" s="1769"/>
      <c r="E32" s="133"/>
      <c r="F32" s="133"/>
      <c r="G32" s="133"/>
      <c r="H32" s="133"/>
      <c r="I32" s="133"/>
    </row>
    <row r="33" spans="1:15" ht="14.4">
      <c r="A33" s="800" t="s">
        <v>1556</v>
      </c>
      <c r="B33" s="1770"/>
      <c r="C33" s="1771"/>
      <c r="D33" s="1772"/>
      <c r="E33" s="1773" t="s">
        <v>1557</v>
      </c>
      <c r="F33" s="1774" t="str">
        <f>IF(D32="楼面单价","取值（单价）","取值（总价）")</f>
        <v>取值（总价）</v>
      </c>
      <c r="G33" s="133"/>
      <c r="H33" s="133"/>
      <c r="I33" s="133"/>
    </row>
    <row r="34" spans="1:15" ht="14.4">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 thickBot="1">
      <c r="A36" s="3531" t="s">
        <v>1562</v>
      </c>
      <c r="B36" s="1781" t="s">
        <v>1563</v>
      </c>
      <c r="C36" s="149"/>
      <c r="D36" s="1782"/>
      <c r="E36" s="1783"/>
      <c r="F36" s="1784"/>
      <c r="G36" s="133"/>
      <c r="H36" s="133"/>
      <c r="I36" s="133"/>
    </row>
    <row r="37" spans="1:15" ht="15" thickBot="1">
      <c r="A37" s="3532"/>
      <c r="B37" s="1668" t="s">
        <v>1564</v>
      </c>
      <c r="C37" s="151"/>
      <c r="D37" s="1145"/>
      <c r="E37" s="1145"/>
      <c r="F37" s="1784"/>
      <c r="G37" s="133"/>
      <c r="H37" s="133"/>
      <c r="I37" s="133"/>
    </row>
    <row r="38" spans="1:15" ht="15" thickBot="1">
      <c r="A38" s="3533"/>
      <c r="B38" s="1785" t="s">
        <v>1565</v>
      </c>
      <c r="C38" s="678"/>
      <c r="D38" s="1786" t="s">
        <v>1566</v>
      </c>
      <c r="E38" s="1145"/>
      <c r="F38" s="1784"/>
      <c r="G38" s="133"/>
      <c r="H38" s="133"/>
      <c r="I38" s="133"/>
    </row>
    <row r="39" spans="1:15" ht="14.4">
      <c r="A39" s="1758" t="s">
        <v>1567</v>
      </c>
      <c r="B39" s="1787" t="s">
        <v>1568</v>
      </c>
      <c r="C39" s="1788" t="s">
        <v>1569</v>
      </c>
      <c r="D39" s="1788" t="s">
        <v>1570</v>
      </c>
      <c r="E39" s="1789" t="s">
        <v>1571</v>
      </c>
      <c r="F39" s="1784"/>
      <c r="G39" s="133"/>
      <c r="H39" s="133"/>
      <c r="I39" s="133"/>
    </row>
    <row r="40" spans="1:15" ht="13.8">
      <c r="A40" s="1790" t="s">
        <v>1572</v>
      </c>
      <c r="B40" s="153"/>
      <c r="C40" s="154"/>
      <c r="D40" s="154"/>
      <c r="E40" s="155"/>
      <c r="F40" s="1784"/>
      <c r="G40" s="133"/>
      <c r="H40" s="133"/>
      <c r="I40" s="133"/>
    </row>
    <row r="41" spans="1:15" ht="13.8">
      <c r="A41" s="1790" t="s">
        <v>1573</v>
      </c>
      <c r="B41" s="153"/>
      <c r="C41" s="154"/>
      <c r="D41" s="154"/>
      <c r="E41" s="155"/>
      <c r="F41" s="1784"/>
      <c r="G41" s="133"/>
      <c r="H41" s="133"/>
      <c r="I41" s="133"/>
    </row>
    <row r="42" spans="1:15" ht="14.4" thickBot="1">
      <c r="A42" s="1791"/>
      <c r="B42" s="156"/>
      <c r="C42" s="157"/>
      <c r="D42" s="157"/>
      <c r="E42" s="158"/>
      <c r="F42" s="1784"/>
      <c r="G42" s="133"/>
      <c r="H42" s="133"/>
      <c r="I42" s="133"/>
    </row>
    <row r="43" spans="1:15" ht="13.2">
      <c r="A43" s="1570"/>
      <c r="B43" s="1570"/>
      <c r="C43" s="1570"/>
      <c r="D43" s="1570"/>
      <c r="E43" s="1570"/>
      <c r="F43" s="1792"/>
      <c r="G43" s="1792"/>
      <c r="H43" s="1792"/>
      <c r="I43" s="1793"/>
    </row>
    <row r="44" spans="1:15" ht="17.399999999999999">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51" t="s">
        <v>1576</v>
      </c>
      <c r="B45" s="3552"/>
      <c r="C45" s="3553"/>
      <c r="D45" s="159" t="e">
        <f ca="1">ROUND(H101*F45,0)</f>
        <v>#REF!</v>
      </c>
      <c r="E45" s="160" t="s">
        <v>1577</v>
      </c>
      <c r="F45" s="161">
        <v>1</v>
      </c>
      <c r="G45" s="162" t="s">
        <v>1578</v>
      </c>
      <c r="H45" s="133"/>
      <c r="I45" s="133"/>
      <c r="J45" s="3468" t="s">
        <v>1579</v>
      </c>
      <c r="K45" s="3468"/>
      <c r="L45" s="3468"/>
      <c r="M45" s="3468"/>
      <c r="N45" s="3468"/>
      <c r="O45" s="3468"/>
    </row>
    <row r="46" spans="1:15" ht="14.25" customHeight="1">
      <c r="A46" s="3548" t="s">
        <v>1580</v>
      </c>
      <c r="B46" s="3549"/>
      <c r="C46" s="3549"/>
      <c r="D46" s="3549"/>
      <c r="E46" s="3549"/>
      <c r="F46" s="3549"/>
      <c r="G46" s="3550"/>
      <c r="H46" s="1800"/>
      <c r="I46" s="163"/>
      <c r="J46" s="2349">
        <v>1</v>
      </c>
      <c r="K46" s="3469" t="s">
        <v>1581</v>
      </c>
      <c r="L46" s="3469"/>
      <c r="M46" s="3470"/>
      <c r="N46" s="3470"/>
      <c r="O46" s="3470"/>
    </row>
    <row r="47" spans="1:15" ht="12" customHeight="1">
      <c r="A47" s="164" t="s">
        <v>1582</v>
      </c>
      <c r="B47" s="165"/>
      <c r="C47" s="166"/>
      <c r="D47" s="1094" t="s">
        <v>1583</v>
      </c>
      <c r="E47" s="304" t="s">
        <v>1584</v>
      </c>
      <c r="F47" s="167" t="s">
        <v>1585</v>
      </c>
      <c r="G47" s="2372" t="s">
        <v>1586</v>
      </c>
      <c r="H47" s="2373"/>
      <c r="I47" s="163"/>
      <c r="J47" s="2349">
        <v>2</v>
      </c>
      <c r="K47" s="3469" t="s">
        <v>1587</v>
      </c>
      <c r="L47" s="3469"/>
      <c r="M47" s="3471">
        <f>'数据-取费表'!B2</f>
        <v>44680</v>
      </c>
      <c r="N47" s="3471"/>
      <c r="O47" s="3471"/>
    </row>
    <row r="48" spans="1:15" ht="26.4">
      <c r="A48" s="3534" t="s">
        <v>1588</v>
      </c>
      <c r="B48" s="3535"/>
      <c r="C48" s="3535"/>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469" t="s">
        <v>1590</v>
      </c>
      <c r="L48" s="3469"/>
      <c r="M48" s="3472" t="e">
        <f ca="1">H101</f>
        <v>#REF!</v>
      </c>
      <c r="N48" s="3472"/>
      <c r="O48" s="3472"/>
    </row>
    <row r="49" spans="1:35" ht="25.5" customHeight="1">
      <c r="A49" s="2156" t="s">
        <v>1591</v>
      </c>
      <c r="B49" s="3517" t="s">
        <v>1592</v>
      </c>
      <c r="C49" s="3517"/>
      <c r="D49" s="1583">
        <v>0</v>
      </c>
      <c r="E49" s="326" t="s">
        <v>1593</v>
      </c>
      <c r="F49" s="2250" t="s">
        <v>34</v>
      </c>
      <c r="G49" s="3500"/>
      <c r="H49" s="2129" t="s">
        <v>2418</v>
      </c>
      <c r="I49" s="2130"/>
      <c r="J49" s="2349">
        <v>4</v>
      </c>
      <c r="K49" s="3469" t="str">
        <f>IF(项目基本情况!E8="房地产抵押价值","房地产抵押价值","抵押担保权已注销时的房地产抵押价值")</f>
        <v>房地产抵押价值</v>
      </c>
      <c r="L49" s="3469"/>
      <c r="M49" s="3472" t="str">
        <f ca="1">IF(项目基本情况!E8="房地产抵押价值",H107,H109)</f>
        <v>——</v>
      </c>
      <c r="N49" s="3472"/>
      <c r="O49" s="3472"/>
    </row>
    <row r="50" spans="1:35" ht="25.5" customHeight="1">
      <c r="A50" s="2377"/>
      <c r="B50" s="3517" t="s">
        <v>1594</v>
      </c>
      <c r="C50" s="3517"/>
      <c r="D50" s="2378"/>
      <c r="E50" s="334"/>
      <c r="F50" s="2250"/>
      <c r="G50" s="3501"/>
      <c r="H50" s="2131" t="s">
        <v>2419</v>
      </c>
      <c r="I50" s="2130"/>
      <c r="J50" s="3468" t="s">
        <v>1595</v>
      </c>
      <c r="K50" s="3468"/>
      <c r="L50" s="3468"/>
      <c r="M50" s="3468"/>
      <c r="N50" s="3468"/>
      <c r="O50" s="3468"/>
    </row>
    <row r="51" spans="1:35" ht="20.399999999999999" customHeight="1">
      <c r="A51" s="2379"/>
      <c r="B51" s="3517" t="s">
        <v>1596</v>
      </c>
      <c r="C51" s="3517"/>
      <c r="D51" s="1094"/>
      <c r="E51" s="329"/>
      <c r="F51" s="2250"/>
      <c r="G51" s="3502"/>
      <c r="H51" s="2131" t="s">
        <v>2420</v>
      </c>
      <c r="I51" s="2130"/>
      <c r="J51" s="2350" t="s">
        <v>1597</v>
      </c>
      <c r="K51" s="3469" t="s">
        <v>1598</v>
      </c>
      <c r="L51" s="3469"/>
      <c r="M51" s="2350" t="s">
        <v>1599</v>
      </c>
      <c r="N51" s="2350" t="s">
        <v>1600</v>
      </c>
      <c r="O51" s="2350" t="s">
        <v>1601</v>
      </c>
    </row>
    <row r="52" spans="1:35" ht="24" customHeight="1">
      <c r="A52" s="2158" t="s">
        <v>1602</v>
      </c>
      <c r="B52" s="3517" t="s">
        <v>1603</v>
      </c>
      <c r="C52" s="3517"/>
      <c r="D52" s="1094" t="e">
        <f ca="1">ROUND(D45*'数据-取费表'!B41/(1+'数据-取费表'!C42),0)</f>
        <v>#REF!</v>
      </c>
      <c r="E52" s="2157" t="s">
        <v>1604</v>
      </c>
      <c r="F52" s="2380">
        <f>'数据-取费表'!B41</f>
        <v>0</v>
      </c>
      <c r="G52" s="2381"/>
      <c r="H52" s="2370"/>
      <c r="I52" s="1801"/>
      <c r="J52" s="2349">
        <v>1</v>
      </c>
      <c r="K52" s="3494" t="s">
        <v>1605</v>
      </c>
      <c r="L52" s="3494"/>
      <c r="M52" s="2351" t="b">
        <f>D48</f>
        <v>0</v>
      </c>
      <c r="N52" s="2349" t="str">
        <f>E48</f>
        <v>销售额×税（费）率</v>
      </c>
      <c r="O52" s="2352">
        <f>F48</f>
        <v>0</v>
      </c>
    </row>
    <row r="53" spans="1:35" ht="12" customHeight="1">
      <c r="A53" s="2158" t="s">
        <v>1606</v>
      </c>
      <c r="B53" s="3518" t="s">
        <v>2579</v>
      </c>
      <c r="C53" s="3519"/>
      <c r="D53" s="1094" t="e">
        <f ca="1">ROUND(D45*'数据-取费表'!B41/(1+'数据-取费表'!C42),0)</f>
        <v>#REF!</v>
      </c>
      <c r="E53" s="2157" t="s">
        <v>1604</v>
      </c>
      <c r="F53" s="2380">
        <f>'数据-取费表'!B41</f>
        <v>0</v>
      </c>
      <c r="G53" s="2381"/>
      <c r="H53" s="2370"/>
      <c r="I53" s="1801"/>
      <c r="J53" s="2349">
        <v>2</v>
      </c>
      <c r="K53" s="3494" t="s">
        <v>1607</v>
      </c>
      <c r="L53" s="3494"/>
      <c r="M53" s="2351" t="e">
        <f t="shared" ref="M53:O54" ca="1" si="0">D55</f>
        <v>#REF!</v>
      </c>
      <c r="N53" s="2349" t="str">
        <f t="shared" si="0"/>
        <v>销售额×税（费）率</v>
      </c>
      <c r="O53" s="2352" t="str">
        <f t="shared" si="0"/>
        <v>免征</v>
      </c>
    </row>
    <row r="54" spans="1:35" ht="12" customHeight="1">
      <c r="A54" s="2158" t="s">
        <v>1608</v>
      </c>
      <c r="B54" s="3518" t="s">
        <v>2580</v>
      </c>
      <c r="C54" s="3519"/>
      <c r="D54" s="1094" t="e">
        <f ca="1">C68</f>
        <v>#REF!</v>
      </c>
      <c r="E54" s="329" t="s">
        <v>1609</v>
      </c>
      <c r="F54" s="2380">
        <f>'数据-取费表'!B41</f>
        <v>0</v>
      </c>
      <c r="G54" s="2381"/>
      <c r="H54" s="2382"/>
      <c r="I54" s="1801"/>
      <c r="J54" s="2349">
        <v>3</v>
      </c>
      <c r="K54" s="3494" t="s">
        <v>1610</v>
      </c>
      <c r="L54" s="3494"/>
      <c r="M54" s="2351" t="e">
        <f t="shared" ca="1" si="0"/>
        <v>#REF!</v>
      </c>
      <c r="N54" s="2349" t="str">
        <f t="shared" si="0"/>
        <v>增值额×税（费）率</v>
      </c>
      <c r="O54" s="2353" t="str">
        <f t="shared" si="0"/>
        <v>免征</v>
      </c>
    </row>
    <row r="55" spans="1:35" ht="24" customHeight="1">
      <c r="A55" s="3557" t="s">
        <v>1611</v>
      </c>
      <c r="B55" s="3535"/>
      <c r="C55" s="3535"/>
      <c r="D55" s="2147" t="e">
        <f ca="1">IF(H55="个人住宅",0,ROUND(D45*I55,0))</f>
        <v>#REF!</v>
      </c>
      <c r="E55" s="2157" t="s">
        <v>1612</v>
      </c>
      <c r="F55" s="2380" t="str">
        <f>IF(H55="正常",I55,"免征")</f>
        <v>免征</v>
      </c>
      <c r="G55" s="2381"/>
      <c r="H55" s="2376"/>
      <c r="I55" s="169">
        <f>'数据-取费表'!B49</f>
        <v>0</v>
      </c>
      <c r="J55" s="2349">
        <f>IF(H59="非个人房产","",4)</f>
        <v>4</v>
      </c>
      <c r="K55" s="3494" t="str">
        <f>IF(H59="非个人房产","——","个人所得税")</f>
        <v>个人所得税</v>
      </c>
      <c r="L55" s="3494"/>
      <c r="M55" s="2354" t="e">
        <f ca="1">D59</f>
        <v>#REF!</v>
      </c>
      <c r="N55" s="1997" t="str">
        <f>E59</f>
        <v>差额计税</v>
      </c>
      <c r="O55" s="2355">
        <f>F59</f>
        <v>0.01</v>
      </c>
    </row>
    <row r="56" spans="1:35" ht="25.2">
      <c r="A56" s="3557" t="s">
        <v>1613</v>
      </c>
      <c r="B56" s="3535"/>
      <c r="C56" s="3535"/>
      <c r="D56" s="2147" t="e">
        <f ca="1">IF(H56="个人住宅",D57,D58)</f>
        <v>#REF!</v>
      </c>
      <c r="E56" s="2157" t="s">
        <v>1614</v>
      </c>
      <c r="F56" s="2380" t="str">
        <f>IF(H56="正常",F58,"免征")</f>
        <v>免征</v>
      </c>
      <c r="G56" s="2383" t="s">
        <v>1615</v>
      </c>
      <c r="H56" s="2384"/>
      <c r="I56" s="1802"/>
      <c r="J56" s="2349" t="str">
        <f>IF(项目基本情况!K6="上海银行",IF(J55="",4,J55+1),"")</f>
        <v/>
      </c>
      <c r="K56" s="3475" t="str">
        <f>IF(项目基本情况!K6="上海银行","其他处置费用","")</f>
        <v/>
      </c>
      <c r="L56" s="3476"/>
      <c r="M56" s="2351" t="str">
        <f>IF(项目基本情况!K6="上海银行",M69,"")</f>
        <v/>
      </c>
      <c r="N56" s="3475" t="str">
        <f>IF(项目基本情况!K6="上海银行","包含处置中涉及的律师、诉讼、拍卖、评估等费用","")</f>
        <v/>
      </c>
      <c r="O56" s="3478"/>
    </row>
    <row r="57" spans="1:35" ht="13.2">
      <c r="A57" s="2158" t="s">
        <v>1591</v>
      </c>
      <c r="B57" s="3518" t="s">
        <v>1616</v>
      </c>
      <c r="C57" s="3519"/>
      <c r="D57" s="1583">
        <v>0</v>
      </c>
      <c r="E57" s="326" t="s">
        <v>1593</v>
      </c>
      <c r="F57" s="304"/>
      <c r="G57" s="2381"/>
      <c r="H57" s="2385"/>
      <c r="I57" s="1802"/>
      <c r="J57" s="3494">
        <f>IF(AND(J55="",J56=""),4,IF(项目基本情况!K6="上海银行",结果表!J56+1,结果表!J55+1))</f>
        <v>5</v>
      </c>
      <c r="K57" s="3494" t="s">
        <v>1617</v>
      </c>
      <c r="L57" s="2356" t="s">
        <v>1618</v>
      </c>
      <c r="M57" s="2357"/>
      <c r="N57" s="2358">
        <f ca="1">SUMIF(M52:M56,"&lt;9e307")</f>
        <v>0</v>
      </c>
      <c r="O57" s="2359"/>
      <c r="P57" s="2517" t="e">
        <f ca="1">N57/M49</f>
        <v>#VALUE!</v>
      </c>
    </row>
    <row r="58" spans="1:35" ht="25.2">
      <c r="A58" s="2158" t="s">
        <v>1602</v>
      </c>
      <c r="B58" s="3518" t="s">
        <v>1619</v>
      </c>
      <c r="C58" s="3517"/>
      <c r="D58" s="2147" t="e">
        <f ca="1">IF(H58="转让取得",C81,C97)</f>
        <v>#REF!</v>
      </c>
      <c r="E58" s="2157" t="s">
        <v>1614</v>
      </c>
      <c r="F58" s="304" t="s">
        <v>34</v>
      </c>
      <c r="G58" s="2381"/>
      <c r="H58" s="2384"/>
      <c r="I58" s="1802"/>
      <c r="J58" s="3494"/>
      <c r="K58" s="3494"/>
      <c r="L58" s="2356" t="s">
        <v>1620</v>
      </c>
      <c r="M58" s="2360"/>
      <c r="N58" s="2361" t="str">
        <f ca="1">NUMBERSTRING(INT(N57*10000),2)&amp;"元整"</f>
        <v>零元整</v>
      </c>
      <c r="O58" s="2362"/>
    </row>
    <row r="59" spans="1:35" ht="24.6" thickBot="1">
      <c r="A59" s="3498" t="s">
        <v>1621</v>
      </c>
      <c r="B59" s="3499"/>
      <c r="C59" s="3499"/>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496">
        <f>J57+1</f>
        <v>6</v>
      </c>
      <c r="K59" s="3494" t="s">
        <v>1622</v>
      </c>
      <c r="L59" s="2349" t="s">
        <v>1618</v>
      </c>
      <c r="M59" s="2363"/>
      <c r="N59" s="2364" t="e">
        <f ca="1">M49-N57</f>
        <v>#VALUE!</v>
      </c>
      <c r="O59" s="2365"/>
    </row>
    <row r="60" spans="1:35" ht="12" customHeight="1">
      <c r="A60" s="1803"/>
      <c r="B60" s="1741"/>
      <c r="C60" s="1741"/>
      <c r="D60" s="1741"/>
      <c r="E60" s="1571"/>
      <c r="F60" s="1802"/>
      <c r="G60" s="1802"/>
      <c r="H60" s="1804"/>
      <c r="I60" s="133"/>
      <c r="J60" s="3497"/>
      <c r="K60" s="3494"/>
      <c r="L60" s="2356" t="s">
        <v>1620</v>
      </c>
      <c r="M60" s="2360"/>
      <c r="N60" s="2361" t="e">
        <f ca="1">NUMBERSTRING(INT(N59*10000),2)&amp;"元整"</f>
        <v>#VALUE!</v>
      </c>
      <c r="O60" s="2362"/>
    </row>
    <row r="61" spans="1:35" ht="13.8" thickBot="1">
      <c r="A61" s="3556" t="s">
        <v>1623</v>
      </c>
      <c r="B61" s="3556"/>
      <c r="C61" s="3556"/>
      <c r="D61" s="3556"/>
      <c r="E61" s="3556"/>
      <c r="F61" s="1802"/>
      <c r="G61" s="1802"/>
      <c r="H61" s="1804"/>
      <c r="I61" s="133"/>
      <c r="J61" s="2349">
        <f>J59+1</f>
        <v>7</v>
      </c>
      <c r="K61" s="3494" t="s">
        <v>1624</v>
      </c>
      <c r="L61" s="3494"/>
      <c r="M61" s="2366"/>
      <c r="N61" s="2367" t="e">
        <f ca="1">ROUND(N59*10000/'数据-汇总表'!E3,0)</f>
        <v>#VALUE!</v>
      </c>
      <c r="O61" s="2368"/>
    </row>
    <row r="62" spans="1:35" ht="13.2">
      <c r="A62" s="3513" t="s">
        <v>1625</v>
      </c>
      <c r="B62" s="3514"/>
      <c r="C62" s="1995"/>
      <c r="D62" s="1995" t="s">
        <v>1626</v>
      </c>
      <c r="E62" s="170" t="s">
        <v>1627</v>
      </c>
      <c r="F62" s="1802"/>
      <c r="G62" s="1802"/>
      <c r="H62" s="1804"/>
      <c r="I62" s="133"/>
    </row>
    <row r="63" spans="1:35" ht="13.2">
      <c r="A63" s="177" t="s">
        <v>563</v>
      </c>
      <c r="B63" s="171" t="s">
        <v>1628</v>
      </c>
      <c r="C63" s="2390" t="e">
        <f ca="1">ROUND((C64+C65)/(1+'数据-取费表'!C42),0)</f>
        <v>#REF!</v>
      </c>
      <c r="D63" s="171"/>
      <c r="E63" s="172"/>
      <c r="F63" s="1802"/>
      <c r="G63" s="1802"/>
      <c r="H63" s="1804"/>
      <c r="I63" s="133"/>
      <c r="J63" s="3477" t="s">
        <v>1629</v>
      </c>
      <c r="K63" s="1328" t="s">
        <v>1630</v>
      </c>
      <c r="L63" s="1328" t="e">
        <f ca="1">IF(M49&gt;10000,M49*0.5%,IF(AND(M49&gt;1000,M49&lt;=10000),M49*1%,IF(AND(M49&gt;100,M49&lt;=1000),M49*3%,IF(AND(M49&gt;10,M49&lt;=100),M49*5%,M49*8%))))</f>
        <v>#VALUE!</v>
      </c>
      <c r="M63" s="304" t="e">
        <f ca="1">ROUND(L63,1)</f>
        <v>#VALUE!</v>
      </c>
      <c r="N63" s="2369"/>
      <c r="Z63" s="1746"/>
      <c r="AI63" s="1747"/>
    </row>
    <row r="64" spans="1:35" ht="14.25" customHeight="1">
      <c r="A64" s="173" t="s">
        <v>558</v>
      </c>
      <c r="B64" s="174" t="s">
        <v>1631</v>
      </c>
      <c r="C64" s="2391" t="e">
        <f ca="1">D45</f>
        <v>#REF!</v>
      </c>
      <c r="D64" s="174" t="s">
        <v>32</v>
      </c>
      <c r="E64" s="176"/>
      <c r="F64" s="1802"/>
      <c r="G64" s="1802"/>
      <c r="H64" s="1804"/>
      <c r="I64" s="133"/>
      <c r="J64" s="3477"/>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70" t="s">
        <v>1633</v>
      </c>
      <c r="Z64" s="1746"/>
      <c r="AI64" s="1747"/>
    </row>
    <row r="65" spans="1:35" ht="14.25" customHeight="1">
      <c r="A65" s="173" t="s">
        <v>559</v>
      </c>
      <c r="B65" s="174" t="s">
        <v>1634</v>
      </c>
      <c r="C65" s="2392"/>
      <c r="D65" s="174"/>
      <c r="E65" s="176"/>
      <c r="F65" s="1802"/>
      <c r="G65" s="1802"/>
      <c r="H65" s="1804"/>
      <c r="I65" s="133"/>
      <c r="J65" s="3477"/>
      <c r="K65" s="1328" t="s">
        <v>1635</v>
      </c>
      <c r="L65" s="1328" t="e">
        <f ca="1">IF(M49&gt;1000,M49*0.1%,IF(AND(M49&gt;500,M49&lt;=1000),M49*0.5%,IF(AND(M49&gt;50,M49&lt;=500),M49*1%,IF(AND(M49&gt;1,M49&lt;=50),M49*1.5%))))</f>
        <v>#VALUE!</v>
      </c>
      <c r="M65" s="304" t="e">
        <f t="shared" ca="1" si="1"/>
        <v>#VALUE!</v>
      </c>
      <c r="N65" s="2370" t="s">
        <v>1633</v>
      </c>
      <c r="Z65" s="1746"/>
      <c r="AI65" s="1747"/>
    </row>
    <row r="66" spans="1:35" ht="14.25" customHeight="1">
      <c r="A66" s="177" t="s">
        <v>560</v>
      </c>
      <c r="B66" s="178" t="s">
        <v>1636</v>
      </c>
      <c r="C66" s="2393"/>
      <c r="D66" s="178" t="s">
        <v>32</v>
      </c>
      <c r="E66" s="1334" t="s">
        <v>909</v>
      </c>
      <c r="F66" s="1802"/>
      <c r="G66" s="1802"/>
      <c r="H66" s="1804"/>
      <c r="I66" s="133"/>
      <c r="J66" s="3477"/>
      <c r="K66" s="1328" t="s">
        <v>1637</v>
      </c>
      <c r="L66" s="1328" t="e">
        <f ca="1">M49*0.5%</f>
        <v>#VALUE!</v>
      </c>
      <c r="M66" s="304" t="e">
        <f ca="1">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477"/>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477"/>
      <c r="K68" s="1328" t="s">
        <v>1642</v>
      </c>
      <c r="L68" s="1328" t="e">
        <f ca="1">IF(M49&gt;10000,M49*0.5%,IF(AND(M49&gt;5000,M49&lt;=10000),M49*1%,IF(AND(M49&gt;1000,M49&lt;=5000),M49*2%,IF(AND(M49&gt;200,M49&lt;=1000),M49*3%,M49*5%))))</f>
        <v>#VALUE!</v>
      </c>
      <c r="M68" s="304" t="e">
        <f ca="1">ROUND(L68,1)</f>
        <v>#VALUE!</v>
      </c>
      <c r="N68" s="2369"/>
      <c r="Z68" s="1746"/>
      <c r="AI68" s="1747"/>
    </row>
    <row r="69" spans="1:35" s="1766" customFormat="1" ht="16.5" customHeight="1">
      <c r="A69" s="1805"/>
      <c r="B69" s="1806"/>
      <c r="C69" s="1807"/>
      <c r="D69" s="1808"/>
      <c r="E69" s="1809"/>
      <c r="F69" s="1571"/>
      <c r="G69" s="1571"/>
      <c r="H69" s="1570"/>
      <c r="I69" s="1741"/>
      <c r="J69" s="3477"/>
      <c r="K69" s="1328" t="s">
        <v>1643</v>
      </c>
      <c r="L69" s="1328"/>
      <c r="M69" s="304" t="e">
        <f ca="1">ROUND(SUM(M63:M68),0)</f>
        <v>#VALUE!</v>
      </c>
      <c r="N69" s="2371"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4.4" thickBot="1">
      <c r="A70" s="3521" t="s">
        <v>1644</v>
      </c>
      <c r="B70" s="3522"/>
      <c r="C70" s="3522"/>
      <c r="D70" s="3522"/>
      <c r="E70" s="3522"/>
      <c r="F70" s="3522"/>
      <c r="G70" s="3522"/>
      <c r="H70" s="3522"/>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3.8">
      <c r="A71" s="3513" t="s">
        <v>1625</v>
      </c>
      <c r="B71" s="3514"/>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3.8">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3.8">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28.8">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518" t="s">
        <v>1652</v>
      </c>
      <c r="F76" s="3517"/>
      <c r="G76" s="3517"/>
      <c r="H76" s="3520"/>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510" t="s">
        <v>1656</v>
      </c>
      <c r="F78" s="3511"/>
      <c r="G78" s="3511"/>
      <c r="H78" s="3512"/>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3.8">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6"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4" thickBot="1">
      <c r="A83" s="3521" t="s">
        <v>1660</v>
      </c>
      <c r="B83" s="3522"/>
      <c r="C83" s="3522"/>
      <c r="D83" s="3522"/>
      <c r="E83" s="3522"/>
      <c r="F83" s="3522"/>
      <c r="G83" s="3522"/>
      <c r="H83" s="352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3.8">
      <c r="A84" s="3513" t="s">
        <v>1625</v>
      </c>
      <c r="B84" s="3514"/>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3.8">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3.8">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3.8">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4">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3.8">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4">
      <c r="A90" s="173" t="s">
        <v>559</v>
      </c>
      <c r="B90" s="174" t="s">
        <v>1666</v>
      </c>
      <c r="C90" s="2408"/>
      <c r="D90" s="2403"/>
      <c r="E90" s="195" t="str">
        <f>IF(H88="-","土地取得成本中已包含该笔费用"," ")</f>
        <v xml:space="preserve"> </v>
      </c>
      <c r="F90" s="2150"/>
      <c r="G90" s="3479" t="s">
        <v>2413</v>
      </c>
      <c r="H90" s="3480"/>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510" t="s">
        <v>1669</v>
      </c>
      <c r="F91" s="3511"/>
      <c r="G91" s="3511"/>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510" t="s">
        <v>1672</v>
      </c>
      <c r="F92" s="3511"/>
      <c r="G92" s="3511"/>
      <c r="H92" s="3512"/>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510" t="s">
        <v>1656</v>
      </c>
      <c r="F93" s="3511"/>
      <c r="G93" s="3511"/>
      <c r="H93" s="3512"/>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558" t="s">
        <v>1676</v>
      </c>
      <c r="F94" s="3559"/>
      <c r="G94" s="3559"/>
      <c r="H94" s="3560"/>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3.8">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6"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60" t="s">
        <v>1678</v>
      </c>
      <c r="B100" s="3461"/>
      <c r="C100" s="3461"/>
      <c r="D100" s="3495"/>
      <c r="E100" s="3461" t="s">
        <v>1679</v>
      </c>
      <c r="F100" s="3461"/>
      <c r="G100" s="3461"/>
      <c r="H100" s="3495"/>
      <c r="I100" s="133"/>
    </row>
    <row r="101" spans="1:35" ht="18.75" customHeight="1">
      <c r="A101" s="3503" t="s">
        <v>1680</v>
      </c>
      <c r="B101" s="3504"/>
      <c r="C101" s="2411">
        <f>C4</f>
        <v>0</v>
      </c>
      <c r="D101" s="2412">
        <f>D4</f>
        <v>0</v>
      </c>
      <c r="E101" s="3473" t="s">
        <v>1681</v>
      </c>
      <c r="F101" s="3474"/>
      <c r="G101" s="1821" t="s">
        <v>1682</v>
      </c>
      <c r="H101" s="2421" t="e">
        <f ca="1">H118</f>
        <v>#REF!</v>
      </c>
      <c r="I101" s="133"/>
    </row>
    <row r="102" spans="1:35" ht="18.75" customHeight="1">
      <c r="A102" s="3505" t="s">
        <v>1683</v>
      </c>
      <c r="B102" s="2410" t="s">
        <v>1682</v>
      </c>
      <c r="C102" s="2411" t="e">
        <f ca="1">C19</f>
        <v>#REF!</v>
      </c>
      <c r="D102" s="2412" t="e">
        <f ca="1">D19</f>
        <v>#REF!</v>
      </c>
      <c r="E102" s="3473"/>
      <c r="F102" s="3474"/>
      <c r="G102" s="1821" t="s">
        <v>1684</v>
      </c>
      <c r="H102" s="2381" t="e">
        <f ca="1">I118</f>
        <v>#REF!</v>
      </c>
      <c r="I102" s="133"/>
    </row>
    <row r="103" spans="1:35" ht="42.75" customHeight="1">
      <c r="A103" s="3505"/>
      <c r="B103" s="2410" t="s">
        <v>1684</v>
      </c>
      <c r="C103" s="2413" t="e">
        <f ca="1">C20</f>
        <v>#REF!</v>
      </c>
      <c r="D103" s="2414" t="e">
        <f ca="1">D20</f>
        <v>#REF!</v>
      </c>
      <c r="E103" s="3466" t="s">
        <v>1685</v>
      </c>
      <c r="F103" s="3467"/>
      <c r="G103" s="1822" t="s">
        <v>1686</v>
      </c>
      <c r="H103" s="2421">
        <f>IF(D36="正常操作",H104+H105+H106,H105+H106)</f>
        <v>0</v>
      </c>
      <c r="I103" s="133"/>
    </row>
    <row r="104" spans="1:35" ht="18.75" customHeight="1">
      <c r="A104" s="3505"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5"/>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6" t="str">
        <f>IF(项目基本情况!E8="已注销","——","3.房地产抵押价值")</f>
        <v>3.房地产抵押价值</v>
      </c>
      <c r="F107" s="3474"/>
      <c r="G107" s="1821" t="s">
        <v>1682</v>
      </c>
      <c r="H107" s="2421" t="e">
        <f ca="1">IF(E107="——","——",H101-H103)</f>
        <v>#REF!</v>
      </c>
      <c r="I107" s="133"/>
    </row>
    <row r="108" spans="1:35" ht="18.75" customHeight="1">
      <c r="A108" s="133"/>
      <c r="B108" s="133"/>
      <c r="C108" s="133"/>
      <c r="D108" s="133"/>
      <c r="E108" s="3506"/>
      <c r="F108" s="3474"/>
      <c r="G108" s="1821" t="s">
        <v>1684</v>
      </c>
      <c r="H108" s="2381" t="e">
        <f ca="1">ROUND(H107*10000/'数据-汇总表'!E3,0)</f>
        <v>#REF!</v>
      </c>
      <c r="I108" s="133"/>
    </row>
    <row r="109" spans="1:35" ht="18.75" customHeight="1">
      <c r="A109" s="133"/>
      <c r="B109" s="133"/>
      <c r="C109" s="133"/>
      <c r="D109" s="133"/>
      <c r="E109" s="3506" t="str">
        <f>IF(项目基本情况!E8="已注销及未注销","4.抵押担保权已注销时的房地产抵押价值",IF(项目基本情况!E8="已注销","3.抵押担保权已注销时的房地产抵押价值","——"))</f>
        <v>——</v>
      </c>
      <c r="F109" s="3474"/>
      <c r="G109" s="1821" t="s">
        <v>1682</v>
      </c>
      <c r="H109" s="2424" t="str">
        <f>IF(E109="——","——",H101-H105-H106)</f>
        <v>——</v>
      </c>
      <c r="I109" s="133"/>
    </row>
    <row r="110" spans="1:35" ht="18.75" customHeight="1">
      <c r="A110" s="133"/>
      <c r="B110" s="133"/>
      <c r="C110" s="133"/>
      <c r="D110" s="133"/>
      <c r="E110" s="3506"/>
      <c r="F110" s="3474"/>
      <c r="G110" s="1821" t="s">
        <v>1684</v>
      </c>
      <c r="H110" s="2381" t="str">
        <f>IF(H109="——","——",ROUND(H109*10000/'数据-汇总表'!E3,0))</f>
        <v>——</v>
      </c>
      <c r="I110" s="133"/>
    </row>
    <row r="111" spans="1:35" ht="18.75" customHeight="1">
      <c r="A111" s="133"/>
      <c r="B111" s="133"/>
      <c r="C111" s="133"/>
      <c r="D111" s="133"/>
      <c r="E111" s="3507" t="str">
        <f>IF(项目基本情况!E9="抵押净值",IF(OR(项目基本情况!E8="已注销",项目基本情况!E8="房地产抵押价值"),"4.抵押净值","5.抵押净值"),"——")</f>
        <v>——</v>
      </c>
      <c r="F111" s="3493"/>
      <c r="G111" s="1821" t="s">
        <v>1682</v>
      </c>
      <c r="H111" s="2421" t="str">
        <f>IF(E111="——","——",N59)</f>
        <v>——</v>
      </c>
      <c r="I111" s="133"/>
    </row>
    <row r="112" spans="1:35" ht="18.75" customHeight="1" thickBot="1">
      <c r="A112" s="133"/>
      <c r="B112" s="133"/>
      <c r="C112" s="133"/>
      <c r="D112" s="133"/>
      <c r="E112" s="3508"/>
      <c r="F112" s="3509"/>
      <c r="G112" s="1824" t="s">
        <v>1684</v>
      </c>
      <c r="H112" s="2425" t="str">
        <f>IF(E111="——","——",N61)</f>
        <v>——</v>
      </c>
      <c r="I112" s="133"/>
    </row>
    <row r="113" spans="1:27" ht="18.75" customHeight="1">
      <c r="A113" s="133"/>
      <c r="B113" s="133"/>
      <c r="C113" s="133"/>
      <c r="D113" s="133"/>
      <c r="E113" s="3516" t="s">
        <v>1690</v>
      </c>
      <c r="F113" s="3516"/>
      <c r="G113" s="3516"/>
      <c r="H113" s="3516"/>
      <c r="I113" s="133"/>
    </row>
    <row r="114" spans="1:27" ht="3.75" customHeight="1">
      <c r="A114" s="1741"/>
      <c r="B114" s="1741"/>
      <c r="C114" s="1741"/>
      <c r="D114" s="1741"/>
      <c r="E114" s="1803"/>
      <c r="F114" s="1803"/>
      <c r="G114" s="1803"/>
      <c r="H114" s="1803"/>
      <c r="I114" s="1741"/>
    </row>
    <row r="115" spans="1:27" ht="18.75" customHeight="1">
      <c r="A115" s="3527" t="s">
        <v>1692</v>
      </c>
      <c r="B115" s="3528"/>
      <c r="C115" s="3528"/>
      <c r="D115" s="3528"/>
      <c r="E115" s="3528"/>
      <c r="F115" s="3528"/>
      <c r="G115" s="3528"/>
      <c r="H115" s="3528"/>
      <c r="I115" s="3529"/>
    </row>
    <row r="116" spans="1:27" ht="27" customHeight="1">
      <c r="A116" s="3481" t="s">
        <v>1693</v>
      </c>
      <c r="B116" s="3485" t="s">
        <v>1694</v>
      </c>
      <c r="C116" s="3485" t="s">
        <v>1695</v>
      </c>
      <c r="D116" s="3491" t="s">
        <v>1696</v>
      </c>
      <c r="E116" s="3492"/>
      <c r="F116" s="3523" t="s">
        <v>1697</v>
      </c>
      <c r="G116" s="3523"/>
      <c r="H116" s="3481" t="s">
        <v>1698</v>
      </c>
      <c r="I116" s="3481"/>
    </row>
    <row r="117" spans="1:27" ht="18.75" customHeight="1">
      <c r="A117" s="3481"/>
      <c r="B117" s="3486"/>
      <c r="C117" s="3486"/>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81" t="s">
        <v>1702</v>
      </c>
      <c r="B119" s="3481"/>
      <c r="C119" s="3481"/>
      <c r="D119" s="3487" t="e">
        <f ca="1">NUMBERSTRING(INT(D118*10000),2)&amp;"元整"</f>
        <v>#REF!</v>
      </c>
      <c r="E119" s="3488"/>
      <c r="F119" s="3487" t="e">
        <f ca="1">NUMBERSTRING(INT(F118*10000),2)&amp;"元整"</f>
        <v>#REF!</v>
      </c>
      <c r="G119" s="3488"/>
      <c r="H119" s="3487" t="e">
        <f ca="1">NUMBERSTRING(INT(H118*10000),2)&amp;"元整"</f>
        <v>#REF!</v>
      </c>
      <c r="I119" s="3488"/>
    </row>
    <row r="120" spans="1:27" ht="18.75" customHeight="1">
      <c r="A120" s="3482" t="str">
        <f>IF(项目基本情况!B9="房地产市场价值","",MID(E103,3,LEN(E103)-2))</f>
        <v>估价师知悉的法定优先受偿款</v>
      </c>
      <c r="B120" s="3483"/>
      <c r="C120" s="3484"/>
      <c r="D120" s="3482">
        <f>H103</f>
        <v>0</v>
      </c>
      <c r="E120" s="3483"/>
      <c r="F120" s="3483"/>
      <c r="G120" s="3483"/>
      <c r="H120" s="3483"/>
      <c r="I120" s="348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4" t="s">
        <v>1702</v>
      </c>
      <c r="B121" s="3525"/>
      <c r="C121" s="3526"/>
      <c r="D121" s="3487" t="str">
        <f>IF(D120=0,"零元整",NUMBERSTRING(INT(D120*10000),2)&amp;"元整")</f>
        <v>零元整</v>
      </c>
      <c r="E121" s="3489"/>
      <c r="F121" s="3489"/>
      <c r="G121" s="3489"/>
      <c r="H121" s="3489"/>
      <c r="I121" s="3488"/>
      <c r="AA121" s="729"/>
    </row>
    <row r="122" spans="1:27" ht="18.75" customHeight="1">
      <c r="A122" s="3493" t="str">
        <f>IF(项目基本情况!B9="房地产市场价值","",MID(E107,3,LEN(E107)-2))</f>
        <v>房地产抵押价值</v>
      </c>
      <c r="B122" s="3493"/>
      <c r="C122" s="3493"/>
      <c r="D122" s="3482" t="e">
        <f ca="1">H107</f>
        <v>#REF!</v>
      </c>
      <c r="E122" s="3483"/>
      <c r="F122" s="3483"/>
      <c r="G122" s="3483"/>
      <c r="H122" s="3483"/>
      <c r="I122" s="3484"/>
      <c r="AA122" s="729"/>
    </row>
    <row r="123" spans="1:27" ht="18.75" customHeight="1">
      <c r="A123" s="3481" t="s">
        <v>1702</v>
      </c>
      <c r="B123" s="3481"/>
      <c r="C123" s="3481"/>
      <c r="D123" s="3487" t="e">
        <f ca="1">NUMBERSTRING(INT(D122*10000),2)&amp;"元整"</f>
        <v>#REF!</v>
      </c>
      <c r="E123" s="3489"/>
      <c r="F123" s="3489"/>
      <c r="G123" s="3489"/>
      <c r="H123" s="3489"/>
      <c r="I123" s="3488"/>
      <c r="AA123" s="729"/>
    </row>
    <row r="124" spans="1:27" ht="18.75" customHeight="1">
      <c r="A124" s="3493" t="str">
        <f>IF(项目基本情况!B9="房地产市场价值","",MID(E109,3,LEN(E109)-2))</f>
        <v/>
      </c>
      <c r="B124" s="3493"/>
      <c r="C124" s="3493"/>
      <c r="D124" s="3482" t="str">
        <f>H109</f>
        <v>——</v>
      </c>
      <c r="E124" s="3483"/>
      <c r="F124" s="3483"/>
      <c r="G124" s="3483"/>
      <c r="H124" s="3483"/>
      <c r="I124" s="3484"/>
      <c r="AA124" s="729"/>
    </row>
    <row r="125" spans="1:27" ht="18.75" customHeight="1">
      <c r="A125" s="3481" t="s">
        <v>1702</v>
      </c>
      <c r="B125" s="3481"/>
      <c r="C125" s="3481"/>
      <c r="D125" s="3487" t="e">
        <f>NUMBERSTRING(INT(D124*10000),2)&amp;"元整"</f>
        <v>#VALUE!</v>
      </c>
      <c r="E125" s="3489"/>
      <c r="F125" s="3489"/>
      <c r="G125" s="3489"/>
      <c r="H125" s="3489"/>
      <c r="I125" s="3488"/>
      <c r="AA125" s="729"/>
    </row>
    <row r="126" spans="1:27" ht="18.75" customHeight="1">
      <c r="A126" s="3493" t="str">
        <f>IF(项目基本情况!B9="房地产市场价值","",MID(E111,3,LEN(E111)-2))</f>
        <v/>
      </c>
      <c r="B126" s="3493"/>
      <c r="C126" s="3493"/>
      <c r="D126" s="3482" t="str">
        <f>H111</f>
        <v>——</v>
      </c>
      <c r="E126" s="3483"/>
      <c r="F126" s="3483"/>
      <c r="G126" s="3483"/>
      <c r="H126" s="3483"/>
      <c r="I126" s="3484"/>
      <c r="AA126" s="729"/>
    </row>
    <row r="127" spans="1:27" ht="18.75" customHeight="1">
      <c r="A127" s="3481" t="s">
        <v>1702</v>
      </c>
      <c r="B127" s="3481"/>
      <c r="C127" s="3481"/>
      <c r="D127" s="3487" t="e">
        <f>NUMBERSTRING(INT(D126*10000),2)&amp;"元整"</f>
        <v>#VALUE!</v>
      </c>
      <c r="E127" s="3489"/>
      <c r="F127" s="3489"/>
      <c r="G127" s="3489"/>
      <c r="H127" s="3489"/>
      <c r="I127" s="3488"/>
      <c r="AA127" s="729"/>
    </row>
    <row r="128" spans="1:27" ht="21.75" customHeight="1">
      <c r="A128" s="3490" t="s">
        <v>1703</v>
      </c>
      <c r="B128" s="3490"/>
      <c r="C128" s="3490"/>
      <c r="D128" s="3490"/>
      <c r="E128" s="3490"/>
      <c r="F128" s="3490"/>
      <c r="G128" s="3490"/>
      <c r="H128" s="3490"/>
      <c r="I128" s="3490"/>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254" width="9" style="253" customWidth="1"/>
    <col min="255" max="16384" width="8.33203125" style="253"/>
  </cols>
  <sheetData>
    <row r="1" spans="1:9" s="202" customFormat="1" ht="21">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6.2">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6.4">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2">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3" t="s">
        <v>1794</v>
      </c>
    </row>
    <row r="43" spans="1:7" ht="13.5" customHeight="1">
      <c r="A43" s="794" t="s">
        <v>580</v>
      </c>
      <c r="B43" s="217" t="s">
        <v>1795</v>
      </c>
      <c r="C43" s="240" t="e">
        <f ca="1">ROUND(IF('数据-取费表'!B22&lt;=1,C39*F22*'数据-取费表'!B21/2,C39*(POWER((1+F22),'数据-取费表'!B21/2)-1)),0)</f>
        <v>#VALUE!</v>
      </c>
      <c r="D43" s="240"/>
      <c r="E43" s="240"/>
      <c r="F43" s="241"/>
      <c r="G43" s="3564"/>
    </row>
    <row r="44" spans="1:7" ht="13.5" customHeight="1">
      <c r="A44" s="794" t="s">
        <v>581</v>
      </c>
      <c r="B44" s="217" t="s">
        <v>1796</v>
      </c>
      <c r="C44" s="240" t="e">
        <f ca="1">ROUND(IF('数据-取费表'!B22&lt;=1,C40*F22*'数据-取费表'!B21/2,C40*(POWER((1+F22),'数据-取费表'!B21/2)-1)),4)</f>
        <v>#VALUE!</v>
      </c>
      <c r="D44" s="240"/>
      <c r="E44" s="240"/>
      <c r="F44" s="241"/>
      <c r="G44" s="3565"/>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8"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57" customWidth="1"/>
    <col min="2" max="9" width="10" style="857" customWidth="1"/>
    <col min="10" max="16384" width="9" style="857"/>
  </cols>
  <sheetData>
    <row r="36" spans="1:9">
      <c r="A36" s="856" t="s">
        <v>605</v>
      </c>
      <c r="B36" s="856" t="s">
        <v>606</v>
      </c>
    </row>
    <row r="37" spans="1:9" ht="27.75" customHeight="1">
      <c r="A37" s="856"/>
      <c r="B37" s="3374" t="str">
        <f>项目基本情况!B1</f>
        <v>北京市房地产抵押价值预评估</v>
      </c>
      <c r="C37" s="3374"/>
      <c r="D37" s="3374"/>
      <c r="E37" s="3374"/>
      <c r="F37" s="3374"/>
      <c r="G37" s="3374"/>
      <c r="H37" s="3374"/>
      <c r="I37" s="3374"/>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8" width="10.77734375" style="253" customWidth="1"/>
    <col min="9" max="254" width="9" style="253" customWidth="1"/>
    <col min="255" max="16384" width="8.33203125" style="253"/>
  </cols>
  <sheetData>
    <row r="1" spans="1:8" s="202" customFormat="1" ht="21">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6.2">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6.4">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2">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3" t="s">
        <v>1841</v>
      </c>
    </row>
    <row r="43" spans="1:7" ht="13.5" customHeight="1">
      <c r="A43" s="794" t="s">
        <v>580</v>
      </c>
      <c r="B43" s="217" t="s">
        <v>1795</v>
      </c>
      <c r="C43" s="240" t="e">
        <f ca="1">ROUND(IF('数据-取费表'!B22&lt;=1,C39*F22*'数据-取费表'!B20/2,C39*(POWER((1+F22),'数据-取费表'!B20/2)-1)),0)</f>
        <v>#VALUE!</v>
      </c>
      <c r="D43" s="240"/>
      <c r="E43" s="240"/>
      <c r="F43" s="241"/>
      <c r="G43" s="3564"/>
    </row>
    <row r="44" spans="1:7" ht="13.5" customHeight="1">
      <c r="A44" s="794" t="s">
        <v>581</v>
      </c>
      <c r="B44" s="217" t="s">
        <v>1796</v>
      </c>
      <c r="C44" s="240" t="e">
        <f ca="1">ROUND(IF('数据-取费表'!B22&lt;=1,C40*F22*'数据-取费表'!B20/2,C40*(POWER((1+F22),'数据-取费表'!B20/2)-1)),4)</f>
        <v>#VALUE!</v>
      </c>
      <c r="D44" s="240"/>
      <c r="E44" s="240"/>
      <c r="F44" s="241"/>
      <c r="G44" s="3565"/>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8"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2" customWidth="1"/>
    <col min="2" max="2" width="25.77734375" style="795" customWidth="1"/>
    <col min="3" max="3" width="10.33203125" style="838" customWidth="1"/>
    <col min="4" max="4" width="9.88671875" style="795" customWidth="1"/>
    <col min="5" max="5" width="9.44140625" style="732" customWidth="1"/>
    <col min="6" max="6" width="10.109375" style="795" customWidth="1"/>
    <col min="7" max="7" width="10.77734375" style="795" customWidth="1"/>
    <col min="8" max="8" width="10" style="795" customWidth="1"/>
    <col min="9" max="11" width="9.44140625" style="795" customWidth="1"/>
    <col min="12" max="12" width="9" style="795" customWidth="1"/>
    <col min="13" max="13" width="10.44140625" style="795" bestFit="1" customWidth="1"/>
    <col min="14" max="254" width="9" style="795" customWidth="1"/>
    <col min="255" max="16384" width="6.6640625" style="795"/>
  </cols>
  <sheetData>
    <row r="1" spans="1:33" ht="21">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5.2">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3.2"/>
  <cols>
    <col min="1" max="1" width="9" style="260" customWidth="1"/>
    <col min="2" max="2" width="20.6640625" style="659" customWidth="1"/>
    <col min="3" max="3" width="11.88671875" style="659" customWidth="1"/>
    <col min="4" max="4" width="40.44140625" style="260" customWidth="1"/>
    <col min="5" max="5" width="15.77734375" style="260" customWidth="1"/>
    <col min="6" max="6" width="10.6640625" style="260" customWidth="1"/>
    <col min="7" max="7" width="4.88671875" style="260" customWidth="1"/>
    <col min="8" max="8" width="8.44140625" style="260" customWidth="1"/>
    <col min="9" max="9" width="21.21875" style="260" customWidth="1"/>
    <col min="10" max="10" width="12.21875" style="260" customWidth="1"/>
    <col min="11" max="11" width="45.109375" style="1460" customWidth="1"/>
    <col min="12" max="12" width="16.33203125" style="260" customWidth="1"/>
    <col min="13" max="13" width="13" style="260" customWidth="1"/>
    <col min="14" max="14" width="13.77734375" style="1376" customWidth="1"/>
    <col min="15" max="15" width="5.109375" style="1376" customWidth="1"/>
    <col min="16" max="16" width="25.77734375" style="1376" customWidth="1"/>
    <col min="17" max="17" width="13.77734375" style="1376" customWidth="1"/>
    <col min="18" max="18" width="20.44140625" style="1376" customWidth="1"/>
    <col min="19" max="19" width="13.21875" style="1376" customWidth="1"/>
    <col min="20" max="37" width="9" style="1376"/>
    <col min="38" max="16384" width="9" style="260"/>
  </cols>
  <sheetData>
    <row r="1" spans="1:37" s="295" customFormat="1" ht="21.6">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8" t="s">
        <v>932</v>
      </c>
      <c r="C6" s="1081">
        <f ca="1">ROUND(F6*F8*F7*(1-F9)/10000,0)</f>
        <v>0</v>
      </c>
      <c r="D6" s="159" t="s">
        <v>2393</v>
      </c>
      <c r="E6" s="304" t="s">
        <v>934</v>
      </c>
      <c r="F6" s="305">
        <f ca="1">INDIRECT("'数据-取费表'!u"&amp;$G$1)</f>
        <v>0</v>
      </c>
      <c r="G6" s="1376"/>
      <c r="H6" s="1076" t="s">
        <v>640</v>
      </c>
      <c r="I6" s="3568" t="s">
        <v>932</v>
      </c>
      <c r="J6" s="303">
        <f ca="1">ROUND(M6*M8*M7*(1-M9)/10000,0)</f>
        <v>0</v>
      </c>
      <c r="K6" s="159" t="s">
        <v>2392</v>
      </c>
      <c r="L6" s="304" t="s">
        <v>934</v>
      </c>
      <c r="M6" s="305">
        <f ca="1">INDIRECT("'数据-取费表'!z"&amp;$G$1)</f>
        <v>0</v>
      </c>
    </row>
    <row r="7" spans="1:37" ht="18" customHeight="1">
      <c r="A7" s="1080"/>
      <c r="B7" s="3569"/>
      <c r="C7" s="1082"/>
      <c r="D7" s="309"/>
      <c r="E7" s="1083" t="s">
        <v>935</v>
      </c>
      <c r="F7" s="305">
        <f ca="1">IF(INDIRECT("'数据-取费表'!ah"&amp;$G$1)="",INDIRECT("'数据-取费表'!k"&amp;$G$1),INDIRECT("'数据-取费表'!ah"&amp;$G$1))</f>
        <v>0</v>
      </c>
      <c r="G7" s="1376"/>
      <c r="H7" s="306"/>
      <c r="I7" s="3569"/>
      <c r="J7" s="308"/>
      <c r="K7" s="309"/>
      <c r="L7" s="304" t="s">
        <v>935</v>
      </c>
      <c r="M7" s="305">
        <f ca="1">F7</f>
        <v>0</v>
      </c>
    </row>
    <row r="8" spans="1:37" ht="18" customHeight="1">
      <c r="A8" s="306"/>
      <c r="B8" s="3569"/>
      <c r="C8" s="308"/>
      <c r="D8" s="309"/>
      <c r="E8" s="304" t="s">
        <v>936</v>
      </c>
      <c r="F8" s="305">
        <f ca="1">INDIRECT("'数据-取费表'!ai"&amp;$G$1)</f>
        <v>0</v>
      </c>
      <c r="G8" s="1376"/>
      <c r="H8" s="306"/>
      <c r="I8" s="3569"/>
      <c r="J8" s="308"/>
      <c r="K8" s="309"/>
      <c r="L8" s="304" t="s">
        <v>936</v>
      </c>
      <c r="M8" s="305">
        <f ca="1">INDIRECT("'数据-取费表'!ai"&amp;$G$1)</f>
        <v>0</v>
      </c>
    </row>
    <row r="9" spans="1:37" ht="18" customHeight="1">
      <c r="A9" s="306"/>
      <c r="B9" s="3570"/>
      <c r="C9" s="308"/>
      <c r="D9" s="309"/>
      <c r="E9" s="304" t="s">
        <v>937</v>
      </c>
      <c r="F9" s="314">
        <f ca="1">INDIRECT("'数据-取费表'!w"&amp;$G$1)</f>
        <v>0</v>
      </c>
      <c r="G9" s="1376"/>
      <c r="H9" s="306"/>
      <c r="I9" s="3570"/>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8"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8"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0.200000000000003"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8"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8"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8"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8"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6.6"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6" t="s">
        <v>1077</v>
      </c>
      <c r="L53" s="3567"/>
      <c r="O53" s="1410" t="s">
        <v>651</v>
      </c>
      <c r="P53" s="1411" t="s">
        <v>1078</v>
      </c>
      <c r="Q53" s="1412" t="e">
        <f ca="1">Q47+Q48</f>
        <v>#VALUE!</v>
      </c>
      <c r="R53" s="1412" t="s">
        <v>652</v>
      </c>
    </row>
    <row r="54" spans="1:18" s="1376" customFormat="1" ht="24.6"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8"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37.200000000000003"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6"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6"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6"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2"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8"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8"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8"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8"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8"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2"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24.6"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2"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8" thickBot="1">
      <c r="A69" s="961"/>
      <c r="B69" s="962"/>
      <c r="C69" s="308"/>
      <c r="D69" s="980" t="s">
        <v>1002</v>
      </c>
      <c r="E69" s="960" t="s">
        <v>1003</v>
      </c>
      <c r="F69" s="335">
        <f ca="1">F41</f>
        <v>0</v>
      </c>
      <c r="O69" s="1420" t="s">
        <v>653</v>
      </c>
      <c r="P69" s="1459" t="s">
        <v>1113</v>
      </c>
      <c r="Q69" s="1412" t="e">
        <f ca="1">C39</f>
        <v>#VALUE!</v>
      </c>
      <c r="R69" s="1412" t="s">
        <v>1058</v>
      </c>
    </row>
    <row r="70" spans="1:18" s="1376" customFormat="1" ht="13.8" thickBot="1">
      <c r="A70" s="964"/>
      <c r="B70" s="965"/>
      <c r="C70" s="312"/>
      <c r="D70" s="976"/>
      <c r="E70" s="960" t="s">
        <v>1006</v>
      </c>
      <c r="F70" s="1064"/>
      <c r="O70" s="1420" t="s">
        <v>654</v>
      </c>
      <c r="P70" s="1459" t="s">
        <v>1114</v>
      </c>
      <c r="Q70" s="1412" t="e">
        <f ca="1">C13</f>
        <v>#VALUE!</v>
      </c>
      <c r="R70" s="1412" t="s">
        <v>1058</v>
      </c>
    </row>
    <row r="71" spans="1:18" s="1376" customFormat="1" ht="13.8"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8" thickBot="1">
      <c r="B72" s="730"/>
      <c r="C72" s="730"/>
      <c r="O72" s="1420" t="s">
        <v>649</v>
      </c>
      <c r="P72" s="1411" t="s">
        <v>1093</v>
      </c>
      <c r="Q72" s="1423">
        <f>L52</f>
        <v>0</v>
      </c>
      <c r="R72" s="1412"/>
    </row>
    <row r="73" spans="1:18" ht="16.2" thickBot="1">
      <c r="A73" s="1376"/>
      <c r="B73" s="730"/>
      <c r="C73" s="730"/>
      <c r="D73" s="1376"/>
      <c r="E73" s="1376"/>
      <c r="F73" s="1376"/>
      <c r="O73" s="1420" t="s">
        <v>650</v>
      </c>
      <c r="P73" s="1411" t="s">
        <v>1096</v>
      </c>
      <c r="Q73" s="1412" t="e">
        <f ca="1">L58</f>
        <v>#DIV/0!</v>
      </c>
      <c r="R73" s="1412" t="s">
        <v>1097</v>
      </c>
    </row>
    <row r="74" spans="1:18" ht="13.8"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8"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0" customWidth="1"/>
    <col min="2" max="2" width="20.6640625" style="659" customWidth="1"/>
    <col min="3" max="3" width="11.88671875" style="659" customWidth="1"/>
    <col min="4" max="4" width="40.44140625" style="260" customWidth="1"/>
    <col min="5" max="5" width="15.77734375" style="260" customWidth="1"/>
    <col min="6" max="6" width="10.6640625" style="260" customWidth="1"/>
    <col min="7" max="7" width="4.88671875" style="260" customWidth="1"/>
    <col min="8" max="8" width="8.44140625" style="260" customWidth="1"/>
    <col min="9" max="9" width="21.21875" style="260" customWidth="1"/>
    <col min="10" max="10" width="12.21875" style="260" customWidth="1"/>
    <col min="11" max="11" width="40.109375" style="1460" customWidth="1"/>
    <col min="12" max="12" width="16.33203125" style="260" customWidth="1"/>
    <col min="13" max="13" width="13" style="260" customWidth="1"/>
    <col min="14" max="14" width="13.77734375" style="1376" customWidth="1"/>
    <col min="15" max="15" width="5.109375" style="1376" customWidth="1"/>
    <col min="16" max="16" width="25.77734375" style="1376" customWidth="1"/>
    <col min="17" max="17" width="13.77734375" style="1376" customWidth="1"/>
    <col min="18" max="18" width="20.44140625" style="1376" customWidth="1"/>
    <col min="19" max="19" width="13.21875" style="1376" customWidth="1"/>
    <col min="20" max="37" width="9" style="1376"/>
    <col min="38" max="16384" width="9" style="260"/>
  </cols>
  <sheetData>
    <row r="1" spans="1:37" s="295" customFormat="1" ht="21.6">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8" t="s">
        <v>932</v>
      </c>
      <c r="C6" s="1081">
        <f ca="1">ROUND(F6*F8*F7*(1-F9),0)</f>
        <v>0</v>
      </c>
      <c r="D6" s="159" t="s">
        <v>2390</v>
      </c>
      <c r="E6" s="304" t="s">
        <v>934</v>
      </c>
      <c r="F6" s="305">
        <f ca="1">INDIRECT("'数据-取费表'!u"&amp;$G$1)</f>
        <v>0</v>
      </c>
      <c r="G6" s="1376"/>
      <c r="H6" s="1076" t="s">
        <v>640</v>
      </c>
      <c r="I6" s="3568" t="s">
        <v>932</v>
      </c>
      <c r="J6" s="303">
        <f ca="1">ROUND(M6*M8*M7*(1-M9),0)</f>
        <v>0</v>
      </c>
      <c r="K6" s="1368" t="s">
        <v>2391</v>
      </c>
      <c r="L6" s="304" t="s">
        <v>934</v>
      </c>
      <c r="M6" s="305">
        <f ca="1">INDIRECT("'数据-取费表'!z"&amp;$G$1)</f>
        <v>0</v>
      </c>
    </row>
    <row r="7" spans="1:37" ht="18" customHeight="1">
      <c r="A7" s="1080"/>
      <c r="B7" s="3569"/>
      <c r="C7" s="1082"/>
      <c r="D7" s="309"/>
      <c r="E7" s="1083" t="s">
        <v>935</v>
      </c>
      <c r="F7" s="305">
        <f ca="1">IF(INDIRECT("'数据-取费表'!ah"&amp;$G$1)="",INDIRECT("'数据-取费表'!k"&amp;$G$1),INDIRECT("'数据-取费表'!ah"&amp;$G$1))</f>
        <v>0</v>
      </c>
      <c r="G7" s="1376"/>
      <c r="H7" s="306"/>
      <c r="I7" s="3569"/>
      <c r="J7" s="308"/>
      <c r="K7" s="309"/>
      <c r="L7" s="304" t="s">
        <v>935</v>
      </c>
      <c r="M7" s="305">
        <f ca="1">F7</f>
        <v>0</v>
      </c>
    </row>
    <row r="8" spans="1:37" ht="18" customHeight="1">
      <c r="A8" s="306"/>
      <c r="B8" s="3569"/>
      <c r="C8" s="308"/>
      <c r="D8" s="309"/>
      <c r="E8" s="304" t="s">
        <v>936</v>
      </c>
      <c r="F8" s="305">
        <f ca="1">INDIRECT("'数据-取费表'!ai"&amp;$G$1)</f>
        <v>0</v>
      </c>
      <c r="G8" s="1376"/>
      <c r="H8" s="306"/>
      <c r="I8" s="3569"/>
      <c r="J8" s="308"/>
      <c r="K8" s="309"/>
      <c r="L8" s="304" t="s">
        <v>936</v>
      </c>
      <c r="M8" s="305">
        <f ca="1">INDIRECT("'数据-取费表'!ai"&amp;$G$1)</f>
        <v>0</v>
      </c>
    </row>
    <row r="9" spans="1:37" ht="18" customHeight="1">
      <c r="A9" s="306"/>
      <c r="B9" s="3570"/>
      <c r="C9" s="308"/>
      <c r="D9" s="309"/>
      <c r="E9" s="304" t="s">
        <v>937</v>
      </c>
      <c r="F9" s="314">
        <f ca="1">INDIRECT("'数据-取费表'!w"&amp;$G$1)</f>
        <v>0</v>
      </c>
      <c r="G9" s="1376"/>
      <c r="H9" s="306"/>
      <c r="I9" s="3570"/>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8"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8"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0.200000000000003"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8"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8"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8"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8"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6" t="s">
        <v>1077</v>
      </c>
      <c r="L53" s="3567"/>
      <c r="O53" s="1410" t="s">
        <v>651</v>
      </c>
      <c r="P53" s="1411" t="s">
        <v>1078</v>
      </c>
      <c r="Q53" s="1412" t="e">
        <f ca="1">Q47+Q48</f>
        <v>#VALUE!</v>
      </c>
      <c r="R53" s="1412" t="s">
        <v>652</v>
      </c>
    </row>
    <row r="54" spans="1:18" s="1376" customFormat="1" ht="13.8"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8"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6"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6"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6"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2"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8"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8"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8"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8"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8"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2"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24.6"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2"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8" thickBot="1">
      <c r="A69" s="961"/>
      <c r="B69" s="962"/>
      <c r="C69" s="308"/>
      <c r="D69" s="980" t="s">
        <v>1002</v>
      </c>
      <c r="E69" s="960" t="s">
        <v>1003</v>
      </c>
      <c r="F69" s="335">
        <f ca="1">F41</f>
        <v>0</v>
      </c>
      <c r="O69" s="1420" t="s">
        <v>653</v>
      </c>
      <c r="P69" s="1459" t="s">
        <v>1113</v>
      </c>
      <c r="Q69" s="1412" t="e">
        <f ca="1">C39</f>
        <v>#VALUE!</v>
      </c>
      <c r="R69" s="1412" t="s">
        <v>1058</v>
      </c>
    </row>
    <row r="70" spans="1:18" s="1376" customFormat="1" ht="13.8" thickBot="1">
      <c r="A70" s="964"/>
      <c r="B70" s="965"/>
      <c r="C70" s="312"/>
      <c r="D70" s="976"/>
      <c r="E70" s="960" t="s">
        <v>1006</v>
      </c>
      <c r="F70" s="1064">
        <f ca="1">F42</f>
        <v>0</v>
      </c>
      <c r="O70" s="1420" t="s">
        <v>654</v>
      </c>
      <c r="P70" s="1459" t="s">
        <v>1114</v>
      </c>
      <c r="Q70" s="1412" t="e">
        <f ca="1">C13</f>
        <v>#VALUE!</v>
      </c>
      <c r="R70" s="1412" t="s">
        <v>1058</v>
      </c>
    </row>
    <row r="71" spans="1:18" s="1376" customFormat="1" ht="13.8"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8" thickBot="1">
      <c r="B72" s="730"/>
      <c r="C72" s="730"/>
      <c r="O72" s="1420" t="s">
        <v>649</v>
      </c>
      <c r="P72" s="1411" t="s">
        <v>1093</v>
      </c>
      <c r="Q72" s="1423">
        <f>L52</f>
        <v>0</v>
      </c>
      <c r="R72" s="1412"/>
    </row>
    <row r="73" spans="1:18" ht="16.2" thickBot="1">
      <c r="A73" s="1376"/>
      <c r="B73" s="730"/>
      <c r="C73" s="730"/>
      <c r="D73" s="1376"/>
      <c r="E73" s="1376"/>
      <c r="F73" s="1376"/>
      <c r="O73" s="1420" t="s">
        <v>650</v>
      </c>
      <c r="P73" s="1411" t="s">
        <v>1096</v>
      </c>
      <c r="Q73" s="1412" t="e">
        <f ca="1">L58</f>
        <v>#DIV/0!</v>
      </c>
      <c r="R73" s="1412" t="s">
        <v>1097</v>
      </c>
    </row>
    <row r="74" spans="1:18" ht="13.8"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8"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2" customHeight="1"/>
  <cols>
    <col min="1" max="1" width="9.44140625" style="2665" customWidth="1"/>
    <col min="2" max="2" width="8.88671875" style="2665"/>
    <col min="3" max="5" width="12.88671875" style="2665" customWidth="1"/>
    <col min="6" max="6" width="47.44140625" style="2665" customWidth="1"/>
    <col min="7" max="7" width="13" style="2824" customWidth="1"/>
    <col min="8" max="8" width="8.88671875" style="2659"/>
    <col min="9" max="9" width="8.88671875" style="2660"/>
    <col min="10" max="10" width="5.77734375" style="2825" customWidth="1"/>
    <col min="11" max="11" width="11.77734375" style="2825" customWidth="1"/>
    <col min="12" max="13" width="10.77734375" style="2825" customWidth="1"/>
    <col min="14" max="14" width="10" style="2825" customWidth="1"/>
    <col min="15" max="16" width="10.44140625" style="2825" bestFit="1" customWidth="1"/>
    <col min="17" max="17" width="10" style="2825" customWidth="1"/>
    <col min="18" max="18" width="10.109375" style="2825" customWidth="1"/>
    <col min="19" max="19" width="10" style="2825" customWidth="1"/>
    <col min="20" max="20" width="26.109375" style="2825" customWidth="1"/>
    <col min="21" max="21" width="8.88671875" style="2825"/>
    <col min="22" max="22" width="8.88671875" style="2660"/>
    <col min="23" max="256" width="8.88671875" style="2665"/>
    <col min="257" max="257" width="9.44140625" style="2665" customWidth="1"/>
    <col min="258" max="258" width="8.88671875" style="2665"/>
    <col min="259" max="261" width="12.88671875" style="2665" customWidth="1"/>
    <col min="262" max="262" width="47.44140625" style="2665" customWidth="1"/>
    <col min="263" max="263" width="13" style="2665" customWidth="1"/>
    <col min="264" max="265" width="8.88671875" style="2665"/>
    <col min="266" max="266" width="5.77734375" style="2665" customWidth="1"/>
    <col min="267" max="267" width="11.77734375" style="2665" customWidth="1"/>
    <col min="268" max="269" width="10.77734375" style="2665" customWidth="1"/>
    <col min="270" max="270" width="10" style="2665" customWidth="1"/>
    <col min="271" max="272" width="10.44140625" style="2665" bestFit="1" customWidth="1"/>
    <col min="273" max="273" width="10" style="2665" customWidth="1"/>
    <col min="274" max="274" width="10.109375" style="2665" customWidth="1"/>
    <col min="275" max="275" width="10" style="2665" customWidth="1"/>
    <col min="276" max="276" width="26.109375" style="2665" customWidth="1"/>
    <col min="277" max="512" width="8.88671875" style="2665"/>
    <col min="513" max="513" width="9.44140625" style="2665" customWidth="1"/>
    <col min="514" max="514" width="8.88671875" style="2665"/>
    <col min="515" max="517" width="12.88671875" style="2665" customWidth="1"/>
    <col min="518" max="518" width="47.44140625" style="2665" customWidth="1"/>
    <col min="519" max="519" width="13" style="2665" customWidth="1"/>
    <col min="520" max="521" width="8.88671875" style="2665"/>
    <col min="522" max="522" width="5.77734375" style="2665" customWidth="1"/>
    <col min="523" max="523" width="11.77734375" style="2665" customWidth="1"/>
    <col min="524" max="525" width="10.77734375" style="2665" customWidth="1"/>
    <col min="526" max="526" width="10" style="2665" customWidth="1"/>
    <col min="527" max="528" width="10.44140625" style="2665" bestFit="1" customWidth="1"/>
    <col min="529" max="529" width="10" style="2665" customWidth="1"/>
    <col min="530" max="530" width="10.109375" style="2665" customWidth="1"/>
    <col min="531" max="531" width="10" style="2665" customWidth="1"/>
    <col min="532" max="532" width="26.109375" style="2665" customWidth="1"/>
    <col min="533" max="768" width="8.88671875" style="2665"/>
    <col min="769" max="769" width="9.44140625" style="2665" customWidth="1"/>
    <col min="770" max="770" width="8.88671875" style="2665"/>
    <col min="771" max="773" width="12.88671875" style="2665" customWidth="1"/>
    <col min="774" max="774" width="47.44140625" style="2665" customWidth="1"/>
    <col min="775" max="775" width="13" style="2665" customWidth="1"/>
    <col min="776" max="777" width="8.88671875" style="2665"/>
    <col min="778" max="778" width="5.77734375" style="2665" customWidth="1"/>
    <col min="779" max="779" width="11.77734375" style="2665" customWidth="1"/>
    <col min="780" max="781" width="10.77734375" style="2665" customWidth="1"/>
    <col min="782" max="782" width="10" style="2665" customWidth="1"/>
    <col min="783" max="784" width="10.44140625" style="2665" bestFit="1" customWidth="1"/>
    <col min="785" max="785" width="10" style="2665" customWidth="1"/>
    <col min="786" max="786" width="10.109375" style="2665" customWidth="1"/>
    <col min="787" max="787" width="10" style="2665" customWidth="1"/>
    <col min="788" max="788" width="26.109375" style="2665" customWidth="1"/>
    <col min="789" max="1024" width="8.88671875" style="2665"/>
    <col min="1025" max="1025" width="9.44140625" style="2665" customWidth="1"/>
    <col min="1026" max="1026" width="8.88671875" style="2665"/>
    <col min="1027" max="1029" width="12.88671875" style="2665" customWidth="1"/>
    <col min="1030" max="1030" width="47.44140625" style="2665" customWidth="1"/>
    <col min="1031" max="1031" width="13" style="2665" customWidth="1"/>
    <col min="1032" max="1033" width="8.88671875" style="2665"/>
    <col min="1034" max="1034" width="5.77734375" style="2665" customWidth="1"/>
    <col min="1035" max="1035" width="11.77734375" style="2665" customWidth="1"/>
    <col min="1036" max="1037" width="10.77734375" style="2665" customWidth="1"/>
    <col min="1038" max="1038" width="10" style="2665" customWidth="1"/>
    <col min="1039" max="1040" width="10.44140625" style="2665" bestFit="1" customWidth="1"/>
    <col min="1041" max="1041" width="10" style="2665" customWidth="1"/>
    <col min="1042" max="1042" width="10.109375" style="2665" customWidth="1"/>
    <col min="1043" max="1043" width="10" style="2665" customWidth="1"/>
    <col min="1044" max="1044" width="26.109375" style="2665" customWidth="1"/>
    <col min="1045" max="1280" width="8.88671875" style="2665"/>
    <col min="1281" max="1281" width="9.44140625" style="2665" customWidth="1"/>
    <col min="1282" max="1282" width="8.88671875" style="2665"/>
    <col min="1283" max="1285" width="12.88671875" style="2665" customWidth="1"/>
    <col min="1286" max="1286" width="47.44140625" style="2665" customWidth="1"/>
    <col min="1287" max="1287" width="13" style="2665" customWidth="1"/>
    <col min="1288" max="1289" width="8.88671875" style="2665"/>
    <col min="1290" max="1290" width="5.77734375" style="2665" customWidth="1"/>
    <col min="1291" max="1291" width="11.77734375" style="2665" customWidth="1"/>
    <col min="1292" max="1293" width="10.77734375" style="2665" customWidth="1"/>
    <col min="1294" max="1294" width="10" style="2665" customWidth="1"/>
    <col min="1295" max="1296" width="10.44140625" style="2665" bestFit="1" customWidth="1"/>
    <col min="1297" max="1297" width="10" style="2665" customWidth="1"/>
    <col min="1298" max="1298" width="10.109375" style="2665" customWidth="1"/>
    <col min="1299" max="1299" width="10" style="2665" customWidth="1"/>
    <col min="1300" max="1300" width="26.109375" style="2665" customWidth="1"/>
    <col min="1301" max="1536" width="8.88671875" style="2665"/>
    <col min="1537" max="1537" width="9.44140625" style="2665" customWidth="1"/>
    <col min="1538" max="1538" width="8.88671875" style="2665"/>
    <col min="1539" max="1541" width="12.88671875" style="2665" customWidth="1"/>
    <col min="1542" max="1542" width="47.44140625" style="2665" customWidth="1"/>
    <col min="1543" max="1543" width="13" style="2665" customWidth="1"/>
    <col min="1544" max="1545" width="8.88671875" style="2665"/>
    <col min="1546" max="1546" width="5.77734375" style="2665" customWidth="1"/>
    <col min="1547" max="1547" width="11.77734375" style="2665" customWidth="1"/>
    <col min="1548" max="1549" width="10.77734375" style="2665" customWidth="1"/>
    <col min="1550" max="1550" width="10" style="2665" customWidth="1"/>
    <col min="1551" max="1552" width="10.44140625" style="2665" bestFit="1" customWidth="1"/>
    <col min="1553" max="1553" width="10" style="2665" customWidth="1"/>
    <col min="1554" max="1554" width="10.109375" style="2665" customWidth="1"/>
    <col min="1555" max="1555" width="10" style="2665" customWidth="1"/>
    <col min="1556" max="1556" width="26.109375" style="2665" customWidth="1"/>
    <col min="1557" max="1792" width="8.88671875" style="2665"/>
    <col min="1793" max="1793" width="9.44140625" style="2665" customWidth="1"/>
    <col min="1794" max="1794" width="8.88671875" style="2665"/>
    <col min="1795" max="1797" width="12.88671875" style="2665" customWidth="1"/>
    <col min="1798" max="1798" width="47.44140625" style="2665" customWidth="1"/>
    <col min="1799" max="1799" width="13" style="2665" customWidth="1"/>
    <col min="1800" max="1801" width="8.88671875" style="2665"/>
    <col min="1802" max="1802" width="5.77734375" style="2665" customWidth="1"/>
    <col min="1803" max="1803" width="11.77734375" style="2665" customWidth="1"/>
    <col min="1804" max="1805" width="10.77734375" style="2665" customWidth="1"/>
    <col min="1806" max="1806" width="10" style="2665" customWidth="1"/>
    <col min="1807" max="1808" width="10.44140625" style="2665" bestFit="1" customWidth="1"/>
    <col min="1809" max="1809" width="10" style="2665" customWidth="1"/>
    <col min="1810" max="1810" width="10.109375" style="2665" customWidth="1"/>
    <col min="1811" max="1811" width="10" style="2665" customWidth="1"/>
    <col min="1812" max="1812" width="26.109375" style="2665" customWidth="1"/>
    <col min="1813" max="2048" width="8.88671875" style="2665"/>
    <col min="2049" max="2049" width="9.44140625" style="2665" customWidth="1"/>
    <col min="2050" max="2050" width="8.88671875" style="2665"/>
    <col min="2051" max="2053" width="12.88671875" style="2665" customWidth="1"/>
    <col min="2054" max="2054" width="47.44140625" style="2665" customWidth="1"/>
    <col min="2055" max="2055" width="13" style="2665" customWidth="1"/>
    <col min="2056" max="2057" width="8.88671875" style="2665"/>
    <col min="2058" max="2058" width="5.77734375" style="2665" customWidth="1"/>
    <col min="2059" max="2059" width="11.77734375" style="2665" customWidth="1"/>
    <col min="2060" max="2061" width="10.77734375" style="2665" customWidth="1"/>
    <col min="2062" max="2062" width="10" style="2665" customWidth="1"/>
    <col min="2063" max="2064" width="10.44140625" style="2665" bestFit="1" customWidth="1"/>
    <col min="2065" max="2065" width="10" style="2665" customWidth="1"/>
    <col min="2066" max="2066" width="10.109375" style="2665" customWidth="1"/>
    <col min="2067" max="2067" width="10" style="2665" customWidth="1"/>
    <col min="2068" max="2068" width="26.109375" style="2665" customWidth="1"/>
    <col min="2069" max="2304" width="8.88671875" style="2665"/>
    <col min="2305" max="2305" width="9.44140625" style="2665" customWidth="1"/>
    <col min="2306" max="2306" width="8.88671875" style="2665"/>
    <col min="2307" max="2309" width="12.88671875" style="2665" customWidth="1"/>
    <col min="2310" max="2310" width="47.44140625" style="2665" customWidth="1"/>
    <col min="2311" max="2311" width="13" style="2665" customWidth="1"/>
    <col min="2312" max="2313" width="8.88671875" style="2665"/>
    <col min="2314" max="2314" width="5.77734375" style="2665" customWidth="1"/>
    <col min="2315" max="2315" width="11.77734375" style="2665" customWidth="1"/>
    <col min="2316" max="2317" width="10.77734375" style="2665" customWidth="1"/>
    <col min="2318" max="2318" width="10" style="2665" customWidth="1"/>
    <col min="2319" max="2320" width="10.44140625" style="2665" bestFit="1" customWidth="1"/>
    <col min="2321" max="2321" width="10" style="2665" customWidth="1"/>
    <col min="2322" max="2322" width="10.109375" style="2665" customWidth="1"/>
    <col min="2323" max="2323" width="10" style="2665" customWidth="1"/>
    <col min="2324" max="2324" width="26.109375" style="2665" customWidth="1"/>
    <col min="2325" max="2560" width="8.88671875" style="2665"/>
    <col min="2561" max="2561" width="9.44140625" style="2665" customWidth="1"/>
    <col min="2562" max="2562" width="8.88671875" style="2665"/>
    <col min="2563" max="2565" width="12.88671875" style="2665" customWidth="1"/>
    <col min="2566" max="2566" width="47.44140625" style="2665" customWidth="1"/>
    <col min="2567" max="2567" width="13" style="2665" customWidth="1"/>
    <col min="2568" max="2569" width="8.88671875" style="2665"/>
    <col min="2570" max="2570" width="5.77734375" style="2665" customWidth="1"/>
    <col min="2571" max="2571" width="11.77734375" style="2665" customWidth="1"/>
    <col min="2572" max="2573" width="10.77734375" style="2665" customWidth="1"/>
    <col min="2574" max="2574" width="10" style="2665" customWidth="1"/>
    <col min="2575" max="2576" width="10.44140625" style="2665" bestFit="1" customWidth="1"/>
    <col min="2577" max="2577" width="10" style="2665" customWidth="1"/>
    <col min="2578" max="2578" width="10.109375" style="2665" customWidth="1"/>
    <col min="2579" max="2579" width="10" style="2665" customWidth="1"/>
    <col min="2580" max="2580" width="26.109375" style="2665" customWidth="1"/>
    <col min="2581" max="2816" width="8.88671875" style="2665"/>
    <col min="2817" max="2817" width="9.44140625" style="2665" customWidth="1"/>
    <col min="2818" max="2818" width="8.88671875" style="2665"/>
    <col min="2819" max="2821" width="12.88671875" style="2665" customWidth="1"/>
    <col min="2822" max="2822" width="47.44140625" style="2665" customWidth="1"/>
    <col min="2823" max="2823" width="13" style="2665" customWidth="1"/>
    <col min="2824" max="2825" width="8.88671875" style="2665"/>
    <col min="2826" max="2826" width="5.77734375" style="2665" customWidth="1"/>
    <col min="2827" max="2827" width="11.77734375" style="2665" customWidth="1"/>
    <col min="2828" max="2829" width="10.77734375" style="2665" customWidth="1"/>
    <col min="2830" max="2830" width="10" style="2665" customWidth="1"/>
    <col min="2831" max="2832" width="10.44140625" style="2665" bestFit="1" customWidth="1"/>
    <col min="2833" max="2833" width="10" style="2665" customWidth="1"/>
    <col min="2834" max="2834" width="10.109375" style="2665" customWidth="1"/>
    <col min="2835" max="2835" width="10" style="2665" customWidth="1"/>
    <col min="2836" max="2836" width="26.109375" style="2665" customWidth="1"/>
    <col min="2837" max="3072" width="8.88671875" style="2665"/>
    <col min="3073" max="3073" width="9.44140625" style="2665" customWidth="1"/>
    <col min="3074" max="3074" width="8.88671875" style="2665"/>
    <col min="3075" max="3077" width="12.88671875" style="2665" customWidth="1"/>
    <col min="3078" max="3078" width="47.44140625" style="2665" customWidth="1"/>
    <col min="3079" max="3079" width="13" style="2665" customWidth="1"/>
    <col min="3080" max="3081" width="8.88671875" style="2665"/>
    <col min="3082" max="3082" width="5.77734375" style="2665" customWidth="1"/>
    <col min="3083" max="3083" width="11.77734375" style="2665" customWidth="1"/>
    <col min="3084" max="3085" width="10.77734375" style="2665" customWidth="1"/>
    <col min="3086" max="3086" width="10" style="2665" customWidth="1"/>
    <col min="3087" max="3088" width="10.44140625" style="2665" bestFit="1" customWidth="1"/>
    <col min="3089" max="3089" width="10" style="2665" customWidth="1"/>
    <col min="3090" max="3090" width="10.109375" style="2665" customWidth="1"/>
    <col min="3091" max="3091" width="10" style="2665" customWidth="1"/>
    <col min="3092" max="3092" width="26.109375" style="2665" customWidth="1"/>
    <col min="3093" max="3328" width="8.88671875" style="2665"/>
    <col min="3329" max="3329" width="9.44140625" style="2665" customWidth="1"/>
    <col min="3330" max="3330" width="8.88671875" style="2665"/>
    <col min="3331" max="3333" width="12.88671875" style="2665" customWidth="1"/>
    <col min="3334" max="3334" width="47.44140625" style="2665" customWidth="1"/>
    <col min="3335" max="3335" width="13" style="2665" customWidth="1"/>
    <col min="3336" max="3337" width="8.88671875" style="2665"/>
    <col min="3338" max="3338" width="5.77734375" style="2665" customWidth="1"/>
    <col min="3339" max="3339" width="11.77734375" style="2665" customWidth="1"/>
    <col min="3340" max="3341" width="10.77734375" style="2665" customWidth="1"/>
    <col min="3342" max="3342" width="10" style="2665" customWidth="1"/>
    <col min="3343" max="3344" width="10.44140625" style="2665" bestFit="1" customWidth="1"/>
    <col min="3345" max="3345" width="10" style="2665" customWidth="1"/>
    <col min="3346" max="3346" width="10.109375" style="2665" customWidth="1"/>
    <col min="3347" max="3347" width="10" style="2665" customWidth="1"/>
    <col min="3348" max="3348" width="26.109375" style="2665" customWidth="1"/>
    <col min="3349" max="3584" width="8.88671875" style="2665"/>
    <col min="3585" max="3585" width="9.44140625" style="2665" customWidth="1"/>
    <col min="3586" max="3586" width="8.88671875" style="2665"/>
    <col min="3587" max="3589" width="12.88671875" style="2665" customWidth="1"/>
    <col min="3590" max="3590" width="47.44140625" style="2665" customWidth="1"/>
    <col min="3591" max="3591" width="13" style="2665" customWidth="1"/>
    <col min="3592" max="3593" width="8.88671875" style="2665"/>
    <col min="3594" max="3594" width="5.77734375" style="2665" customWidth="1"/>
    <col min="3595" max="3595" width="11.77734375" style="2665" customWidth="1"/>
    <col min="3596" max="3597" width="10.77734375" style="2665" customWidth="1"/>
    <col min="3598" max="3598" width="10" style="2665" customWidth="1"/>
    <col min="3599" max="3600" width="10.44140625" style="2665" bestFit="1" customWidth="1"/>
    <col min="3601" max="3601" width="10" style="2665" customWidth="1"/>
    <col min="3602" max="3602" width="10.109375" style="2665" customWidth="1"/>
    <col min="3603" max="3603" width="10" style="2665" customWidth="1"/>
    <col min="3604" max="3604" width="26.109375" style="2665" customWidth="1"/>
    <col min="3605" max="3840" width="8.88671875" style="2665"/>
    <col min="3841" max="3841" width="9.44140625" style="2665" customWidth="1"/>
    <col min="3842" max="3842" width="8.88671875" style="2665"/>
    <col min="3843" max="3845" width="12.88671875" style="2665" customWidth="1"/>
    <col min="3846" max="3846" width="47.44140625" style="2665" customWidth="1"/>
    <col min="3847" max="3847" width="13" style="2665" customWidth="1"/>
    <col min="3848" max="3849" width="8.88671875" style="2665"/>
    <col min="3850" max="3850" width="5.77734375" style="2665" customWidth="1"/>
    <col min="3851" max="3851" width="11.77734375" style="2665" customWidth="1"/>
    <col min="3852" max="3853" width="10.77734375" style="2665" customWidth="1"/>
    <col min="3854" max="3854" width="10" style="2665" customWidth="1"/>
    <col min="3855" max="3856" width="10.44140625" style="2665" bestFit="1" customWidth="1"/>
    <col min="3857" max="3857" width="10" style="2665" customWidth="1"/>
    <col min="3858" max="3858" width="10.109375" style="2665" customWidth="1"/>
    <col min="3859" max="3859" width="10" style="2665" customWidth="1"/>
    <col min="3860" max="3860" width="26.109375" style="2665" customWidth="1"/>
    <col min="3861" max="4096" width="8.88671875" style="2665"/>
    <col min="4097" max="4097" width="9.44140625" style="2665" customWidth="1"/>
    <col min="4098" max="4098" width="8.88671875" style="2665"/>
    <col min="4099" max="4101" width="12.88671875" style="2665" customWidth="1"/>
    <col min="4102" max="4102" width="47.44140625" style="2665" customWidth="1"/>
    <col min="4103" max="4103" width="13" style="2665" customWidth="1"/>
    <col min="4104" max="4105" width="8.88671875" style="2665"/>
    <col min="4106" max="4106" width="5.77734375" style="2665" customWidth="1"/>
    <col min="4107" max="4107" width="11.77734375" style="2665" customWidth="1"/>
    <col min="4108" max="4109" width="10.77734375" style="2665" customWidth="1"/>
    <col min="4110" max="4110" width="10" style="2665" customWidth="1"/>
    <col min="4111" max="4112" width="10.44140625" style="2665" bestFit="1" customWidth="1"/>
    <col min="4113" max="4113" width="10" style="2665" customWidth="1"/>
    <col min="4114" max="4114" width="10.109375" style="2665" customWidth="1"/>
    <col min="4115" max="4115" width="10" style="2665" customWidth="1"/>
    <col min="4116" max="4116" width="26.109375" style="2665" customWidth="1"/>
    <col min="4117" max="4352" width="8.88671875" style="2665"/>
    <col min="4353" max="4353" width="9.44140625" style="2665" customWidth="1"/>
    <col min="4354" max="4354" width="8.88671875" style="2665"/>
    <col min="4355" max="4357" width="12.88671875" style="2665" customWidth="1"/>
    <col min="4358" max="4358" width="47.44140625" style="2665" customWidth="1"/>
    <col min="4359" max="4359" width="13" style="2665" customWidth="1"/>
    <col min="4360" max="4361" width="8.88671875" style="2665"/>
    <col min="4362" max="4362" width="5.77734375" style="2665" customWidth="1"/>
    <col min="4363" max="4363" width="11.77734375" style="2665" customWidth="1"/>
    <col min="4364" max="4365" width="10.77734375" style="2665" customWidth="1"/>
    <col min="4366" max="4366" width="10" style="2665" customWidth="1"/>
    <col min="4367" max="4368" width="10.44140625" style="2665" bestFit="1" customWidth="1"/>
    <col min="4369" max="4369" width="10" style="2665" customWidth="1"/>
    <col min="4370" max="4370" width="10.109375" style="2665" customWidth="1"/>
    <col min="4371" max="4371" width="10" style="2665" customWidth="1"/>
    <col min="4372" max="4372" width="26.109375" style="2665" customWidth="1"/>
    <col min="4373" max="4608" width="8.88671875" style="2665"/>
    <col min="4609" max="4609" width="9.44140625" style="2665" customWidth="1"/>
    <col min="4610" max="4610" width="8.88671875" style="2665"/>
    <col min="4611" max="4613" width="12.88671875" style="2665" customWidth="1"/>
    <col min="4614" max="4614" width="47.44140625" style="2665" customWidth="1"/>
    <col min="4615" max="4615" width="13" style="2665" customWidth="1"/>
    <col min="4616" max="4617" width="8.88671875" style="2665"/>
    <col min="4618" max="4618" width="5.77734375" style="2665" customWidth="1"/>
    <col min="4619" max="4619" width="11.77734375" style="2665" customWidth="1"/>
    <col min="4620" max="4621" width="10.77734375" style="2665" customWidth="1"/>
    <col min="4622" max="4622" width="10" style="2665" customWidth="1"/>
    <col min="4623" max="4624" width="10.44140625" style="2665" bestFit="1" customWidth="1"/>
    <col min="4625" max="4625" width="10" style="2665" customWidth="1"/>
    <col min="4626" max="4626" width="10.109375" style="2665" customWidth="1"/>
    <col min="4627" max="4627" width="10" style="2665" customWidth="1"/>
    <col min="4628" max="4628" width="26.109375" style="2665" customWidth="1"/>
    <col min="4629" max="4864" width="8.88671875" style="2665"/>
    <col min="4865" max="4865" width="9.44140625" style="2665" customWidth="1"/>
    <col min="4866" max="4866" width="8.88671875" style="2665"/>
    <col min="4867" max="4869" width="12.88671875" style="2665" customWidth="1"/>
    <col min="4870" max="4870" width="47.44140625" style="2665" customWidth="1"/>
    <col min="4871" max="4871" width="13" style="2665" customWidth="1"/>
    <col min="4872" max="4873" width="8.88671875" style="2665"/>
    <col min="4874" max="4874" width="5.77734375" style="2665" customWidth="1"/>
    <col min="4875" max="4875" width="11.77734375" style="2665" customWidth="1"/>
    <col min="4876" max="4877" width="10.77734375" style="2665" customWidth="1"/>
    <col min="4878" max="4878" width="10" style="2665" customWidth="1"/>
    <col min="4879" max="4880" width="10.44140625" style="2665" bestFit="1" customWidth="1"/>
    <col min="4881" max="4881" width="10" style="2665" customWidth="1"/>
    <col min="4882" max="4882" width="10.109375" style="2665" customWidth="1"/>
    <col min="4883" max="4883" width="10" style="2665" customWidth="1"/>
    <col min="4884" max="4884" width="26.109375" style="2665" customWidth="1"/>
    <col min="4885" max="5120" width="8.88671875" style="2665"/>
    <col min="5121" max="5121" width="9.44140625" style="2665" customWidth="1"/>
    <col min="5122" max="5122" width="8.88671875" style="2665"/>
    <col min="5123" max="5125" width="12.88671875" style="2665" customWidth="1"/>
    <col min="5126" max="5126" width="47.44140625" style="2665" customWidth="1"/>
    <col min="5127" max="5127" width="13" style="2665" customWidth="1"/>
    <col min="5128" max="5129" width="8.88671875" style="2665"/>
    <col min="5130" max="5130" width="5.77734375" style="2665" customWidth="1"/>
    <col min="5131" max="5131" width="11.77734375" style="2665" customWidth="1"/>
    <col min="5132" max="5133" width="10.77734375" style="2665" customWidth="1"/>
    <col min="5134" max="5134" width="10" style="2665" customWidth="1"/>
    <col min="5135" max="5136" width="10.44140625" style="2665" bestFit="1" customWidth="1"/>
    <col min="5137" max="5137" width="10" style="2665" customWidth="1"/>
    <col min="5138" max="5138" width="10.109375" style="2665" customWidth="1"/>
    <col min="5139" max="5139" width="10" style="2665" customWidth="1"/>
    <col min="5140" max="5140" width="26.109375" style="2665" customWidth="1"/>
    <col min="5141" max="5376" width="8.88671875" style="2665"/>
    <col min="5377" max="5377" width="9.44140625" style="2665" customWidth="1"/>
    <col min="5378" max="5378" width="8.88671875" style="2665"/>
    <col min="5379" max="5381" width="12.88671875" style="2665" customWidth="1"/>
    <col min="5382" max="5382" width="47.44140625" style="2665" customWidth="1"/>
    <col min="5383" max="5383" width="13" style="2665" customWidth="1"/>
    <col min="5384" max="5385" width="8.88671875" style="2665"/>
    <col min="5386" max="5386" width="5.77734375" style="2665" customWidth="1"/>
    <col min="5387" max="5387" width="11.77734375" style="2665" customWidth="1"/>
    <col min="5388" max="5389" width="10.77734375" style="2665" customWidth="1"/>
    <col min="5390" max="5390" width="10" style="2665" customWidth="1"/>
    <col min="5391" max="5392" width="10.44140625" style="2665" bestFit="1" customWidth="1"/>
    <col min="5393" max="5393" width="10" style="2665" customWidth="1"/>
    <col min="5394" max="5394" width="10.109375" style="2665" customWidth="1"/>
    <col min="5395" max="5395" width="10" style="2665" customWidth="1"/>
    <col min="5396" max="5396" width="26.109375" style="2665" customWidth="1"/>
    <col min="5397" max="5632" width="8.88671875" style="2665"/>
    <col min="5633" max="5633" width="9.44140625" style="2665" customWidth="1"/>
    <col min="5634" max="5634" width="8.88671875" style="2665"/>
    <col min="5635" max="5637" width="12.88671875" style="2665" customWidth="1"/>
    <col min="5638" max="5638" width="47.44140625" style="2665" customWidth="1"/>
    <col min="5639" max="5639" width="13" style="2665" customWidth="1"/>
    <col min="5640" max="5641" width="8.88671875" style="2665"/>
    <col min="5642" max="5642" width="5.77734375" style="2665" customWidth="1"/>
    <col min="5643" max="5643" width="11.77734375" style="2665" customWidth="1"/>
    <col min="5644" max="5645" width="10.77734375" style="2665" customWidth="1"/>
    <col min="5646" max="5646" width="10" style="2665" customWidth="1"/>
    <col min="5647" max="5648" width="10.44140625" style="2665" bestFit="1" customWidth="1"/>
    <col min="5649" max="5649" width="10" style="2665" customWidth="1"/>
    <col min="5650" max="5650" width="10.109375" style="2665" customWidth="1"/>
    <col min="5651" max="5651" width="10" style="2665" customWidth="1"/>
    <col min="5652" max="5652" width="26.109375" style="2665" customWidth="1"/>
    <col min="5653" max="5888" width="8.88671875" style="2665"/>
    <col min="5889" max="5889" width="9.44140625" style="2665" customWidth="1"/>
    <col min="5890" max="5890" width="8.88671875" style="2665"/>
    <col min="5891" max="5893" width="12.88671875" style="2665" customWidth="1"/>
    <col min="5894" max="5894" width="47.44140625" style="2665" customWidth="1"/>
    <col min="5895" max="5895" width="13" style="2665" customWidth="1"/>
    <col min="5896" max="5897" width="8.88671875" style="2665"/>
    <col min="5898" max="5898" width="5.77734375" style="2665" customWidth="1"/>
    <col min="5899" max="5899" width="11.77734375" style="2665" customWidth="1"/>
    <col min="5900" max="5901" width="10.77734375" style="2665" customWidth="1"/>
    <col min="5902" max="5902" width="10" style="2665" customWidth="1"/>
    <col min="5903" max="5904" width="10.44140625" style="2665" bestFit="1" customWidth="1"/>
    <col min="5905" max="5905" width="10" style="2665" customWidth="1"/>
    <col min="5906" max="5906" width="10.109375" style="2665" customWidth="1"/>
    <col min="5907" max="5907" width="10" style="2665" customWidth="1"/>
    <col min="5908" max="5908" width="26.109375" style="2665" customWidth="1"/>
    <col min="5909" max="6144" width="8.88671875" style="2665"/>
    <col min="6145" max="6145" width="9.44140625" style="2665" customWidth="1"/>
    <col min="6146" max="6146" width="8.88671875" style="2665"/>
    <col min="6147" max="6149" width="12.88671875" style="2665" customWidth="1"/>
    <col min="6150" max="6150" width="47.44140625" style="2665" customWidth="1"/>
    <col min="6151" max="6151" width="13" style="2665" customWidth="1"/>
    <col min="6152" max="6153" width="8.88671875" style="2665"/>
    <col min="6154" max="6154" width="5.77734375" style="2665" customWidth="1"/>
    <col min="6155" max="6155" width="11.77734375" style="2665" customWidth="1"/>
    <col min="6156" max="6157" width="10.77734375" style="2665" customWidth="1"/>
    <col min="6158" max="6158" width="10" style="2665" customWidth="1"/>
    <col min="6159" max="6160" width="10.44140625" style="2665" bestFit="1" customWidth="1"/>
    <col min="6161" max="6161" width="10" style="2665" customWidth="1"/>
    <col min="6162" max="6162" width="10.109375" style="2665" customWidth="1"/>
    <col min="6163" max="6163" width="10" style="2665" customWidth="1"/>
    <col min="6164" max="6164" width="26.109375" style="2665" customWidth="1"/>
    <col min="6165" max="6400" width="8.88671875" style="2665"/>
    <col min="6401" max="6401" width="9.44140625" style="2665" customWidth="1"/>
    <col min="6402" max="6402" width="8.88671875" style="2665"/>
    <col min="6403" max="6405" width="12.88671875" style="2665" customWidth="1"/>
    <col min="6406" max="6406" width="47.44140625" style="2665" customWidth="1"/>
    <col min="6407" max="6407" width="13" style="2665" customWidth="1"/>
    <col min="6408" max="6409" width="8.88671875" style="2665"/>
    <col min="6410" max="6410" width="5.77734375" style="2665" customWidth="1"/>
    <col min="6411" max="6411" width="11.77734375" style="2665" customWidth="1"/>
    <col min="6412" max="6413" width="10.77734375" style="2665" customWidth="1"/>
    <col min="6414" max="6414" width="10" style="2665" customWidth="1"/>
    <col min="6415" max="6416" width="10.44140625" style="2665" bestFit="1" customWidth="1"/>
    <col min="6417" max="6417" width="10" style="2665" customWidth="1"/>
    <col min="6418" max="6418" width="10.109375" style="2665" customWidth="1"/>
    <col min="6419" max="6419" width="10" style="2665" customWidth="1"/>
    <col min="6420" max="6420" width="26.109375" style="2665" customWidth="1"/>
    <col min="6421" max="6656" width="8.88671875" style="2665"/>
    <col min="6657" max="6657" width="9.44140625" style="2665" customWidth="1"/>
    <col min="6658" max="6658" width="8.88671875" style="2665"/>
    <col min="6659" max="6661" width="12.88671875" style="2665" customWidth="1"/>
    <col min="6662" max="6662" width="47.44140625" style="2665" customWidth="1"/>
    <col min="6663" max="6663" width="13" style="2665" customWidth="1"/>
    <col min="6664" max="6665" width="8.88671875" style="2665"/>
    <col min="6666" max="6666" width="5.77734375" style="2665" customWidth="1"/>
    <col min="6667" max="6667" width="11.77734375" style="2665" customWidth="1"/>
    <col min="6668" max="6669" width="10.77734375" style="2665" customWidth="1"/>
    <col min="6670" max="6670" width="10" style="2665" customWidth="1"/>
    <col min="6671" max="6672" width="10.44140625" style="2665" bestFit="1" customWidth="1"/>
    <col min="6673" max="6673" width="10" style="2665" customWidth="1"/>
    <col min="6674" max="6674" width="10.109375" style="2665" customWidth="1"/>
    <col min="6675" max="6675" width="10" style="2665" customWidth="1"/>
    <col min="6676" max="6676" width="26.109375" style="2665" customWidth="1"/>
    <col min="6677" max="6912" width="8.88671875" style="2665"/>
    <col min="6913" max="6913" width="9.44140625" style="2665" customWidth="1"/>
    <col min="6914" max="6914" width="8.88671875" style="2665"/>
    <col min="6915" max="6917" width="12.88671875" style="2665" customWidth="1"/>
    <col min="6918" max="6918" width="47.44140625" style="2665" customWidth="1"/>
    <col min="6919" max="6919" width="13" style="2665" customWidth="1"/>
    <col min="6920" max="6921" width="8.88671875" style="2665"/>
    <col min="6922" max="6922" width="5.77734375" style="2665" customWidth="1"/>
    <col min="6923" max="6923" width="11.77734375" style="2665" customWidth="1"/>
    <col min="6924" max="6925" width="10.77734375" style="2665" customWidth="1"/>
    <col min="6926" max="6926" width="10" style="2665" customWidth="1"/>
    <col min="6927" max="6928" width="10.44140625" style="2665" bestFit="1" customWidth="1"/>
    <col min="6929" max="6929" width="10" style="2665" customWidth="1"/>
    <col min="6930" max="6930" width="10.109375" style="2665" customWidth="1"/>
    <col min="6931" max="6931" width="10" style="2665" customWidth="1"/>
    <col min="6932" max="6932" width="26.109375" style="2665" customWidth="1"/>
    <col min="6933" max="7168" width="8.88671875" style="2665"/>
    <col min="7169" max="7169" width="9.44140625" style="2665" customWidth="1"/>
    <col min="7170" max="7170" width="8.88671875" style="2665"/>
    <col min="7171" max="7173" width="12.88671875" style="2665" customWidth="1"/>
    <col min="7174" max="7174" width="47.44140625" style="2665" customWidth="1"/>
    <col min="7175" max="7175" width="13" style="2665" customWidth="1"/>
    <col min="7176" max="7177" width="8.88671875" style="2665"/>
    <col min="7178" max="7178" width="5.77734375" style="2665" customWidth="1"/>
    <col min="7179" max="7179" width="11.77734375" style="2665" customWidth="1"/>
    <col min="7180" max="7181" width="10.77734375" style="2665" customWidth="1"/>
    <col min="7182" max="7182" width="10" style="2665" customWidth="1"/>
    <col min="7183" max="7184" width="10.44140625" style="2665" bestFit="1" customWidth="1"/>
    <col min="7185" max="7185" width="10" style="2665" customWidth="1"/>
    <col min="7186" max="7186" width="10.109375" style="2665" customWidth="1"/>
    <col min="7187" max="7187" width="10" style="2665" customWidth="1"/>
    <col min="7188" max="7188" width="26.109375" style="2665" customWidth="1"/>
    <col min="7189" max="7424" width="8.88671875" style="2665"/>
    <col min="7425" max="7425" width="9.44140625" style="2665" customWidth="1"/>
    <col min="7426" max="7426" width="8.88671875" style="2665"/>
    <col min="7427" max="7429" width="12.88671875" style="2665" customWidth="1"/>
    <col min="7430" max="7430" width="47.44140625" style="2665" customWidth="1"/>
    <col min="7431" max="7431" width="13" style="2665" customWidth="1"/>
    <col min="7432" max="7433" width="8.88671875" style="2665"/>
    <col min="7434" max="7434" width="5.77734375" style="2665" customWidth="1"/>
    <col min="7435" max="7435" width="11.77734375" style="2665" customWidth="1"/>
    <col min="7436" max="7437" width="10.77734375" style="2665" customWidth="1"/>
    <col min="7438" max="7438" width="10" style="2665" customWidth="1"/>
    <col min="7439" max="7440" width="10.44140625" style="2665" bestFit="1" customWidth="1"/>
    <col min="7441" max="7441" width="10" style="2665" customWidth="1"/>
    <col min="7442" max="7442" width="10.109375" style="2665" customWidth="1"/>
    <col min="7443" max="7443" width="10" style="2665" customWidth="1"/>
    <col min="7444" max="7444" width="26.109375" style="2665" customWidth="1"/>
    <col min="7445" max="7680" width="8.88671875" style="2665"/>
    <col min="7681" max="7681" width="9.44140625" style="2665" customWidth="1"/>
    <col min="7682" max="7682" width="8.88671875" style="2665"/>
    <col min="7683" max="7685" width="12.88671875" style="2665" customWidth="1"/>
    <col min="7686" max="7686" width="47.44140625" style="2665" customWidth="1"/>
    <col min="7687" max="7687" width="13" style="2665" customWidth="1"/>
    <col min="7688" max="7689" width="8.88671875" style="2665"/>
    <col min="7690" max="7690" width="5.77734375" style="2665" customWidth="1"/>
    <col min="7691" max="7691" width="11.77734375" style="2665" customWidth="1"/>
    <col min="7692" max="7693" width="10.77734375" style="2665" customWidth="1"/>
    <col min="7694" max="7694" width="10" style="2665" customWidth="1"/>
    <col min="7695" max="7696" width="10.44140625" style="2665" bestFit="1" customWidth="1"/>
    <col min="7697" max="7697" width="10" style="2665" customWidth="1"/>
    <col min="7698" max="7698" width="10.109375" style="2665" customWidth="1"/>
    <col min="7699" max="7699" width="10" style="2665" customWidth="1"/>
    <col min="7700" max="7700" width="26.109375" style="2665" customWidth="1"/>
    <col min="7701" max="7936" width="8.88671875" style="2665"/>
    <col min="7937" max="7937" width="9.44140625" style="2665" customWidth="1"/>
    <col min="7938" max="7938" width="8.88671875" style="2665"/>
    <col min="7939" max="7941" width="12.88671875" style="2665" customWidth="1"/>
    <col min="7942" max="7942" width="47.44140625" style="2665" customWidth="1"/>
    <col min="7943" max="7943" width="13" style="2665" customWidth="1"/>
    <col min="7944" max="7945" width="8.88671875" style="2665"/>
    <col min="7946" max="7946" width="5.77734375" style="2665" customWidth="1"/>
    <col min="7947" max="7947" width="11.77734375" style="2665" customWidth="1"/>
    <col min="7948" max="7949" width="10.77734375" style="2665" customWidth="1"/>
    <col min="7950" max="7950" width="10" style="2665" customWidth="1"/>
    <col min="7951" max="7952" width="10.44140625" style="2665" bestFit="1" customWidth="1"/>
    <col min="7953" max="7953" width="10" style="2665" customWidth="1"/>
    <col min="7954" max="7954" width="10.109375" style="2665" customWidth="1"/>
    <col min="7955" max="7955" width="10" style="2665" customWidth="1"/>
    <col min="7956" max="7956" width="26.109375" style="2665" customWidth="1"/>
    <col min="7957" max="8192" width="8.88671875" style="2665"/>
    <col min="8193" max="8193" width="9.44140625" style="2665" customWidth="1"/>
    <col min="8194" max="8194" width="8.88671875" style="2665"/>
    <col min="8195" max="8197" width="12.88671875" style="2665" customWidth="1"/>
    <col min="8198" max="8198" width="47.44140625" style="2665" customWidth="1"/>
    <col min="8199" max="8199" width="13" style="2665" customWidth="1"/>
    <col min="8200" max="8201" width="8.88671875" style="2665"/>
    <col min="8202" max="8202" width="5.77734375" style="2665" customWidth="1"/>
    <col min="8203" max="8203" width="11.77734375" style="2665" customWidth="1"/>
    <col min="8204" max="8205" width="10.77734375" style="2665" customWidth="1"/>
    <col min="8206" max="8206" width="10" style="2665" customWidth="1"/>
    <col min="8207" max="8208" width="10.44140625" style="2665" bestFit="1" customWidth="1"/>
    <col min="8209" max="8209" width="10" style="2665" customWidth="1"/>
    <col min="8210" max="8210" width="10.109375" style="2665" customWidth="1"/>
    <col min="8211" max="8211" width="10" style="2665" customWidth="1"/>
    <col min="8212" max="8212" width="26.109375" style="2665" customWidth="1"/>
    <col min="8213" max="8448" width="8.88671875" style="2665"/>
    <col min="8449" max="8449" width="9.44140625" style="2665" customWidth="1"/>
    <col min="8450" max="8450" width="8.88671875" style="2665"/>
    <col min="8451" max="8453" width="12.88671875" style="2665" customWidth="1"/>
    <col min="8454" max="8454" width="47.44140625" style="2665" customWidth="1"/>
    <col min="8455" max="8455" width="13" style="2665" customWidth="1"/>
    <col min="8456" max="8457" width="8.88671875" style="2665"/>
    <col min="8458" max="8458" width="5.77734375" style="2665" customWidth="1"/>
    <col min="8459" max="8459" width="11.77734375" style="2665" customWidth="1"/>
    <col min="8460" max="8461" width="10.77734375" style="2665" customWidth="1"/>
    <col min="8462" max="8462" width="10" style="2665" customWidth="1"/>
    <col min="8463" max="8464" width="10.44140625" style="2665" bestFit="1" customWidth="1"/>
    <col min="8465" max="8465" width="10" style="2665" customWidth="1"/>
    <col min="8466" max="8466" width="10.109375" style="2665" customWidth="1"/>
    <col min="8467" max="8467" width="10" style="2665" customWidth="1"/>
    <col min="8468" max="8468" width="26.109375" style="2665" customWidth="1"/>
    <col min="8469" max="8704" width="8.88671875" style="2665"/>
    <col min="8705" max="8705" width="9.44140625" style="2665" customWidth="1"/>
    <col min="8706" max="8706" width="8.88671875" style="2665"/>
    <col min="8707" max="8709" width="12.88671875" style="2665" customWidth="1"/>
    <col min="8710" max="8710" width="47.44140625" style="2665" customWidth="1"/>
    <col min="8711" max="8711" width="13" style="2665" customWidth="1"/>
    <col min="8712" max="8713" width="8.88671875" style="2665"/>
    <col min="8714" max="8714" width="5.77734375" style="2665" customWidth="1"/>
    <col min="8715" max="8715" width="11.77734375" style="2665" customWidth="1"/>
    <col min="8716" max="8717" width="10.77734375" style="2665" customWidth="1"/>
    <col min="8718" max="8718" width="10" style="2665" customWidth="1"/>
    <col min="8719" max="8720" width="10.44140625" style="2665" bestFit="1" customWidth="1"/>
    <col min="8721" max="8721" width="10" style="2665" customWidth="1"/>
    <col min="8722" max="8722" width="10.109375" style="2665" customWidth="1"/>
    <col min="8723" max="8723" width="10" style="2665" customWidth="1"/>
    <col min="8724" max="8724" width="26.109375" style="2665" customWidth="1"/>
    <col min="8725" max="8960" width="8.88671875" style="2665"/>
    <col min="8961" max="8961" width="9.44140625" style="2665" customWidth="1"/>
    <col min="8962" max="8962" width="8.88671875" style="2665"/>
    <col min="8963" max="8965" width="12.88671875" style="2665" customWidth="1"/>
    <col min="8966" max="8966" width="47.44140625" style="2665" customWidth="1"/>
    <col min="8967" max="8967" width="13" style="2665" customWidth="1"/>
    <col min="8968" max="8969" width="8.88671875" style="2665"/>
    <col min="8970" max="8970" width="5.77734375" style="2665" customWidth="1"/>
    <col min="8971" max="8971" width="11.77734375" style="2665" customWidth="1"/>
    <col min="8972" max="8973" width="10.77734375" style="2665" customWidth="1"/>
    <col min="8974" max="8974" width="10" style="2665" customWidth="1"/>
    <col min="8975" max="8976" width="10.44140625" style="2665" bestFit="1" customWidth="1"/>
    <col min="8977" max="8977" width="10" style="2665" customWidth="1"/>
    <col min="8978" max="8978" width="10.109375" style="2665" customWidth="1"/>
    <col min="8979" max="8979" width="10" style="2665" customWidth="1"/>
    <col min="8980" max="8980" width="26.109375" style="2665" customWidth="1"/>
    <col min="8981" max="9216" width="8.88671875" style="2665"/>
    <col min="9217" max="9217" width="9.44140625" style="2665" customWidth="1"/>
    <col min="9218" max="9218" width="8.88671875" style="2665"/>
    <col min="9219" max="9221" width="12.88671875" style="2665" customWidth="1"/>
    <col min="9222" max="9222" width="47.44140625" style="2665" customWidth="1"/>
    <col min="9223" max="9223" width="13" style="2665" customWidth="1"/>
    <col min="9224" max="9225" width="8.88671875" style="2665"/>
    <col min="9226" max="9226" width="5.77734375" style="2665" customWidth="1"/>
    <col min="9227" max="9227" width="11.77734375" style="2665" customWidth="1"/>
    <col min="9228" max="9229" width="10.77734375" style="2665" customWidth="1"/>
    <col min="9230" max="9230" width="10" style="2665" customWidth="1"/>
    <col min="9231" max="9232" width="10.44140625" style="2665" bestFit="1" customWidth="1"/>
    <col min="9233" max="9233" width="10" style="2665" customWidth="1"/>
    <col min="9234" max="9234" width="10.109375" style="2665" customWidth="1"/>
    <col min="9235" max="9235" width="10" style="2665" customWidth="1"/>
    <col min="9236" max="9236" width="26.109375" style="2665" customWidth="1"/>
    <col min="9237" max="9472" width="8.88671875" style="2665"/>
    <col min="9473" max="9473" width="9.44140625" style="2665" customWidth="1"/>
    <col min="9474" max="9474" width="8.88671875" style="2665"/>
    <col min="9475" max="9477" width="12.88671875" style="2665" customWidth="1"/>
    <col min="9478" max="9478" width="47.44140625" style="2665" customWidth="1"/>
    <col min="9479" max="9479" width="13" style="2665" customWidth="1"/>
    <col min="9480" max="9481" width="8.88671875" style="2665"/>
    <col min="9482" max="9482" width="5.77734375" style="2665" customWidth="1"/>
    <col min="9483" max="9483" width="11.77734375" style="2665" customWidth="1"/>
    <col min="9484" max="9485" width="10.77734375" style="2665" customWidth="1"/>
    <col min="9486" max="9486" width="10" style="2665" customWidth="1"/>
    <col min="9487" max="9488" width="10.44140625" style="2665" bestFit="1" customWidth="1"/>
    <col min="9489" max="9489" width="10" style="2665" customWidth="1"/>
    <col min="9490" max="9490" width="10.109375" style="2665" customWidth="1"/>
    <col min="9491" max="9491" width="10" style="2665" customWidth="1"/>
    <col min="9492" max="9492" width="26.109375" style="2665" customWidth="1"/>
    <col min="9493" max="9728" width="8.88671875" style="2665"/>
    <col min="9729" max="9729" width="9.44140625" style="2665" customWidth="1"/>
    <col min="9730" max="9730" width="8.88671875" style="2665"/>
    <col min="9731" max="9733" width="12.88671875" style="2665" customWidth="1"/>
    <col min="9734" max="9734" width="47.44140625" style="2665" customWidth="1"/>
    <col min="9735" max="9735" width="13" style="2665" customWidth="1"/>
    <col min="9736" max="9737" width="8.88671875" style="2665"/>
    <col min="9738" max="9738" width="5.77734375" style="2665" customWidth="1"/>
    <col min="9739" max="9739" width="11.77734375" style="2665" customWidth="1"/>
    <col min="9740" max="9741" width="10.77734375" style="2665" customWidth="1"/>
    <col min="9742" max="9742" width="10" style="2665" customWidth="1"/>
    <col min="9743" max="9744" width="10.44140625" style="2665" bestFit="1" customWidth="1"/>
    <col min="9745" max="9745" width="10" style="2665" customWidth="1"/>
    <col min="9746" max="9746" width="10.109375" style="2665" customWidth="1"/>
    <col min="9747" max="9747" width="10" style="2665" customWidth="1"/>
    <col min="9748" max="9748" width="26.109375" style="2665" customWidth="1"/>
    <col min="9749" max="9984" width="8.88671875" style="2665"/>
    <col min="9985" max="9985" width="9.44140625" style="2665" customWidth="1"/>
    <col min="9986" max="9986" width="8.88671875" style="2665"/>
    <col min="9987" max="9989" width="12.88671875" style="2665" customWidth="1"/>
    <col min="9990" max="9990" width="47.44140625" style="2665" customWidth="1"/>
    <col min="9991" max="9991" width="13" style="2665" customWidth="1"/>
    <col min="9992" max="9993" width="8.88671875" style="2665"/>
    <col min="9994" max="9994" width="5.77734375" style="2665" customWidth="1"/>
    <col min="9995" max="9995" width="11.77734375" style="2665" customWidth="1"/>
    <col min="9996" max="9997" width="10.77734375" style="2665" customWidth="1"/>
    <col min="9998" max="9998" width="10" style="2665" customWidth="1"/>
    <col min="9999" max="10000" width="10.44140625" style="2665" bestFit="1" customWidth="1"/>
    <col min="10001" max="10001" width="10" style="2665" customWidth="1"/>
    <col min="10002" max="10002" width="10.109375" style="2665" customWidth="1"/>
    <col min="10003" max="10003" width="10" style="2665" customWidth="1"/>
    <col min="10004" max="10004" width="26.109375" style="2665" customWidth="1"/>
    <col min="10005" max="10240" width="8.88671875" style="2665"/>
    <col min="10241" max="10241" width="9.44140625" style="2665" customWidth="1"/>
    <col min="10242" max="10242" width="8.88671875" style="2665"/>
    <col min="10243" max="10245" width="12.88671875" style="2665" customWidth="1"/>
    <col min="10246" max="10246" width="47.44140625" style="2665" customWidth="1"/>
    <col min="10247" max="10247" width="13" style="2665" customWidth="1"/>
    <col min="10248" max="10249" width="8.88671875" style="2665"/>
    <col min="10250" max="10250" width="5.77734375" style="2665" customWidth="1"/>
    <col min="10251" max="10251" width="11.77734375" style="2665" customWidth="1"/>
    <col min="10252" max="10253" width="10.77734375" style="2665" customWidth="1"/>
    <col min="10254" max="10254" width="10" style="2665" customWidth="1"/>
    <col min="10255" max="10256" width="10.44140625" style="2665" bestFit="1" customWidth="1"/>
    <col min="10257" max="10257" width="10" style="2665" customWidth="1"/>
    <col min="10258" max="10258" width="10.109375" style="2665" customWidth="1"/>
    <col min="10259" max="10259" width="10" style="2665" customWidth="1"/>
    <col min="10260" max="10260" width="26.109375" style="2665" customWidth="1"/>
    <col min="10261" max="10496" width="8.88671875" style="2665"/>
    <col min="10497" max="10497" width="9.44140625" style="2665" customWidth="1"/>
    <col min="10498" max="10498" width="8.88671875" style="2665"/>
    <col min="10499" max="10501" width="12.88671875" style="2665" customWidth="1"/>
    <col min="10502" max="10502" width="47.44140625" style="2665" customWidth="1"/>
    <col min="10503" max="10503" width="13" style="2665" customWidth="1"/>
    <col min="10504" max="10505" width="8.88671875" style="2665"/>
    <col min="10506" max="10506" width="5.77734375" style="2665" customWidth="1"/>
    <col min="10507" max="10507" width="11.77734375" style="2665" customWidth="1"/>
    <col min="10508" max="10509" width="10.77734375" style="2665" customWidth="1"/>
    <col min="10510" max="10510" width="10" style="2665" customWidth="1"/>
    <col min="10511" max="10512" width="10.44140625" style="2665" bestFit="1" customWidth="1"/>
    <col min="10513" max="10513" width="10" style="2665" customWidth="1"/>
    <col min="10514" max="10514" width="10.109375" style="2665" customWidth="1"/>
    <col min="10515" max="10515" width="10" style="2665" customWidth="1"/>
    <col min="10516" max="10516" width="26.109375" style="2665" customWidth="1"/>
    <col min="10517" max="10752" width="8.88671875" style="2665"/>
    <col min="10753" max="10753" width="9.44140625" style="2665" customWidth="1"/>
    <col min="10754" max="10754" width="8.88671875" style="2665"/>
    <col min="10755" max="10757" width="12.88671875" style="2665" customWidth="1"/>
    <col min="10758" max="10758" width="47.44140625" style="2665" customWidth="1"/>
    <col min="10759" max="10759" width="13" style="2665" customWidth="1"/>
    <col min="10760" max="10761" width="8.88671875" style="2665"/>
    <col min="10762" max="10762" width="5.77734375" style="2665" customWidth="1"/>
    <col min="10763" max="10763" width="11.77734375" style="2665" customWidth="1"/>
    <col min="10764" max="10765" width="10.77734375" style="2665" customWidth="1"/>
    <col min="10766" max="10766" width="10" style="2665" customWidth="1"/>
    <col min="10767" max="10768" width="10.44140625" style="2665" bestFit="1" customWidth="1"/>
    <col min="10769" max="10769" width="10" style="2665" customWidth="1"/>
    <col min="10770" max="10770" width="10.109375" style="2665" customWidth="1"/>
    <col min="10771" max="10771" width="10" style="2665" customWidth="1"/>
    <col min="10772" max="10772" width="26.109375" style="2665" customWidth="1"/>
    <col min="10773" max="11008" width="8.88671875" style="2665"/>
    <col min="11009" max="11009" width="9.44140625" style="2665" customWidth="1"/>
    <col min="11010" max="11010" width="8.88671875" style="2665"/>
    <col min="11011" max="11013" width="12.88671875" style="2665" customWidth="1"/>
    <col min="11014" max="11014" width="47.44140625" style="2665" customWidth="1"/>
    <col min="11015" max="11015" width="13" style="2665" customWidth="1"/>
    <col min="11016" max="11017" width="8.88671875" style="2665"/>
    <col min="11018" max="11018" width="5.77734375" style="2665" customWidth="1"/>
    <col min="11019" max="11019" width="11.77734375" style="2665" customWidth="1"/>
    <col min="11020" max="11021" width="10.77734375" style="2665" customWidth="1"/>
    <col min="11022" max="11022" width="10" style="2665" customWidth="1"/>
    <col min="11023" max="11024" width="10.44140625" style="2665" bestFit="1" customWidth="1"/>
    <col min="11025" max="11025" width="10" style="2665" customWidth="1"/>
    <col min="11026" max="11026" width="10.109375" style="2665" customWidth="1"/>
    <col min="11027" max="11027" width="10" style="2665" customWidth="1"/>
    <col min="11028" max="11028" width="26.109375" style="2665" customWidth="1"/>
    <col min="11029" max="11264" width="8.88671875" style="2665"/>
    <col min="11265" max="11265" width="9.44140625" style="2665" customWidth="1"/>
    <col min="11266" max="11266" width="8.88671875" style="2665"/>
    <col min="11267" max="11269" width="12.88671875" style="2665" customWidth="1"/>
    <col min="11270" max="11270" width="47.44140625" style="2665" customWidth="1"/>
    <col min="11271" max="11271" width="13" style="2665" customWidth="1"/>
    <col min="11272" max="11273" width="8.88671875" style="2665"/>
    <col min="11274" max="11274" width="5.77734375" style="2665" customWidth="1"/>
    <col min="11275" max="11275" width="11.77734375" style="2665" customWidth="1"/>
    <col min="11276" max="11277" width="10.77734375" style="2665" customWidth="1"/>
    <col min="11278" max="11278" width="10" style="2665" customWidth="1"/>
    <col min="11279" max="11280" width="10.44140625" style="2665" bestFit="1" customWidth="1"/>
    <col min="11281" max="11281" width="10" style="2665" customWidth="1"/>
    <col min="11282" max="11282" width="10.109375" style="2665" customWidth="1"/>
    <col min="11283" max="11283" width="10" style="2665" customWidth="1"/>
    <col min="11284" max="11284" width="26.109375" style="2665" customWidth="1"/>
    <col min="11285" max="11520" width="8.88671875" style="2665"/>
    <col min="11521" max="11521" width="9.44140625" style="2665" customWidth="1"/>
    <col min="11522" max="11522" width="8.88671875" style="2665"/>
    <col min="11523" max="11525" width="12.88671875" style="2665" customWidth="1"/>
    <col min="11526" max="11526" width="47.44140625" style="2665" customWidth="1"/>
    <col min="11527" max="11527" width="13" style="2665" customWidth="1"/>
    <col min="11528" max="11529" width="8.88671875" style="2665"/>
    <col min="11530" max="11530" width="5.77734375" style="2665" customWidth="1"/>
    <col min="11531" max="11531" width="11.77734375" style="2665" customWidth="1"/>
    <col min="11532" max="11533" width="10.77734375" style="2665" customWidth="1"/>
    <col min="11534" max="11534" width="10" style="2665" customWidth="1"/>
    <col min="11535" max="11536" width="10.44140625" style="2665" bestFit="1" customWidth="1"/>
    <col min="11537" max="11537" width="10" style="2665" customWidth="1"/>
    <col min="11538" max="11538" width="10.109375" style="2665" customWidth="1"/>
    <col min="11539" max="11539" width="10" style="2665" customWidth="1"/>
    <col min="11540" max="11540" width="26.109375" style="2665" customWidth="1"/>
    <col min="11541" max="11776" width="8.88671875" style="2665"/>
    <col min="11777" max="11777" width="9.44140625" style="2665" customWidth="1"/>
    <col min="11778" max="11778" width="8.88671875" style="2665"/>
    <col min="11779" max="11781" width="12.88671875" style="2665" customWidth="1"/>
    <col min="11782" max="11782" width="47.44140625" style="2665" customWidth="1"/>
    <col min="11783" max="11783" width="13" style="2665" customWidth="1"/>
    <col min="11784" max="11785" width="8.88671875" style="2665"/>
    <col min="11786" max="11786" width="5.77734375" style="2665" customWidth="1"/>
    <col min="11787" max="11787" width="11.77734375" style="2665" customWidth="1"/>
    <col min="11788" max="11789" width="10.77734375" style="2665" customWidth="1"/>
    <col min="11790" max="11790" width="10" style="2665" customWidth="1"/>
    <col min="11791" max="11792" width="10.44140625" style="2665" bestFit="1" customWidth="1"/>
    <col min="11793" max="11793" width="10" style="2665" customWidth="1"/>
    <col min="11794" max="11794" width="10.109375" style="2665" customWidth="1"/>
    <col min="11795" max="11795" width="10" style="2665" customWidth="1"/>
    <col min="11796" max="11796" width="26.109375" style="2665" customWidth="1"/>
    <col min="11797" max="12032" width="8.88671875" style="2665"/>
    <col min="12033" max="12033" width="9.44140625" style="2665" customWidth="1"/>
    <col min="12034" max="12034" width="8.88671875" style="2665"/>
    <col min="12035" max="12037" width="12.88671875" style="2665" customWidth="1"/>
    <col min="12038" max="12038" width="47.44140625" style="2665" customWidth="1"/>
    <col min="12039" max="12039" width="13" style="2665" customWidth="1"/>
    <col min="12040" max="12041" width="8.88671875" style="2665"/>
    <col min="12042" max="12042" width="5.77734375" style="2665" customWidth="1"/>
    <col min="12043" max="12043" width="11.77734375" style="2665" customWidth="1"/>
    <col min="12044" max="12045" width="10.77734375" style="2665" customWidth="1"/>
    <col min="12046" max="12046" width="10" style="2665" customWidth="1"/>
    <col min="12047" max="12048" width="10.44140625" style="2665" bestFit="1" customWidth="1"/>
    <col min="12049" max="12049" width="10" style="2665" customWidth="1"/>
    <col min="12050" max="12050" width="10.109375" style="2665" customWidth="1"/>
    <col min="12051" max="12051" width="10" style="2665" customWidth="1"/>
    <col min="12052" max="12052" width="26.109375" style="2665" customWidth="1"/>
    <col min="12053" max="12288" width="8.88671875" style="2665"/>
    <col min="12289" max="12289" width="9.44140625" style="2665" customWidth="1"/>
    <col min="12290" max="12290" width="8.88671875" style="2665"/>
    <col min="12291" max="12293" width="12.88671875" style="2665" customWidth="1"/>
    <col min="12294" max="12294" width="47.44140625" style="2665" customWidth="1"/>
    <col min="12295" max="12295" width="13" style="2665" customWidth="1"/>
    <col min="12296" max="12297" width="8.88671875" style="2665"/>
    <col min="12298" max="12298" width="5.77734375" style="2665" customWidth="1"/>
    <col min="12299" max="12299" width="11.77734375" style="2665" customWidth="1"/>
    <col min="12300" max="12301" width="10.77734375" style="2665" customWidth="1"/>
    <col min="12302" max="12302" width="10" style="2665" customWidth="1"/>
    <col min="12303" max="12304" width="10.44140625" style="2665" bestFit="1" customWidth="1"/>
    <col min="12305" max="12305" width="10" style="2665" customWidth="1"/>
    <col min="12306" max="12306" width="10.109375" style="2665" customWidth="1"/>
    <col min="12307" max="12307" width="10" style="2665" customWidth="1"/>
    <col min="12308" max="12308" width="26.109375" style="2665" customWidth="1"/>
    <col min="12309" max="12544" width="8.88671875" style="2665"/>
    <col min="12545" max="12545" width="9.44140625" style="2665" customWidth="1"/>
    <col min="12546" max="12546" width="8.88671875" style="2665"/>
    <col min="12547" max="12549" width="12.88671875" style="2665" customWidth="1"/>
    <col min="12550" max="12550" width="47.44140625" style="2665" customWidth="1"/>
    <col min="12551" max="12551" width="13" style="2665" customWidth="1"/>
    <col min="12552" max="12553" width="8.88671875" style="2665"/>
    <col min="12554" max="12554" width="5.77734375" style="2665" customWidth="1"/>
    <col min="12555" max="12555" width="11.77734375" style="2665" customWidth="1"/>
    <col min="12556" max="12557" width="10.77734375" style="2665" customWidth="1"/>
    <col min="12558" max="12558" width="10" style="2665" customWidth="1"/>
    <col min="12559" max="12560" width="10.44140625" style="2665" bestFit="1" customWidth="1"/>
    <col min="12561" max="12561" width="10" style="2665" customWidth="1"/>
    <col min="12562" max="12562" width="10.109375" style="2665" customWidth="1"/>
    <col min="12563" max="12563" width="10" style="2665" customWidth="1"/>
    <col min="12564" max="12564" width="26.109375" style="2665" customWidth="1"/>
    <col min="12565" max="12800" width="8.88671875" style="2665"/>
    <col min="12801" max="12801" width="9.44140625" style="2665" customWidth="1"/>
    <col min="12802" max="12802" width="8.88671875" style="2665"/>
    <col min="12803" max="12805" width="12.88671875" style="2665" customWidth="1"/>
    <col min="12806" max="12806" width="47.44140625" style="2665" customWidth="1"/>
    <col min="12807" max="12807" width="13" style="2665" customWidth="1"/>
    <col min="12808" max="12809" width="8.88671875" style="2665"/>
    <col min="12810" max="12810" width="5.77734375" style="2665" customWidth="1"/>
    <col min="12811" max="12811" width="11.77734375" style="2665" customWidth="1"/>
    <col min="12812" max="12813" width="10.77734375" style="2665" customWidth="1"/>
    <col min="12814" max="12814" width="10" style="2665" customWidth="1"/>
    <col min="12815" max="12816" width="10.44140625" style="2665" bestFit="1" customWidth="1"/>
    <col min="12817" max="12817" width="10" style="2665" customWidth="1"/>
    <col min="12818" max="12818" width="10.109375" style="2665" customWidth="1"/>
    <col min="12819" max="12819" width="10" style="2665" customWidth="1"/>
    <col min="12820" max="12820" width="26.109375" style="2665" customWidth="1"/>
    <col min="12821" max="13056" width="8.88671875" style="2665"/>
    <col min="13057" max="13057" width="9.44140625" style="2665" customWidth="1"/>
    <col min="13058" max="13058" width="8.88671875" style="2665"/>
    <col min="13059" max="13061" width="12.88671875" style="2665" customWidth="1"/>
    <col min="13062" max="13062" width="47.44140625" style="2665" customWidth="1"/>
    <col min="13063" max="13063" width="13" style="2665" customWidth="1"/>
    <col min="13064" max="13065" width="8.88671875" style="2665"/>
    <col min="13066" max="13066" width="5.77734375" style="2665" customWidth="1"/>
    <col min="13067" max="13067" width="11.77734375" style="2665" customWidth="1"/>
    <col min="13068" max="13069" width="10.77734375" style="2665" customWidth="1"/>
    <col min="13070" max="13070" width="10" style="2665" customWidth="1"/>
    <col min="13071" max="13072" width="10.44140625" style="2665" bestFit="1" customWidth="1"/>
    <col min="13073" max="13073" width="10" style="2665" customWidth="1"/>
    <col min="13074" max="13074" width="10.109375" style="2665" customWidth="1"/>
    <col min="13075" max="13075" width="10" style="2665" customWidth="1"/>
    <col min="13076" max="13076" width="26.109375" style="2665" customWidth="1"/>
    <col min="13077" max="13312" width="8.88671875" style="2665"/>
    <col min="13313" max="13313" width="9.44140625" style="2665" customWidth="1"/>
    <col min="13314" max="13314" width="8.88671875" style="2665"/>
    <col min="13315" max="13317" width="12.88671875" style="2665" customWidth="1"/>
    <col min="13318" max="13318" width="47.44140625" style="2665" customWidth="1"/>
    <col min="13319" max="13319" width="13" style="2665" customWidth="1"/>
    <col min="13320" max="13321" width="8.88671875" style="2665"/>
    <col min="13322" max="13322" width="5.77734375" style="2665" customWidth="1"/>
    <col min="13323" max="13323" width="11.77734375" style="2665" customWidth="1"/>
    <col min="13324" max="13325" width="10.77734375" style="2665" customWidth="1"/>
    <col min="13326" max="13326" width="10" style="2665" customWidth="1"/>
    <col min="13327" max="13328" width="10.44140625" style="2665" bestFit="1" customWidth="1"/>
    <col min="13329" max="13329" width="10" style="2665" customWidth="1"/>
    <col min="13330" max="13330" width="10.109375" style="2665" customWidth="1"/>
    <col min="13331" max="13331" width="10" style="2665" customWidth="1"/>
    <col min="13332" max="13332" width="26.109375" style="2665" customWidth="1"/>
    <col min="13333" max="13568" width="8.88671875" style="2665"/>
    <col min="13569" max="13569" width="9.44140625" style="2665" customWidth="1"/>
    <col min="13570" max="13570" width="8.88671875" style="2665"/>
    <col min="13571" max="13573" width="12.88671875" style="2665" customWidth="1"/>
    <col min="13574" max="13574" width="47.44140625" style="2665" customWidth="1"/>
    <col min="13575" max="13575" width="13" style="2665" customWidth="1"/>
    <col min="13576" max="13577" width="8.88671875" style="2665"/>
    <col min="13578" max="13578" width="5.77734375" style="2665" customWidth="1"/>
    <col min="13579" max="13579" width="11.77734375" style="2665" customWidth="1"/>
    <col min="13580" max="13581" width="10.77734375" style="2665" customWidth="1"/>
    <col min="13582" max="13582" width="10" style="2665" customWidth="1"/>
    <col min="13583" max="13584" width="10.44140625" style="2665" bestFit="1" customWidth="1"/>
    <col min="13585" max="13585" width="10" style="2665" customWidth="1"/>
    <col min="13586" max="13586" width="10.109375" style="2665" customWidth="1"/>
    <col min="13587" max="13587" width="10" style="2665" customWidth="1"/>
    <col min="13588" max="13588" width="26.109375" style="2665" customWidth="1"/>
    <col min="13589" max="13824" width="8.88671875" style="2665"/>
    <col min="13825" max="13825" width="9.44140625" style="2665" customWidth="1"/>
    <col min="13826" max="13826" width="8.88671875" style="2665"/>
    <col min="13827" max="13829" width="12.88671875" style="2665" customWidth="1"/>
    <col min="13830" max="13830" width="47.44140625" style="2665" customWidth="1"/>
    <col min="13831" max="13831" width="13" style="2665" customWidth="1"/>
    <col min="13832" max="13833" width="8.88671875" style="2665"/>
    <col min="13834" max="13834" width="5.77734375" style="2665" customWidth="1"/>
    <col min="13835" max="13835" width="11.77734375" style="2665" customWidth="1"/>
    <col min="13836" max="13837" width="10.77734375" style="2665" customWidth="1"/>
    <col min="13838" max="13838" width="10" style="2665" customWidth="1"/>
    <col min="13839" max="13840" width="10.44140625" style="2665" bestFit="1" customWidth="1"/>
    <col min="13841" max="13841" width="10" style="2665" customWidth="1"/>
    <col min="13842" max="13842" width="10.109375" style="2665" customWidth="1"/>
    <col min="13843" max="13843" width="10" style="2665" customWidth="1"/>
    <col min="13844" max="13844" width="26.109375" style="2665" customWidth="1"/>
    <col min="13845" max="14080" width="8.88671875" style="2665"/>
    <col min="14081" max="14081" width="9.44140625" style="2665" customWidth="1"/>
    <col min="14082" max="14082" width="8.88671875" style="2665"/>
    <col min="14083" max="14085" width="12.88671875" style="2665" customWidth="1"/>
    <col min="14086" max="14086" width="47.44140625" style="2665" customWidth="1"/>
    <col min="14087" max="14087" width="13" style="2665" customWidth="1"/>
    <col min="14088" max="14089" width="8.88671875" style="2665"/>
    <col min="14090" max="14090" width="5.77734375" style="2665" customWidth="1"/>
    <col min="14091" max="14091" width="11.77734375" style="2665" customWidth="1"/>
    <col min="14092" max="14093" width="10.77734375" style="2665" customWidth="1"/>
    <col min="14094" max="14094" width="10" style="2665" customWidth="1"/>
    <col min="14095" max="14096" width="10.44140625" style="2665" bestFit="1" customWidth="1"/>
    <col min="14097" max="14097" width="10" style="2665" customWidth="1"/>
    <col min="14098" max="14098" width="10.109375" style="2665" customWidth="1"/>
    <col min="14099" max="14099" width="10" style="2665" customWidth="1"/>
    <col min="14100" max="14100" width="26.109375" style="2665" customWidth="1"/>
    <col min="14101" max="14336" width="8.88671875" style="2665"/>
    <col min="14337" max="14337" width="9.44140625" style="2665" customWidth="1"/>
    <col min="14338" max="14338" width="8.88671875" style="2665"/>
    <col min="14339" max="14341" width="12.88671875" style="2665" customWidth="1"/>
    <col min="14342" max="14342" width="47.44140625" style="2665" customWidth="1"/>
    <col min="14343" max="14343" width="13" style="2665" customWidth="1"/>
    <col min="14344" max="14345" width="8.88671875" style="2665"/>
    <col min="14346" max="14346" width="5.77734375" style="2665" customWidth="1"/>
    <col min="14347" max="14347" width="11.77734375" style="2665" customWidth="1"/>
    <col min="14348" max="14349" width="10.77734375" style="2665" customWidth="1"/>
    <col min="14350" max="14350" width="10" style="2665" customWidth="1"/>
    <col min="14351" max="14352" width="10.44140625" style="2665" bestFit="1" customWidth="1"/>
    <col min="14353" max="14353" width="10" style="2665" customWidth="1"/>
    <col min="14354" max="14354" width="10.109375" style="2665" customWidth="1"/>
    <col min="14355" max="14355" width="10" style="2665" customWidth="1"/>
    <col min="14356" max="14356" width="26.109375" style="2665" customWidth="1"/>
    <col min="14357" max="14592" width="8.88671875" style="2665"/>
    <col min="14593" max="14593" width="9.44140625" style="2665" customWidth="1"/>
    <col min="14594" max="14594" width="8.88671875" style="2665"/>
    <col min="14595" max="14597" width="12.88671875" style="2665" customWidth="1"/>
    <col min="14598" max="14598" width="47.44140625" style="2665" customWidth="1"/>
    <col min="14599" max="14599" width="13" style="2665" customWidth="1"/>
    <col min="14600" max="14601" width="8.88671875" style="2665"/>
    <col min="14602" max="14602" width="5.77734375" style="2665" customWidth="1"/>
    <col min="14603" max="14603" width="11.77734375" style="2665" customWidth="1"/>
    <col min="14604" max="14605" width="10.77734375" style="2665" customWidth="1"/>
    <col min="14606" max="14606" width="10" style="2665" customWidth="1"/>
    <col min="14607" max="14608" width="10.44140625" style="2665" bestFit="1" customWidth="1"/>
    <col min="14609" max="14609" width="10" style="2665" customWidth="1"/>
    <col min="14610" max="14610" width="10.109375" style="2665" customWidth="1"/>
    <col min="14611" max="14611" width="10" style="2665" customWidth="1"/>
    <col min="14612" max="14612" width="26.109375" style="2665" customWidth="1"/>
    <col min="14613" max="14848" width="8.88671875" style="2665"/>
    <col min="14849" max="14849" width="9.44140625" style="2665" customWidth="1"/>
    <col min="14850" max="14850" width="8.88671875" style="2665"/>
    <col min="14851" max="14853" width="12.88671875" style="2665" customWidth="1"/>
    <col min="14854" max="14854" width="47.44140625" style="2665" customWidth="1"/>
    <col min="14855" max="14855" width="13" style="2665" customWidth="1"/>
    <col min="14856" max="14857" width="8.88671875" style="2665"/>
    <col min="14858" max="14858" width="5.77734375" style="2665" customWidth="1"/>
    <col min="14859" max="14859" width="11.77734375" style="2665" customWidth="1"/>
    <col min="14860" max="14861" width="10.77734375" style="2665" customWidth="1"/>
    <col min="14862" max="14862" width="10" style="2665" customWidth="1"/>
    <col min="14863" max="14864" width="10.44140625" style="2665" bestFit="1" customWidth="1"/>
    <col min="14865" max="14865" width="10" style="2665" customWidth="1"/>
    <col min="14866" max="14866" width="10.109375" style="2665" customWidth="1"/>
    <col min="14867" max="14867" width="10" style="2665" customWidth="1"/>
    <col min="14868" max="14868" width="26.109375" style="2665" customWidth="1"/>
    <col min="14869" max="15104" width="8.88671875" style="2665"/>
    <col min="15105" max="15105" width="9.44140625" style="2665" customWidth="1"/>
    <col min="15106" max="15106" width="8.88671875" style="2665"/>
    <col min="15107" max="15109" width="12.88671875" style="2665" customWidth="1"/>
    <col min="15110" max="15110" width="47.44140625" style="2665" customWidth="1"/>
    <col min="15111" max="15111" width="13" style="2665" customWidth="1"/>
    <col min="15112" max="15113" width="8.88671875" style="2665"/>
    <col min="15114" max="15114" width="5.77734375" style="2665" customWidth="1"/>
    <col min="15115" max="15115" width="11.77734375" style="2665" customWidth="1"/>
    <col min="15116" max="15117" width="10.77734375" style="2665" customWidth="1"/>
    <col min="15118" max="15118" width="10" style="2665" customWidth="1"/>
    <col min="15119" max="15120" width="10.44140625" style="2665" bestFit="1" customWidth="1"/>
    <col min="15121" max="15121" width="10" style="2665" customWidth="1"/>
    <col min="15122" max="15122" width="10.109375" style="2665" customWidth="1"/>
    <col min="15123" max="15123" width="10" style="2665" customWidth="1"/>
    <col min="15124" max="15124" width="26.109375" style="2665" customWidth="1"/>
    <col min="15125" max="15360" width="8.88671875" style="2665"/>
    <col min="15361" max="15361" width="9.44140625" style="2665" customWidth="1"/>
    <col min="15362" max="15362" width="8.88671875" style="2665"/>
    <col min="15363" max="15365" width="12.88671875" style="2665" customWidth="1"/>
    <col min="15366" max="15366" width="47.44140625" style="2665" customWidth="1"/>
    <col min="15367" max="15367" width="13" style="2665" customWidth="1"/>
    <col min="15368" max="15369" width="8.88671875" style="2665"/>
    <col min="15370" max="15370" width="5.77734375" style="2665" customWidth="1"/>
    <col min="15371" max="15371" width="11.77734375" style="2665" customWidth="1"/>
    <col min="15372" max="15373" width="10.77734375" style="2665" customWidth="1"/>
    <col min="15374" max="15374" width="10" style="2665" customWidth="1"/>
    <col min="15375" max="15376" width="10.44140625" style="2665" bestFit="1" customWidth="1"/>
    <col min="15377" max="15377" width="10" style="2665" customWidth="1"/>
    <col min="15378" max="15378" width="10.109375" style="2665" customWidth="1"/>
    <col min="15379" max="15379" width="10" style="2665" customWidth="1"/>
    <col min="15380" max="15380" width="26.109375" style="2665" customWidth="1"/>
    <col min="15381" max="15616" width="8.88671875" style="2665"/>
    <col min="15617" max="15617" width="9.44140625" style="2665" customWidth="1"/>
    <col min="15618" max="15618" width="8.88671875" style="2665"/>
    <col min="15619" max="15621" width="12.88671875" style="2665" customWidth="1"/>
    <col min="15622" max="15622" width="47.44140625" style="2665" customWidth="1"/>
    <col min="15623" max="15623" width="13" style="2665" customWidth="1"/>
    <col min="15624" max="15625" width="8.88671875" style="2665"/>
    <col min="15626" max="15626" width="5.77734375" style="2665" customWidth="1"/>
    <col min="15627" max="15627" width="11.77734375" style="2665" customWidth="1"/>
    <col min="15628" max="15629" width="10.77734375" style="2665" customWidth="1"/>
    <col min="15630" max="15630" width="10" style="2665" customWidth="1"/>
    <col min="15631" max="15632" width="10.44140625" style="2665" bestFit="1" customWidth="1"/>
    <col min="15633" max="15633" width="10" style="2665" customWidth="1"/>
    <col min="15634" max="15634" width="10.109375" style="2665" customWidth="1"/>
    <col min="15635" max="15635" width="10" style="2665" customWidth="1"/>
    <col min="15636" max="15636" width="26.109375" style="2665" customWidth="1"/>
    <col min="15637" max="15872" width="8.88671875" style="2665"/>
    <col min="15873" max="15873" width="9.44140625" style="2665" customWidth="1"/>
    <col min="15874" max="15874" width="8.88671875" style="2665"/>
    <col min="15875" max="15877" width="12.88671875" style="2665" customWidth="1"/>
    <col min="15878" max="15878" width="47.44140625" style="2665" customWidth="1"/>
    <col min="15879" max="15879" width="13" style="2665" customWidth="1"/>
    <col min="15880" max="15881" width="8.88671875" style="2665"/>
    <col min="15882" max="15882" width="5.77734375" style="2665" customWidth="1"/>
    <col min="15883" max="15883" width="11.77734375" style="2665" customWidth="1"/>
    <col min="15884" max="15885" width="10.77734375" style="2665" customWidth="1"/>
    <col min="15886" max="15886" width="10" style="2665" customWidth="1"/>
    <col min="15887" max="15888" width="10.44140625" style="2665" bestFit="1" customWidth="1"/>
    <col min="15889" max="15889" width="10" style="2665" customWidth="1"/>
    <col min="15890" max="15890" width="10.109375" style="2665" customWidth="1"/>
    <col min="15891" max="15891" width="10" style="2665" customWidth="1"/>
    <col min="15892" max="15892" width="26.109375" style="2665" customWidth="1"/>
    <col min="15893" max="16128" width="8.88671875" style="2665"/>
    <col min="16129" max="16129" width="9.44140625" style="2665" customWidth="1"/>
    <col min="16130" max="16130" width="8.88671875" style="2665"/>
    <col min="16131" max="16133" width="12.88671875" style="2665" customWidth="1"/>
    <col min="16134" max="16134" width="47.44140625" style="2665" customWidth="1"/>
    <col min="16135" max="16135" width="13" style="2665" customWidth="1"/>
    <col min="16136" max="16137" width="8.88671875" style="2665"/>
    <col min="16138" max="16138" width="5.77734375" style="2665" customWidth="1"/>
    <col min="16139" max="16139" width="11.77734375" style="2665" customWidth="1"/>
    <col min="16140" max="16141" width="10.77734375" style="2665" customWidth="1"/>
    <col min="16142" max="16142" width="10" style="2665" customWidth="1"/>
    <col min="16143" max="16144" width="10.44140625" style="2665" bestFit="1" customWidth="1"/>
    <col min="16145" max="16145" width="10" style="2665" customWidth="1"/>
    <col min="16146" max="16146" width="10.109375" style="2665" customWidth="1"/>
    <col min="16147" max="16147" width="10" style="2665" customWidth="1"/>
    <col min="16148" max="16148" width="26.109375" style="2665" customWidth="1"/>
    <col min="16149" max="16384" width="8.88671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2" customHeight="1">
      <c r="A2" s="1377" t="s">
        <v>2607</v>
      </c>
      <c r="B2" s="2666" t="e">
        <f>C40</f>
        <v>#DIV/0!</v>
      </c>
      <c r="C2" s="2667" t="s">
        <v>2608</v>
      </c>
      <c r="D2" s="2667"/>
      <c r="E2" s="2668"/>
      <c r="F2" s="2669"/>
      <c r="G2" s="2670"/>
      <c r="H2" s="2671"/>
      <c r="I2" s="2672"/>
      <c r="J2" s="3571" t="s">
        <v>2609</v>
      </c>
      <c r="K2" s="3572"/>
      <c r="L2" s="2673" t="s">
        <v>2610</v>
      </c>
      <c r="M2" s="2673" t="s">
        <v>2611</v>
      </c>
      <c r="N2" s="2673" t="s">
        <v>2612</v>
      </c>
      <c r="O2" s="2673" t="s">
        <v>2613</v>
      </c>
      <c r="P2" s="2673" t="s">
        <v>2614</v>
      </c>
      <c r="Q2" s="2674" t="s">
        <v>2615</v>
      </c>
      <c r="R2" s="2675" t="s">
        <v>2616</v>
      </c>
      <c r="S2" s="2664"/>
      <c r="T2" s="2664"/>
      <c r="U2" s="2664"/>
      <c r="V2" s="2672"/>
    </row>
    <row r="3" spans="1:22" s="2676" customFormat="1" ht="13.2" customHeight="1">
      <c r="A3" s="2677" t="s">
        <v>2617</v>
      </c>
      <c r="B3" s="2678" t="e">
        <f>ROUND(B2*10000/B4,0)</f>
        <v>#DIV/0!</v>
      </c>
      <c r="C3" s="2667" t="s">
        <v>2618</v>
      </c>
      <c r="D3" s="2667"/>
      <c r="E3" s="2668"/>
      <c r="F3" s="2669"/>
      <c r="G3" s="2670"/>
      <c r="H3" s="2671"/>
      <c r="I3" s="2672"/>
      <c r="J3" s="3573" t="s">
        <v>2619</v>
      </c>
      <c r="K3" s="3574"/>
      <c r="L3" s="2679"/>
      <c r="M3" s="2679"/>
      <c r="N3" s="2679"/>
      <c r="O3" s="2679"/>
      <c r="P3" s="2679"/>
      <c r="Q3" s="2680"/>
      <c r="R3" s="2681">
        <f>SUM(L3:Q3)</f>
        <v>0</v>
      </c>
      <c r="S3" s="2664"/>
      <c r="T3" s="2664"/>
      <c r="U3" s="2664"/>
      <c r="V3" s="2672"/>
    </row>
    <row r="4" spans="1:22" s="2676" customFormat="1" ht="13.2" customHeight="1">
      <c r="A4" s="2682" t="s">
        <v>2620</v>
      </c>
      <c r="B4" s="2683"/>
      <c r="C4" s="2667"/>
      <c r="D4" s="2667"/>
      <c r="E4" s="2668"/>
      <c r="F4" s="2669"/>
      <c r="G4" s="2670"/>
      <c r="H4" s="2671"/>
      <c r="I4" s="2672"/>
      <c r="J4" s="3573" t="s">
        <v>2621</v>
      </c>
      <c r="K4" s="3574"/>
      <c r="L4" s="2684"/>
      <c r="M4" s="2684"/>
      <c r="N4" s="2684"/>
      <c r="O4" s="2684"/>
      <c r="P4" s="2684"/>
      <c r="Q4" s="2685"/>
      <c r="R4" s="2686">
        <f>SUM(L4:Q4)</f>
        <v>0</v>
      </c>
      <c r="S4" s="2664"/>
      <c r="T4" s="2664"/>
      <c r="U4" s="2664"/>
      <c r="V4" s="2672"/>
    </row>
    <row r="5" spans="1:22" s="2676" customFormat="1" ht="13.2"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2" customHeight="1" thickBot="1">
      <c r="A6" s="3575" t="s">
        <v>2625</v>
      </c>
      <c r="B6" s="3576"/>
      <c r="C6" s="3577"/>
      <c r="D6" s="2693"/>
      <c r="E6" s="2694"/>
      <c r="F6" s="2695"/>
      <c r="G6" s="2696"/>
      <c r="H6" s="2671"/>
      <c r="I6" s="2672"/>
      <c r="J6" s="3578">
        <v>1</v>
      </c>
      <c r="K6" s="3579"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2" customHeight="1">
      <c r="A7" s="2699" t="s">
        <v>2635</v>
      </c>
      <c r="B7" s="2700"/>
      <c r="C7" s="2701"/>
      <c r="D7" s="2702">
        <f>SUM(D9,D10,D11,D17,0)</f>
        <v>0</v>
      </c>
      <c r="E7" s="2703" t="e">
        <f>E9+E10+E11+E17</f>
        <v>#DIV/0!</v>
      </c>
      <c r="F7" s="2704"/>
      <c r="G7" s="2705"/>
      <c r="H7" s="2671"/>
      <c r="I7" s="2672"/>
      <c r="J7" s="3578"/>
      <c r="K7" s="3580"/>
      <c r="L7" s="2706" t="s">
        <v>2636</v>
      </c>
      <c r="M7" s="2707"/>
      <c r="N7" s="2683"/>
      <c r="O7" s="2708"/>
      <c r="P7" s="2708"/>
      <c r="Q7" s="2709">
        <v>365</v>
      </c>
      <c r="R7" s="2710">
        <f>ROUND(M7*N7*O7*P7*Q7/10000,0)</f>
        <v>0</v>
      </c>
      <c r="S7" s="2664"/>
      <c r="T7" s="2664" t="s">
        <v>2637</v>
      </c>
      <c r="U7" s="2664"/>
      <c r="V7" s="2672"/>
    </row>
    <row r="8" spans="1:22" s="2676" customFormat="1" ht="13.2" customHeight="1">
      <c r="A8" s="2711" t="s">
        <v>2638</v>
      </c>
      <c r="B8" s="3582" t="s">
        <v>2639</v>
      </c>
      <c r="C8" s="3583"/>
      <c r="D8" s="2712" t="s">
        <v>2640</v>
      </c>
      <c r="E8" s="2713" t="s">
        <v>2641</v>
      </c>
      <c r="F8" s="2714" t="s">
        <v>2642</v>
      </c>
      <c r="G8" s="2715"/>
      <c r="H8" s="2671"/>
      <c r="I8" s="2672"/>
      <c r="J8" s="3578"/>
      <c r="K8" s="3580"/>
      <c r="L8" s="2706" t="s">
        <v>2643</v>
      </c>
      <c r="M8" s="2707"/>
      <c r="N8" s="2683"/>
      <c r="O8" s="2708"/>
      <c r="P8" s="2708"/>
      <c r="Q8" s="2709">
        <v>365</v>
      </c>
      <c r="R8" s="2710">
        <f t="shared" ref="R8:R13" si="0">ROUND(M8*N8*O8*P8*Q8/10000,0)</f>
        <v>0</v>
      </c>
      <c r="S8" s="2664"/>
      <c r="T8" s="2664" t="s">
        <v>2644</v>
      </c>
      <c r="U8" s="2664"/>
      <c r="V8" s="2672"/>
    </row>
    <row r="9" spans="1:22" s="2676" customFormat="1" ht="13.2" customHeight="1">
      <c r="A9" s="2711">
        <v>1</v>
      </c>
      <c r="B9" s="3582" t="s">
        <v>2645</v>
      </c>
      <c r="C9" s="3583"/>
      <c r="D9" s="2712">
        <f>ROUND(D6*E9,0)</f>
        <v>0</v>
      </c>
      <c r="E9" s="2716"/>
      <c r="F9" s="2717" t="s">
        <v>2646</v>
      </c>
      <c r="G9" s="2696"/>
      <c r="H9" s="2671"/>
      <c r="I9" s="2672"/>
      <c r="J9" s="3578"/>
      <c r="K9" s="3580"/>
      <c r="L9" s="2706" t="s">
        <v>2647</v>
      </c>
      <c r="M9" s="2707"/>
      <c r="N9" s="2683"/>
      <c r="O9" s="2708"/>
      <c r="P9" s="2708"/>
      <c r="Q9" s="2709">
        <v>365</v>
      </c>
      <c r="R9" s="2710">
        <f t="shared" si="0"/>
        <v>0</v>
      </c>
      <c r="S9" s="2664"/>
      <c r="T9" s="2664"/>
      <c r="U9" s="2664"/>
      <c r="V9" s="2672"/>
    </row>
    <row r="10" spans="1:22" s="2676" customFormat="1" ht="13.2" customHeight="1">
      <c r="A10" s="2711">
        <v>2</v>
      </c>
      <c r="B10" s="3582" t="s">
        <v>2648</v>
      </c>
      <c r="C10" s="3583"/>
      <c r="D10" s="2712">
        <f>ROUND(D6*E10,0)</f>
        <v>0</v>
      </c>
      <c r="E10" s="2716"/>
      <c r="F10" s="2717" t="s">
        <v>2649</v>
      </c>
      <c r="G10" s="2696"/>
      <c r="H10" s="2671"/>
      <c r="I10" s="2672"/>
      <c r="J10" s="3578"/>
      <c r="K10" s="3580"/>
      <c r="L10" s="2706" t="s">
        <v>2650</v>
      </c>
      <c r="M10" s="2707"/>
      <c r="N10" s="2683"/>
      <c r="O10" s="2708"/>
      <c r="P10" s="2708"/>
      <c r="Q10" s="2709">
        <v>365</v>
      </c>
      <c r="R10" s="2710">
        <f t="shared" si="0"/>
        <v>0</v>
      </c>
      <c r="S10" s="2664"/>
      <c r="T10" s="2664"/>
      <c r="U10" s="2664"/>
      <c r="V10" s="2672"/>
    </row>
    <row r="11" spans="1:22" s="2676" customFormat="1" ht="13.2" customHeight="1">
      <c r="A11" s="2711">
        <v>3</v>
      </c>
      <c r="B11" s="3582" t="s">
        <v>2651</v>
      </c>
      <c r="C11" s="3583"/>
      <c r="D11" s="2712">
        <f>D12+D14+D15+D16</f>
        <v>0</v>
      </c>
      <c r="E11" s="2718" t="e">
        <f>D11/D6</f>
        <v>#DIV/0!</v>
      </c>
      <c r="F11" s="2714"/>
      <c r="G11" s="2715"/>
      <c r="H11" s="2671"/>
      <c r="I11" s="2672"/>
      <c r="J11" s="3578"/>
      <c r="K11" s="3580"/>
      <c r="L11" s="2706" t="s">
        <v>2652</v>
      </c>
      <c r="M11" s="2707"/>
      <c r="N11" s="2683"/>
      <c r="O11" s="2708"/>
      <c r="P11" s="2708"/>
      <c r="Q11" s="2709">
        <v>365</v>
      </c>
      <c r="R11" s="2710">
        <f t="shared" si="0"/>
        <v>0</v>
      </c>
      <c r="S11" s="2664"/>
      <c r="T11" s="2664"/>
      <c r="U11" s="2664"/>
      <c r="V11" s="2672"/>
    </row>
    <row r="12" spans="1:22" s="2676" customFormat="1" ht="13.2" customHeight="1">
      <c r="A12" s="2719" t="s">
        <v>2653</v>
      </c>
      <c r="B12" s="3584" t="s">
        <v>2654</v>
      </c>
      <c r="C12" s="3585"/>
      <c r="D12" s="2720">
        <f>ROUND(D13*1.2%*(1-30%),0)</f>
        <v>0</v>
      </c>
      <c r="E12" s="2721">
        <v>1.2E-2</v>
      </c>
      <c r="F12" s="2714" t="s">
        <v>2655</v>
      </c>
      <c r="G12" s="2715"/>
      <c r="H12" s="2671"/>
      <c r="I12" s="2672"/>
      <c r="J12" s="3578"/>
      <c r="K12" s="3580"/>
      <c r="L12" s="2706" t="s">
        <v>2656</v>
      </c>
      <c r="M12" s="2707"/>
      <c r="N12" s="2683"/>
      <c r="O12" s="2708"/>
      <c r="P12" s="2708"/>
      <c r="Q12" s="2709">
        <v>365</v>
      </c>
      <c r="R12" s="2710">
        <f t="shared" si="0"/>
        <v>0</v>
      </c>
      <c r="S12" s="2664"/>
      <c r="T12" s="2664"/>
      <c r="U12" s="2664"/>
      <c r="V12" s="2672"/>
    </row>
    <row r="13" spans="1:22" s="2676" customFormat="1" ht="13.2" customHeight="1">
      <c r="A13" s="2719"/>
      <c r="B13" s="2722"/>
      <c r="C13" s="2723" t="s">
        <v>2657</v>
      </c>
      <c r="D13" s="2724"/>
      <c r="E13" s="2725"/>
      <c r="F13" s="2714"/>
      <c r="G13" s="2715"/>
      <c r="H13" s="2671"/>
      <c r="I13" s="2672"/>
      <c r="J13" s="3578"/>
      <c r="K13" s="3580"/>
      <c r="L13" s="2706" t="s">
        <v>2658</v>
      </c>
      <c r="M13" s="2707"/>
      <c r="N13" s="2683"/>
      <c r="O13" s="2708"/>
      <c r="P13" s="2708"/>
      <c r="Q13" s="2709">
        <v>365</v>
      </c>
      <c r="R13" s="2710">
        <f t="shared" si="0"/>
        <v>0</v>
      </c>
      <c r="S13" s="2664"/>
      <c r="T13" s="2664"/>
      <c r="U13" s="2664"/>
      <c r="V13" s="2672"/>
    </row>
    <row r="14" spans="1:22" s="2676" customFormat="1" ht="13.2" customHeight="1">
      <c r="A14" s="2719" t="s">
        <v>2659</v>
      </c>
      <c r="B14" s="3584" t="s">
        <v>2660</v>
      </c>
      <c r="C14" s="3585"/>
      <c r="D14" s="2720">
        <f>ROUND(E14*B5/10000,0)</f>
        <v>0</v>
      </c>
      <c r="E14" s="2709"/>
      <c r="F14" s="2714" t="s">
        <v>2661</v>
      </c>
      <c r="G14" s="2715"/>
      <c r="H14" s="2671"/>
      <c r="I14" s="2672"/>
      <c r="J14" s="3578"/>
      <c r="K14" s="3581"/>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2" customHeight="1">
      <c r="A15" s="2719" t="s">
        <v>2663</v>
      </c>
      <c r="B15" s="3584" t="s">
        <v>2664</v>
      </c>
      <c r="C15" s="3585"/>
      <c r="D15" s="2720">
        <f>ROUND(D6*E15,0)</f>
        <v>0</v>
      </c>
      <c r="E15" s="2721">
        <v>5.5E-2</v>
      </c>
      <c r="F15" s="2714" t="s">
        <v>2665</v>
      </c>
      <c r="G15" s="2696"/>
      <c r="H15" s="2671"/>
      <c r="I15" s="2672"/>
      <c r="J15" s="3578">
        <v>2</v>
      </c>
      <c r="K15" s="3579"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2" customHeight="1">
      <c r="A16" s="2719" t="s">
        <v>2672</v>
      </c>
      <c r="B16" s="3584" t="s">
        <v>2673</v>
      </c>
      <c r="C16" s="3585"/>
      <c r="D16" s="2731">
        <f>D6*E16</f>
        <v>0</v>
      </c>
      <c r="E16" s="2732"/>
      <c r="F16" s="2717" t="s">
        <v>2674</v>
      </c>
      <c r="G16" s="2696"/>
      <c r="H16" s="2671"/>
      <c r="I16" s="2672"/>
      <c r="J16" s="3578"/>
      <c r="K16" s="3580"/>
      <c r="L16" s="2706" t="s">
        <v>2675</v>
      </c>
      <c r="M16" s="2707"/>
      <c r="N16" s="2707"/>
      <c r="O16" s="2708"/>
      <c r="P16" s="2709">
        <v>365</v>
      </c>
      <c r="Q16" s="2683"/>
      <c r="R16" s="2730">
        <f>ROUND(M16*N16*O16*P16/10000,0)</f>
        <v>0</v>
      </c>
      <c r="S16" s="2664"/>
      <c r="T16" s="2664"/>
      <c r="U16" s="2664"/>
      <c r="V16" s="2672"/>
    </row>
    <row r="17" spans="1:22" s="2676" customFormat="1" ht="13.2" customHeight="1" thickBot="1">
      <c r="A17" s="2733">
        <v>4</v>
      </c>
      <c r="B17" s="3586" t="s">
        <v>2676</v>
      </c>
      <c r="C17" s="3587"/>
      <c r="D17" s="2734">
        <f>ROUND(D6*E17,0)</f>
        <v>0</v>
      </c>
      <c r="E17" s="2735"/>
      <c r="F17" s="2736" t="s">
        <v>2677</v>
      </c>
      <c r="G17" s="2696"/>
      <c r="H17" s="2671"/>
      <c r="I17" s="2672"/>
      <c r="J17" s="3578"/>
      <c r="K17" s="3580"/>
      <c r="L17" s="2706" t="s">
        <v>2678</v>
      </c>
      <c r="M17" s="2707"/>
      <c r="N17" s="2707"/>
      <c r="O17" s="2708"/>
      <c r="P17" s="2709">
        <v>365</v>
      </c>
      <c r="Q17" s="2683"/>
      <c r="R17" s="2730">
        <f>ROUND(M17*N17*O17*P17/10000,0)</f>
        <v>0</v>
      </c>
      <c r="S17" s="2664"/>
      <c r="T17" s="2664"/>
      <c r="U17" s="2664"/>
      <c r="V17" s="2672"/>
    </row>
    <row r="18" spans="1:22" s="2676" customFormat="1" ht="13.2" customHeight="1" thickBot="1">
      <c r="A18" s="2699" t="s">
        <v>2679</v>
      </c>
      <c r="B18" s="2700"/>
      <c r="C18" s="2700"/>
      <c r="D18" s="2737">
        <f>ROUND(D6*E18,0)</f>
        <v>0</v>
      </c>
      <c r="E18" s="2738"/>
      <c r="F18" s="2739" t="s">
        <v>2680</v>
      </c>
      <c r="G18" s="2696"/>
      <c r="H18" s="2671"/>
      <c r="I18" s="2672"/>
      <c r="J18" s="3578"/>
      <c r="K18" s="3580"/>
      <c r="L18" s="2706" t="s">
        <v>2681</v>
      </c>
      <c r="M18" s="2707"/>
      <c r="N18" s="2707"/>
      <c r="O18" s="2708"/>
      <c r="P18" s="2709">
        <v>365</v>
      </c>
      <c r="Q18" s="2683"/>
      <c r="R18" s="2730">
        <f>ROUND(M18*N18*O18*P18/10000,0)</f>
        <v>0</v>
      </c>
      <c r="S18" s="2664"/>
      <c r="T18" s="2664"/>
      <c r="U18" s="2664"/>
      <c r="V18" s="2672"/>
    </row>
    <row r="19" spans="1:22" s="2676" customFormat="1" ht="13.2" customHeight="1" thickBot="1">
      <c r="A19" s="2740" t="s">
        <v>2682</v>
      </c>
      <c r="B19" s="2694"/>
      <c r="C19" s="2694"/>
      <c r="D19" s="2694"/>
      <c r="E19" s="2694"/>
      <c r="F19" s="2695"/>
      <c r="G19" s="2715"/>
      <c r="H19" s="2671"/>
      <c r="I19" s="2672"/>
      <c r="J19" s="3578"/>
      <c r="K19" s="3581"/>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2" customHeight="1">
      <c r="A20" s="2699"/>
      <c r="B20" s="2700"/>
      <c r="C20" s="2700"/>
      <c r="D20" s="2700"/>
      <c r="E20" s="2700"/>
      <c r="F20" s="2743"/>
      <c r="G20" s="2715"/>
      <c r="H20" s="2671"/>
      <c r="I20" s="2672"/>
      <c r="J20" s="3578">
        <v>3</v>
      </c>
      <c r="K20" s="3579"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2" customHeight="1">
      <c r="A21" s="2699"/>
      <c r="B21" s="2700"/>
      <c r="C21" s="2746" t="s">
        <v>2691</v>
      </c>
      <c r="D21" s="2747" t="s">
        <v>2692</v>
      </c>
      <c r="E21" s="2748" t="s">
        <v>2693</v>
      </c>
      <c r="F21" s="2743"/>
      <c r="G21" s="2715"/>
      <c r="H21" s="2671"/>
      <c r="I21" s="2672"/>
      <c r="J21" s="3578"/>
      <c r="K21" s="3580"/>
      <c r="L21" s="2706" t="s">
        <v>2694</v>
      </c>
      <c r="M21" s="2707"/>
      <c r="N21" s="2707"/>
      <c r="O21" s="2708"/>
      <c r="P21" s="2709">
        <v>365</v>
      </c>
      <c r="Q21" s="2683"/>
      <c r="R21" s="2749">
        <f>ROUND(M21*N21*O21*P21/10000,0)</f>
        <v>0</v>
      </c>
      <c r="S21" s="2745"/>
      <c r="T21" s="2745"/>
      <c r="U21" s="2745"/>
      <c r="V21" s="2672"/>
    </row>
    <row r="22" spans="1:22" s="2676" customFormat="1" ht="13.2" customHeight="1">
      <c r="A22" s="2699"/>
      <c r="B22" s="2700"/>
      <c r="C22" s="2750" t="s">
        <v>2695</v>
      </c>
      <c r="D22" s="2751" t="s">
        <v>2696</v>
      </c>
      <c r="E22" s="2752" t="s">
        <v>2697</v>
      </c>
      <c r="F22" s="2743"/>
      <c r="G22" s="2753"/>
      <c r="H22" s="2671"/>
      <c r="I22" s="2672"/>
      <c r="J22" s="3578"/>
      <c r="K22" s="3580"/>
      <c r="L22" s="2706" t="s">
        <v>2698</v>
      </c>
      <c r="M22" s="2707"/>
      <c r="N22" s="2707"/>
      <c r="O22" s="2708"/>
      <c r="P22" s="2709">
        <v>365</v>
      </c>
      <c r="Q22" s="2683"/>
      <c r="R22" s="2749">
        <f>ROUND(M22*N22*O22*P22/10000,0)</f>
        <v>0</v>
      </c>
      <c r="S22" s="2745"/>
      <c r="T22" s="2745"/>
      <c r="U22" s="2745"/>
      <c r="V22" s="2672"/>
    </row>
    <row r="23" spans="1:22" s="2676" customFormat="1" ht="13.2" customHeight="1">
      <c r="A23" s="2754">
        <v>1</v>
      </c>
      <c r="B23" s="2755" t="s">
        <v>2699</v>
      </c>
      <c r="C23" s="2756">
        <f>D6</f>
        <v>0</v>
      </c>
      <c r="D23" s="2757">
        <f>C23*(1+D24)</f>
        <v>0</v>
      </c>
      <c r="E23" s="2758">
        <f>D23*(1+E24)</f>
        <v>0</v>
      </c>
      <c r="F23" s="2759"/>
      <c r="G23" s="2760"/>
      <c r="H23" s="2671"/>
      <c r="I23" s="2672"/>
      <c r="J23" s="3578"/>
      <c r="K23" s="3580"/>
      <c r="L23" s="2706" t="s">
        <v>2700</v>
      </c>
      <c r="M23" s="2707"/>
      <c r="N23" s="2707"/>
      <c r="O23" s="2708"/>
      <c r="P23" s="2709">
        <v>365</v>
      </c>
      <c r="Q23" s="2683"/>
      <c r="R23" s="2749">
        <f>ROUND(M23*N23*O23*P23/10000,0)</f>
        <v>0</v>
      </c>
      <c r="S23" s="2664"/>
      <c r="T23" s="2664"/>
      <c r="U23" s="2664"/>
      <c r="V23" s="2672"/>
    </row>
    <row r="24" spans="1:22" s="2676" customFormat="1" ht="13.2" customHeight="1">
      <c r="A24" s="2761"/>
      <c r="B24" s="2762" t="s">
        <v>2701</v>
      </c>
      <c r="C24" s="2763"/>
      <c r="D24" s="2764"/>
      <c r="E24" s="2765"/>
      <c r="F24" s="2766"/>
      <c r="G24" s="2760"/>
      <c r="H24" s="2671"/>
      <c r="I24" s="2672"/>
      <c r="J24" s="3578"/>
      <c r="K24" s="3581"/>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2"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2" customHeight="1">
      <c r="A26" s="2754">
        <v>2</v>
      </c>
      <c r="B26" s="2755" t="s">
        <v>2703</v>
      </c>
      <c r="C26" s="2756">
        <f>D7</f>
        <v>0</v>
      </c>
      <c r="D26" s="2757">
        <f>D23*D27</f>
        <v>0</v>
      </c>
      <c r="E26" s="2758">
        <f>E23*E27</f>
        <v>0</v>
      </c>
      <c r="F26" s="2759"/>
      <c r="G26" s="2760"/>
      <c r="H26" s="2671"/>
      <c r="I26" s="2672"/>
      <c r="J26" s="3588">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2" customHeight="1">
      <c r="A27" s="2761"/>
      <c r="B27" s="2762" t="s">
        <v>2709</v>
      </c>
      <c r="C27" s="2780" t="e">
        <f>E7</f>
        <v>#DIV/0!</v>
      </c>
      <c r="D27" s="2764"/>
      <c r="E27" s="2765"/>
      <c r="F27" s="2766"/>
      <c r="G27" s="2760"/>
      <c r="H27" s="2781"/>
      <c r="I27" s="2772"/>
      <c r="J27" s="3589"/>
      <c r="K27" s="2782"/>
      <c r="L27" s="2783"/>
      <c r="M27" s="2784"/>
      <c r="N27" s="2785"/>
      <c r="O27" s="2785"/>
      <c r="P27" s="2785"/>
      <c r="Q27" s="2786"/>
      <c r="R27" s="2742">
        <f>ROUND(O27*N27*P27*(1-Q27)/10000,0)</f>
        <v>0</v>
      </c>
      <c r="S27" s="2664"/>
      <c r="T27" s="2664"/>
      <c r="U27" s="2664"/>
      <c r="V27" s="2672"/>
    </row>
    <row r="28" spans="1:22" s="2773" customFormat="1" ht="13.2"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2"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2"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2"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2" customHeight="1">
      <c r="A32" s="2754">
        <v>4</v>
      </c>
      <c r="B32" s="2755" t="s">
        <v>2717</v>
      </c>
      <c r="C32" s="2756">
        <f>C23-C26-C29</f>
        <v>0</v>
      </c>
      <c r="D32" s="2757">
        <f>D23-D26-D29</f>
        <v>0</v>
      </c>
      <c r="E32" s="2758">
        <f>E23-E26-E29</f>
        <v>0</v>
      </c>
      <c r="F32" s="2759"/>
      <c r="G32" s="2753"/>
      <c r="H32" s="2671"/>
      <c r="I32" s="2672"/>
      <c r="J32" s="3571" t="s">
        <v>2609</v>
      </c>
      <c r="K32" s="3572"/>
      <c r="L32" s="2673" t="s">
        <v>2610</v>
      </c>
      <c r="M32" s="2673" t="s">
        <v>2611</v>
      </c>
      <c r="N32" s="2673" t="s">
        <v>2612</v>
      </c>
      <c r="O32" s="2673" t="s">
        <v>2613</v>
      </c>
      <c r="P32" s="2673" t="s">
        <v>2614</v>
      </c>
      <c r="Q32" s="2674" t="s">
        <v>2615</v>
      </c>
      <c r="R32" s="2796" t="s">
        <v>2616</v>
      </c>
      <c r="S32" s="2745"/>
      <c r="T32" s="2664"/>
      <c r="U32" s="2664"/>
      <c r="V32" s="2772"/>
    </row>
    <row r="33" spans="1:23" s="2676" customFormat="1" ht="13.2" customHeight="1">
      <c r="A33" s="2754"/>
      <c r="B33" s="2755"/>
      <c r="C33" s="2756"/>
      <c r="D33" s="2797"/>
      <c r="E33" s="2798"/>
      <c r="F33" s="2759"/>
      <c r="G33" s="2753"/>
      <c r="H33" s="2781"/>
      <c r="I33" s="2772"/>
      <c r="J33" s="3573" t="s">
        <v>2619</v>
      </c>
      <c r="K33" s="3574"/>
      <c r="L33" s="2679"/>
      <c r="M33" s="2679"/>
      <c r="N33" s="2679"/>
      <c r="O33" s="2679"/>
      <c r="P33" s="2679"/>
      <c r="Q33" s="2680"/>
      <c r="R33" s="2799">
        <f>SUM(L33:Q33)</f>
        <v>0</v>
      </c>
      <c r="S33" s="2745"/>
      <c r="T33" s="2664"/>
      <c r="U33" s="2664"/>
      <c r="V33" s="2672"/>
    </row>
    <row r="34" spans="1:23" s="2676" customFormat="1" ht="13.2" customHeight="1">
      <c r="A34" s="2754">
        <v>5</v>
      </c>
      <c r="B34" s="2755" t="s">
        <v>2718</v>
      </c>
      <c r="C34" s="2800"/>
      <c r="D34" s="2801"/>
      <c r="E34" s="2802"/>
      <c r="F34" s="2759"/>
      <c r="G34" s="2753"/>
      <c r="H34" s="2781"/>
      <c r="I34" s="2772"/>
      <c r="J34" s="3573" t="s">
        <v>2621</v>
      </c>
      <c r="K34" s="3574"/>
      <c r="L34" s="2684"/>
      <c r="M34" s="2684"/>
      <c r="N34" s="2684"/>
      <c r="O34" s="2684"/>
      <c r="P34" s="2684"/>
      <c r="Q34" s="2685"/>
      <c r="R34" s="2803">
        <f>SUM(L34:Q34)</f>
        <v>0</v>
      </c>
      <c r="S34" s="2745"/>
      <c r="T34" s="2664"/>
      <c r="U34" s="2664" t="e">
        <f>ROUND(R35*10000/365/R33,1)</f>
        <v>#DIV/0!</v>
      </c>
      <c r="V34" s="2672"/>
    </row>
    <row r="35" spans="1:23" s="2676" customFormat="1" ht="13.2"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2" customHeight="1" thickBot="1">
      <c r="A36" s="2754">
        <v>7</v>
      </c>
      <c r="B36" s="2809" t="s">
        <v>2720</v>
      </c>
      <c r="C36" s="2810"/>
      <c r="D36" s="2811"/>
      <c r="E36" s="2812"/>
      <c r="F36" s="2813">
        <f>C36+D36+E36</f>
        <v>0</v>
      </c>
      <c r="G36" s="2753"/>
      <c r="H36" s="2671"/>
      <c r="I36" s="2672"/>
      <c r="J36" s="3578">
        <v>1</v>
      </c>
      <c r="K36" s="3579" t="s">
        <v>2721</v>
      </c>
      <c r="L36" s="2697"/>
      <c r="M36" s="2698"/>
      <c r="N36" s="2698"/>
      <c r="O36" s="2698"/>
      <c r="P36" s="2698"/>
      <c r="Q36" s="2698"/>
      <c r="R36" s="2681" t="s">
        <v>2633</v>
      </c>
      <c r="S36" s="2745"/>
      <c r="T36" s="2664" t="s">
        <v>2634</v>
      </c>
      <c r="U36" s="2664"/>
      <c r="V36" s="2672"/>
    </row>
    <row r="37" spans="1:23" s="2676" customFormat="1" ht="13.2" customHeight="1">
      <c r="A37" s="2754"/>
      <c r="B37" s="2755"/>
      <c r="C37" s="2755"/>
      <c r="D37" s="2755"/>
      <c r="E37" s="2755"/>
      <c r="F37" s="2759"/>
      <c r="G37" s="2753"/>
      <c r="H37" s="2671"/>
      <c r="I37" s="2672"/>
      <c r="J37" s="3578"/>
      <c r="K37" s="3580"/>
      <c r="L37" s="2706"/>
      <c r="M37" s="2707"/>
      <c r="N37" s="2683"/>
      <c r="O37" s="2708"/>
      <c r="P37" s="2708"/>
      <c r="Q37" s="2709"/>
      <c r="R37" s="2710"/>
      <c r="S37" s="2745"/>
      <c r="T37" s="2664" t="s">
        <v>2637</v>
      </c>
      <c r="U37" s="2664"/>
      <c r="V37" s="2672"/>
    </row>
    <row r="38" spans="1:23" s="2676" customFormat="1" ht="13.2" customHeight="1">
      <c r="A38" s="2754">
        <v>8</v>
      </c>
      <c r="B38" s="2755"/>
      <c r="C38" s="2712" t="e">
        <f>ROUND(C32*(1-((1+C35)/(1+C34))^C36)/(C34-C35),0)</f>
        <v>#DIV/0!</v>
      </c>
      <c r="D38" s="2712">
        <f>IF(D23=0,0,ROUND(D32*(1-((1+D35)/(1+D34))^D36)/(D34-D35),0))</f>
        <v>0</v>
      </c>
      <c r="E38" s="2712">
        <f>IF(E23=0,0,ROUND(E32*(1-((1+E35)/(1+E34))^E36)/(E34-E35),0))</f>
        <v>0</v>
      </c>
      <c r="F38" s="2759"/>
      <c r="G38" s="2753"/>
      <c r="H38" s="2671"/>
      <c r="I38" s="2672"/>
      <c r="J38" s="3578"/>
      <c r="K38" s="3580"/>
      <c r="L38" s="2706"/>
      <c r="M38" s="2707"/>
      <c r="N38" s="2683"/>
      <c r="O38" s="2708"/>
      <c r="P38" s="2708"/>
      <c r="Q38" s="2709"/>
      <c r="R38" s="2710"/>
      <c r="S38" s="2745"/>
      <c r="T38" s="2664" t="s">
        <v>2644</v>
      </c>
      <c r="U38" s="2664"/>
      <c r="V38" s="2672"/>
    </row>
    <row r="39" spans="1:23" s="2676" customFormat="1" ht="13.2" customHeight="1">
      <c r="A39" s="2754">
        <v>9</v>
      </c>
      <c r="B39" s="2755" t="s">
        <v>2722</v>
      </c>
      <c r="C39" s="2720" t="e">
        <f>C38</f>
        <v>#DIV/0!</v>
      </c>
      <c r="D39" s="2755">
        <f>D38/(1+D34)^C36</f>
        <v>0</v>
      </c>
      <c r="E39" s="2755">
        <f>E38/(1+E34)^(C36+D36)</f>
        <v>0</v>
      </c>
      <c r="F39" s="2759"/>
      <c r="G39" s="2814"/>
      <c r="H39" s="2671"/>
      <c r="I39" s="2672"/>
      <c r="J39" s="3578"/>
      <c r="K39" s="3580"/>
      <c r="L39" s="2706"/>
      <c r="M39" s="2707"/>
      <c r="N39" s="2683"/>
      <c r="O39" s="2708"/>
      <c r="P39" s="2708"/>
      <c r="Q39" s="2709"/>
      <c r="R39" s="2710"/>
      <c r="S39" s="2745"/>
      <c r="T39" s="2664"/>
      <c r="U39" s="2664"/>
      <c r="V39" s="2672"/>
    </row>
    <row r="40" spans="1:23" s="2676" customFormat="1" ht="13.2" customHeight="1">
      <c r="A40" s="2815">
        <v>10</v>
      </c>
      <c r="B40" s="2755" t="s">
        <v>2723</v>
      </c>
      <c r="C40" s="2816" t="e">
        <f>C39+D39+E39</f>
        <v>#DIV/0!</v>
      </c>
      <c r="D40" s="2817"/>
      <c r="E40" s="2817"/>
      <c r="F40" s="2818"/>
      <c r="G40" s="2753"/>
      <c r="H40" s="2671"/>
      <c r="I40" s="2672"/>
      <c r="J40" s="3578"/>
      <c r="K40" s="3581"/>
      <c r="L40" s="2726" t="s">
        <v>2662</v>
      </c>
      <c r="M40" s="2727"/>
      <c r="N40" s="2727"/>
      <c r="O40" s="2728"/>
      <c r="P40" s="2728"/>
      <c r="Q40" s="2729"/>
      <c r="R40" s="2675">
        <f>SUM(R37:R39)</f>
        <v>0</v>
      </c>
      <c r="S40" s="2745"/>
      <c r="T40" s="2664"/>
      <c r="U40" s="2664"/>
      <c r="V40" s="2672"/>
    </row>
    <row r="41" spans="1:23" s="2676" customFormat="1" ht="13.2"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2" customHeight="1">
      <c r="G42" s="2823"/>
      <c r="H42" s="2671"/>
      <c r="I42" s="2672"/>
      <c r="J42" s="3588">
        <v>3</v>
      </c>
      <c r="K42" s="2774" t="s">
        <v>2704</v>
      </c>
      <c r="L42" s="2775"/>
      <c r="M42" s="2776"/>
      <c r="N42" s="2777" t="s">
        <v>2705</v>
      </c>
      <c r="O42" s="2777" t="s">
        <v>2706</v>
      </c>
      <c r="P42" s="2778" t="s">
        <v>2707</v>
      </c>
      <c r="Q42" s="2778" t="s">
        <v>2708</v>
      </c>
      <c r="R42" s="2681" t="s">
        <v>2633</v>
      </c>
      <c r="S42" s="2779"/>
      <c r="T42" s="2779"/>
      <c r="U42" s="2664"/>
      <c r="V42" s="2672"/>
    </row>
    <row r="43" spans="1:23" ht="13.2" customHeight="1">
      <c r="A43" s="2676"/>
      <c r="B43" s="2676"/>
      <c r="C43" s="2676"/>
      <c r="D43" s="2676"/>
      <c r="E43" s="2676"/>
      <c r="F43" s="2676"/>
      <c r="I43" s="2659"/>
      <c r="J43" s="3589"/>
      <c r="K43" s="2782"/>
      <c r="L43" s="2783"/>
      <c r="M43" s="2784"/>
      <c r="N43" s="2707"/>
      <c r="O43" s="2707"/>
      <c r="P43" s="2707"/>
      <c r="Q43" s="2771"/>
      <c r="R43" s="2742">
        <f>ROUND(O43*N43*P43*(1-Q43)/10000,0)</f>
        <v>0</v>
      </c>
      <c r="S43" s="2745"/>
      <c r="T43" s="2664"/>
      <c r="V43" s="2825"/>
      <c r="W43" s="2826"/>
    </row>
    <row r="44" spans="1:23" ht="13.2"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470" customWidth="1"/>
    <col min="2" max="2" width="12" style="1470" customWidth="1"/>
    <col min="3" max="3" width="9" style="1470"/>
    <col min="4" max="4" width="14.109375" style="1470" customWidth="1"/>
    <col min="5" max="5" width="9" style="1470"/>
    <col min="6" max="6" width="12.88671875" style="1470" customWidth="1"/>
    <col min="7" max="16384" width="9" style="1470"/>
  </cols>
  <sheetData>
    <row r="1" spans="1:22" ht="21.6">
      <c r="A1" s="1861" t="s">
        <v>1911</v>
      </c>
      <c r="B1" s="1862"/>
      <c r="C1" s="1862"/>
      <c r="D1" s="1862"/>
      <c r="E1" s="1863"/>
      <c r="F1" s="2534"/>
      <c r="G1" s="1482"/>
      <c r="H1" s="1482"/>
      <c r="I1" s="1482"/>
      <c r="J1" s="1482"/>
      <c r="K1" s="1482"/>
      <c r="L1" s="1482"/>
      <c r="M1" s="1482"/>
      <c r="N1" s="1482"/>
      <c r="O1" s="1482"/>
      <c r="P1" s="1482"/>
      <c r="Q1" s="1482"/>
      <c r="R1" s="1482"/>
      <c r="S1" s="1482"/>
    </row>
    <row r="2" spans="1:22" ht="15.6">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6">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6">
      <c r="A4" s="2539"/>
      <c r="B4" s="2536"/>
      <c r="C4" s="2536"/>
      <c r="D4" s="2536"/>
      <c r="E4" s="2538"/>
      <c r="F4" s="2534"/>
      <c r="G4" s="1482"/>
      <c r="H4" s="1482"/>
      <c r="I4" s="1482"/>
      <c r="J4" s="1482"/>
      <c r="K4" s="1482"/>
      <c r="L4" s="1482"/>
      <c r="M4" s="1482"/>
      <c r="N4" s="1482"/>
      <c r="O4" s="1482"/>
      <c r="P4" s="1482"/>
      <c r="Q4" s="1482"/>
      <c r="R4" s="1482"/>
      <c r="S4" s="1482"/>
    </row>
    <row r="5" spans="1:22" ht="14.4">
      <c r="A5" s="2429" t="s">
        <v>1906</v>
      </c>
      <c r="B5" s="3590" t="s">
        <v>1907</v>
      </c>
      <c r="C5" s="3591"/>
      <c r="D5" s="2535"/>
      <c r="E5" s="1868" t="s">
        <v>1908</v>
      </c>
      <c r="F5" s="1869" t="s">
        <v>1909</v>
      </c>
      <c r="G5" s="1482"/>
      <c r="H5" s="1482"/>
      <c r="I5" s="1482"/>
      <c r="J5" s="1482"/>
      <c r="K5" s="1482"/>
      <c r="L5" s="1482"/>
      <c r="M5" s="1482"/>
      <c r="N5" s="1482"/>
      <c r="O5" s="1482"/>
      <c r="P5" s="1482"/>
      <c r="Q5" s="1482"/>
      <c r="R5" s="1482"/>
      <c r="S5" s="1482"/>
    </row>
    <row r="6" spans="1:22" ht="14.4">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ht="14.4">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ht="14.4">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ht="14.4">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ht="14.4">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ht="14.4">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ht="14.4">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59" customWidth="1"/>
    <col min="2" max="2" width="15.77734375" style="359" customWidth="1"/>
    <col min="3" max="3" width="15.10937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1910"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4.4">
      <c r="A4" s="357" t="s">
        <v>1920</v>
      </c>
      <c r="B4" s="358"/>
      <c r="C4" s="3610" t="s">
        <v>1921</v>
      </c>
      <c r="D4" s="3611"/>
      <c r="E4" s="3612" t="s">
        <v>1922</v>
      </c>
      <c r="F4" s="3613"/>
      <c r="G4" s="3610" t="s">
        <v>1923</v>
      </c>
      <c r="H4" s="3611"/>
      <c r="I4" s="3610" t="s">
        <v>1924</v>
      </c>
      <c r="J4" s="3611"/>
      <c r="K4" s="1883" t="s">
        <v>1925</v>
      </c>
      <c r="L4" s="2542"/>
      <c r="M4" s="2543"/>
      <c r="N4" s="2543"/>
      <c r="O4" s="2543"/>
      <c r="P4" s="3614" t="s">
        <v>1926</v>
      </c>
      <c r="Q4" s="3615"/>
      <c r="R4" s="3597" t="s">
        <v>1922</v>
      </c>
      <c r="S4" s="3598"/>
      <c r="T4" s="3597" t="s">
        <v>1923</v>
      </c>
      <c r="U4" s="3598"/>
      <c r="V4" s="3622" t="s">
        <v>1924</v>
      </c>
      <c r="W4" s="3622"/>
      <c r="X4" s="1348"/>
      <c r="Y4" s="3597" t="s">
        <v>1926</v>
      </c>
      <c r="Z4" s="3598"/>
      <c r="AA4" s="3592" t="s">
        <v>1922</v>
      </c>
      <c r="AB4" s="3592" t="s">
        <v>1923</v>
      </c>
      <c r="AC4" s="3592" t="s">
        <v>1924</v>
      </c>
    </row>
    <row r="5" spans="1:29">
      <c r="A5" s="360"/>
      <c r="B5" s="361"/>
      <c r="C5" s="3603" t="s">
        <v>1927</v>
      </c>
      <c r="D5" s="3604"/>
      <c r="E5" s="3601" t="s">
        <v>1928</v>
      </c>
      <c r="F5" s="3602"/>
      <c r="G5" s="3603" t="s">
        <v>1929</v>
      </c>
      <c r="H5" s="3604"/>
      <c r="I5" s="3603" t="s">
        <v>1930</v>
      </c>
      <c r="J5" s="3604"/>
      <c r="K5" s="1884"/>
      <c r="L5" s="2542"/>
      <c r="M5" s="2543"/>
      <c r="N5" s="2543"/>
      <c r="O5" s="2543"/>
      <c r="P5" s="3616"/>
      <c r="Q5" s="3617"/>
      <c r="R5" s="3599"/>
      <c r="S5" s="3600"/>
      <c r="T5" s="3599"/>
      <c r="U5" s="3600"/>
      <c r="V5" s="3622"/>
      <c r="W5" s="3622"/>
      <c r="X5" s="1348"/>
      <c r="Y5" s="3599"/>
      <c r="Z5" s="3600"/>
      <c r="AA5" s="3593"/>
      <c r="AB5" s="3593"/>
      <c r="AC5" s="3593"/>
    </row>
    <row r="6" spans="1:29" ht="15" thickBot="1">
      <c r="A6" s="362"/>
      <c r="B6" s="363"/>
      <c r="C6" s="3605" t="s">
        <v>1931</v>
      </c>
      <c r="D6" s="3606"/>
      <c r="E6" s="3607" t="s">
        <v>1931</v>
      </c>
      <c r="F6" s="3608"/>
      <c r="G6" s="3605" t="s">
        <v>1931</v>
      </c>
      <c r="H6" s="3606"/>
      <c r="I6" s="3605" t="s">
        <v>1931</v>
      </c>
      <c r="J6" s="3606"/>
      <c r="K6" s="1884" t="s">
        <v>1932</v>
      </c>
      <c r="L6" s="2542"/>
      <c r="M6" s="2543"/>
      <c r="N6" s="2543"/>
      <c r="O6" s="2543"/>
      <c r="P6" s="3618"/>
      <c r="Q6" s="3619"/>
      <c r="R6" s="3599"/>
      <c r="S6" s="3600"/>
      <c r="T6" s="3620"/>
      <c r="U6" s="3621"/>
      <c r="V6" s="3622"/>
      <c r="W6" s="3622"/>
      <c r="X6" s="1348"/>
      <c r="Y6" s="3620"/>
      <c r="Z6" s="3621"/>
      <c r="AA6" s="3594"/>
      <c r="AB6" s="3594"/>
      <c r="AC6" s="3594"/>
    </row>
    <row r="7" spans="1:29" s="112" customFormat="1" ht="15" thickBot="1">
      <c r="A7" s="364" t="s">
        <v>1933</v>
      </c>
      <c r="B7" s="365"/>
      <c r="C7" s="366">
        <f>'数据-取费表'!B2</f>
        <v>44680</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595" t="s">
        <v>1934</v>
      </c>
      <c r="Q7" s="3623"/>
      <c r="R7" s="705" t="s">
        <v>23</v>
      </c>
      <c r="S7" s="706">
        <f t="shared" ref="S7:S15" si="0">F7</f>
        <v>0</v>
      </c>
      <c r="T7" s="705" t="s">
        <v>23</v>
      </c>
      <c r="U7" s="706">
        <f t="shared" ref="U7:U15" si="1">H7</f>
        <v>0</v>
      </c>
      <c r="V7" s="705" t="s">
        <v>23</v>
      </c>
      <c r="W7" s="706">
        <f t="shared" ref="W7:W15" si="2">J7</f>
        <v>0</v>
      </c>
      <c r="X7" s="707"/>
      <c r="Y7" s="3595" t="s">
        <v>1934</v>
      </c>
      <c r="Z7" s="3596"/>
      <c r="AA7" s="708" t="e">
        <f>D7/F7</f>
        <v>#DIV/0!</v>
      </c>
      <c r="AB7" s="708" t="e">
        <f>D7/H7</f>
        <v>#DIV/0!</v>
      </c>
      <c r="AC7" s="708" t="e">
        <f>D7/J7</f>
        <v>#DIV/0!</v>
      </c>
    </row>
    <row r="8" spans="1:29" s="112" customFormat="1" ht="1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595" t="s">
        <v>1937</v>
      </c>
      <c r="Q8" s="3596"/>
      <c r="R8" s="705" t="s">
        <v>23</v>
      </c>
      <c r="S8" s="706">
        <f t="shared" si="0"/>
        <v>0</v>
      </c>
      <c r="T8" s="705" t="s">
        <v>23</v>
      </c>
      <c r="U8" s="706">
        <f t="shared" si="1"/>
        <v>0</v>
      </c>
      <c r="V8" s="705" t="s">
        <v>23</v>
      </c>
      <c r="W8" s="706">
        <f t="shared" si="2"/>
        <v>0</v>
      </c>
      <c r="X8" s="707"/>
      <c r="Y8" s="3595" t="s">
        <v>1937</v>
      </c>
      <c r="Z8" s="3596"/>
      <c r="AA8" s="708" t="e">
        <f t="shared" ref="AA8:AA19" si="3">D8/F8</f>
        <v>#DIV/0!</v>
      </c>
      <c r="AB8" s="708" t="e">
        <f t="shared" ref="AB8:AB19" si="4">D8/H8</f>
        <v>#DIV/0!</v>
      </c>
      <c r="AC8" s="708" t="e">
        <f t="shared" ref="AC8:AC19" si="5">D8/J8</f>
        <v>#DIV/0!</v>
      </c>
    </row>
    <row r="9" spans="1:29" s="112" customFormat="1" ht="14.4">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9"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9"/>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9"/>
      <c r="Q11" s="1338" t="str">
        <f t="shared" si="6"/>
        <v>容积率</v>
      </c>
      <c r="R11" s="705" t="s">
        <v>21</v>
      </c>
      <c r="S11" s="706" t="e">
        <f t="shared" si="0"/>
        <v>#N/A</v>
      </c>
      <c r="T11" s="705" t="s">
        <v>21</v>
      </c>
      <c r="U11" s="706" t="e">
        <f t="shared" si="1"/>
        <v>#N/A</v>
      </c>
      <c r="V11" s="705" t="s">
        <v>21</v>
      </c>
      <c r="W11" s="706" t="e">
        <f t="shared" si="2"/>
        <v>#N/A</v>
      </c>
      <c r="X11" s="707"/>
      <c r="Y11" s="3539"/>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9"/>
      <c r="Q12" s="1338">
        <f t="shared" si="6"/>
        <v>111</v>
      </c>
      <c r="R12" s="705" t="s">
        <v>21</v>
      </c>
      <c r="S12" s="706">
        <f t="shared" si="0"/>
        <v>100</v>
      </c>
      <c r="T12" s="705" t="s">
        <v>21</v>
      </c>
      <c r="U12" s="706">
        <f t="shared" si="1"/>
        <v>100</v>
      </c>
      <c r="V12" s="705" t="s">
        <v>21</v>
      </c>
      <c r="W12" s="706">
        <f t="shared" si="2"/>
        <v>100</v>
      </c>
      <c r="X12" s="707"/>
      <c r="Y12" s="3539"/>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9"/>
      <c r="Q13" s="1338">
        <f t="shared" si="6"/>
        <v>111</v>
      </c>
      <c r="R13" s="705" t="s">
        <v>21</v>
      </c>
      <c r="S13" s="706">
        <f t="shared" si="0"/>
        <v>100</v>
      </c>
      <c r="T13" s="705" t="s">
        <v>21</v>
      </c>
      <c r="U13" s="706">
        <f t="shared" si="1"/>
        <v>100</v>
      </c>
      <c r="V13" s="705" t="s">
        <v>21</v>
      </c>
      <c r="W13" s="706">
        <f t="shared" si="2"/>
        <v>100</v>
      </c>
      <c r="X13" s="707"/>
      <c r="Y13" s="3539"/>
      <c r="Z13" s="54">
        <f t="shared" si="7"/>
        <v>111</v>
      </c>
      <c r="AA13" s="708">
        <f t="shared" si="3"/>
        <v>1</v>
      </c>
      <c r="AB13" s="708">
        <f t="shared" si="4"/>
        <v>1</v>
      </c>
      <c r="AC13" s="708">
        <f t="shared" si="5"/>
        <v>1</v>
      </c>
    </row>
    <row r="14" spans="1:29" ht="15.6"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9"/>
      <c r="Q14" s="1338">
        <f t="shared" si="6"/>
        <v>111</v>
      </c>
      <c r="R14" s="705" t="s">
        <v>21</v>
      </c>
      <c r="S14" s="706">
        <f t="shared" si="0"/>
        <v>100</v>
      </c>
      <c r="T14" s="705" t="s">
        <v>21</v>
      </c>
      <c r="U14" s="706">
        <f t="shared" si="1"/>
        <v>100</v>
      </c>
      <c r="V14" s="705" t="s">
        <v>21</v>
      </c>
      <c r="W14" s="706">
        <f t="shared" si="2"/>
        <v>100</v>
      </c>
      <c r="X14" s="707"/>
      <c r="Y14" s="3539"/>
      <c r="Z14" s="54">
        <f t="shared" si="7"/>
        <v>111</v>
      </c>
      <c r="AA14" s="708">
        <f t="shared" si="3"/>
        <v>1</v>
      </c>
      <c r="AB14" s="708">
        <f t="shared" si="4"/>
        <v>1</v>
      </c>
      <c r="AC14" s="708">
        <f t="shared" si="5"/>
        <v>1</v>
      </c>
    </row>
    <row r="15" spans="1:29" ht="96.6">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36" t="s">
        <v>1945</v>
      </c>
      <c r="Q15" s="1345" t="str">
        <f t="shared" si="6"/>
        <v>居住社区成熟度</v>
      </c>
      <c r="R15" s="709" t="s">
        <v>21</v>
      </c>
      <c r="S15" s="710">
        <f t="shared" si="0"/>
        <v>100</v>
      </c>
      <c r="T15" s="709" t="s">
        <v>21</v>
      </c>
      <c r="U15" s="710">
        <f t="shared" si="1"/>
        <v>100</v>
      </c>
      <c r="V15" s="709" t="s">
        <v>21</v>
      </c>
      <c r="W15" s="710">
        <f t="shared" si="2"/>
        <v>100</v>
      </c>
      <c r="X15" s="1348"/>
      <c r="Y15" s="3629"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37"/>
      <c r="Q16" s="1345"/>
      <c r="R16" s="709"/>
      <c r="S16" s="710"/>
      <c r="T16" s="709"/>
      <c r="U16" s="710"/>
      <c r="V16" s="709"/>
      <c r="W16" s="710"/>
      <c r="X16" s="1348"/>
      <c r="Y16" s="3630"/>
      <c r="Z16" s="1349"/>
      <c r="AA16" s="1346">
        <v>1</v>
      </c>
      <c r="AB16" s="1346">
        <v>1</v>
      </c>
      <c r="AC16" s="1346">
        <v>1</v>
      </c>
    </row>
    <row r="17" spans="1:29" ht="82.8">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37"/>
      <c r="Q17" s="1345" t="str">
        <f>B17</f>
        <v>交通便捷度</v>
      </c>
      <c r="R17" s="709" t="s">
        <v>21</v>
      </c>
      <c r="S17" s="710">
        <f>F17</f>
        <v>100</v>
      </c>
      <c r="T17" s="709" t="s">
        <v>21</v>
      </c>
      <c r="U17" s="710">
        <f>H17</f>
        <v>100</v>
      </c>
      <c r="V17" s="709" t="s">
        <v>21</v>
      </c>
      <c r="W17" s="710">
        <f>J17</f>
        <v>100</v>
      </c>
      <c r="X17" s="1348"/>
      <c r="Y17" s="3630"/>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37"/>
      <c r="Q18" s="1345"/>
      <c r="R18" s="709"/>
      <c r="S18" s="710"/>
      <c r="T18" s="709"/>
      <c r="U18" s="710"/>
      <c r="V18" s="709"/>
      <c r="W18" s="710"/>
      <c r="X18" s="1348"/>
      <c r="Y18" s="3630"/>
      <c r="Z18" s="1349"/>
      <c r="AA18" s="1346">
        <v>1</v>
      </c>
      <c r="AB18" s="1346">
        <v>1</v>
      </c>
      <c r="AC18" s="1346">
        <v>1</v>
      </c>
    </row>
    <row r="19" spans="1:29" ht="41.4">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37"/>
      <c r="Q19" s="1345" t="str">
        <f>B19</f>
        <v>公共配套设施</v>
      </c>
      <c r="R19" s="709" t="s">
        <v>21</v>
      </c>
      <c r="S19" s="710">
        <f>F19</f>
        <v>100</v>
      </c>
      <c r="T19" s="709" t="s">
        <v>21</v>
      </c>
      <c r="U19" s="710">
        <f>H19</f>
        <v>100</v>
      </c>
      <c r="V19" s="709" t="s">
        <v>21</v>
      </c>
      <c r="W19" s="710">
        <f>J19</f>
        <v>100</v>
      </c>
      <c r="X19" s="1348"/>
      <c r="Y19" s="3630"/>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37"/>
      <c r="Q20" s="1345"/>
      <c r="R20" s="709"/>
      <c r="S20" s="710"/>
      <c r="T20" s="709"/>
      <c r="U20" s="710"/>
      <c r="V20" s="709"/>
      <c r="W20" s="710"/>
      <c r="X20" s="1348"/>
      <c r="Y20" s="3630"/>
      <c r="Z20" s="1349"/>
      <c r="AA20" s="1346">
        <v>1</v>
      </c>
      <c r="AB20" s="1346">
        <v>1</v>
      </c>
      <c r="AC20" s="1346">
        <v>1</v>
      </c>
    </row>
    <row r="21" spans="1:29" ht="27.6">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37"/>
      <c r="Q21" s="1345" t="str">
        <f>B21</f>
        <v>基础设施水平</v>
      </c>
      <c r="R21" s="709" t="s">
        <v>17</v>
      </c>
      <c r="S21" s="710">
        <f>F21</f>
        <v>100</v>
      </c>
      <c r="T21" s="709" t="s">
        <v>17</v>
      </c>
      <c r="U21" s="710">
        <f>H21</f>
        <v>100</v>
      </c>
      <c r="V21" s="709" t="s">
        <v>17</v>
      </c>
      <c r="W21" s="710">
        <f>J21</f>
        <v>100</v>
      </c>
      <c r="X21" s="1348"/>
      <c r="Y21" s="363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37"/>
      <c r="Q22" s="1345"/>
      <c r="R22" s="709"/>
      <c r="S22" s="710"/>
      <c r="T22" s="709"/>
      <c r="U22" s="710"/>
      <c r="V22" s="709"/>
      <c r="W22" s="710"/>
      <c r="X22" s="1348"/>
      <c r="Y22" s="3630"/>
      <c r="Z22" s="1349"/>
      <c r="AA22" s="1346">
        <v>1</v>
      </c>
      <c r="AB22" s="1346">
        <v>1</v>
      </c>
      <c r="AC22" s="1346">
        <v>1</v>
      </c>
    </row>
    <row r="23" spans="1:29" ht="55.2">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37"/>
      <c r="Q23" s="1345" t="str">
        <f>B23</f>
        <v>自然及人文环境</v>
      </c>
      <c r="R23" s="709" t="s">
        <v>21</v>
      </c>
      <c r="S23" s="710">
        <f>F23</f>
        <v>100</v>
      </c>
      <c r="T23" s="709" t="s">
        <v>21</v>
      </c>
      <c r="U23" s="710">
        <f>H23</f>
        <v>100</v>
      </c>
      <c r="V23" s="709" t="s">
        <v>21</v>
      </c>
      <c r="W23" s="710">
        <f>J23</f>
        <v>100</v>
      </c>
      <c r="X23" s="1348"/>
      <c r="Y23" s="3630"/>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37"/>
      <c r="Q24" s="1345"/>
      <c r="R24" s="709"/>
      <c r="S24" s="710"/>
      <c r="T24" s="709"/>
      <c r="U24" s="710"/>
      <c r="V24" s="709"/>
      <c r="W24" s="710"/>
      <c r="X24" s="1348"/>
      <c r="Y24" s="3630"/>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37"/>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30"/>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37"/>
      <c r="Q26" s="1345" t="str">
        <f t="shared" si="11"/>
        <v>朝向</v>
      </c>
      <c r="R26" s="709" t="s">
        <v>21</v>
      </c>
      <c r="S26" s="710">
        <f t="shared" si="12"/>
        <v>100</v>
      </c>
      <c r="T26" s="709" t="s">
        <v>21</v>
      </c>
      <c r="U26" s="710">
        <f t="shared" si="13"/>
        <v>100</v>
      </c>
      <c r="V26" s="709" t="s">
        <v>21</v>
      </c>
      <c r="W26" s="710">
        <f t="shared" si="14"/>
        <v>100</v>
      </c>
      <c r="X26" s="1348"/>
      <c r="Y26" s="3630"/>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37"/>
      <c r="Q27" s="1338">
        <f t="shared" si="11"/>
        <v>111</v>
      </c>
      <c r="R27" s="705" t="s">
        <v>21</v>
      </c>
      <c r="S27" s="706">
        <f t="shared" si="12"/>
        <v>100</v>
      </c>
      <c r="T27" s="705" t="s">
        <v>21</v>
      </c>
      <c r="U27" s="706">
        <f t="shared" si="13"/>
        <v>100</v>
      </c>
      <c r="V27" s="705" t="s">
        <v>21</v>
      </c>
      <c r="W27" s="706">
        <f t="shared" si="14"/>
        <v>100</v>
      </c>
      <c r="X27" s="707"/>
      <c r="Y27" s="3630"/>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37"/>
      <c r="Q28" s="1345">
        <f t="shared" si="11"/>
        <v>111</v>
      </c>
      <c r="R28" s="709" t="s">
        <v>21</v>
      </c>
      <c r="S28" s="710">
        <f t="shared" si="12"/>
        <v>100</v>
      </c>
      <c r="T28" s="709" t="s">
        <v>21</v>
      </c>
      <c r="U28" s="710">
        <f t="shared" si="13"/>
        <v>100</v>
      </c>
      <c r="V28" s="709" t="s">
        <v>21</v>
      </c>
      <c r="W28" s="710">
        <f t="shared" si="14"/>
        <v>100</v>
      </c>
      <c r="X28" s="1348"/>
      <c r="Y28" s="3630"/>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37"/>
      <c r="Q29" s="1345">
        <f t="shared" si="11"/>
        <v>111</v>
      </c>
      <c r="R29" s="709" t="s">
        <v>21</v>
      </c>
      <c r="S29" s="710">
        <f t="shared" si="12"/>
        <v>100</v>
      </c>
      <c r="T29" s="709" t="s">
        <v>21</v>
      </c>
      <c r="U29" s="710">
        <f t="shared" si="13"/>
        <v>100</v>
      </c>
      <c r="V29" s="709" t="s">
        <v>21</v>
      </c>
      <c r="W29" s="710">
        <f t="shared" si="14"/>
        <v>100</v>
      </c>
      <c r="X29" s="1348"/>
      <c r="Y29" s="3630"/>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37"/>
      <c r="Q30" s="1345">
        <f t="shared" si="11"/>
        <v>111</v>
      </c>
      <c r="R30" s="709" t="s">
        <v>21</v>
      </c>
      <c r="S30" s="710">
        <f t="shared" si="12"/>
        <v>100</v>
      </c>
      <c r="T30" s="709" t="s">
        <v>21</v>
      </c>
      <c r="U30" s="710">
        <f t="shared" si="13"/>
        <v>100</v>
      </c>
      <c r="V30" s="709" t="s">
        <v>21</v>
      </c>
      <c r="W30" s="710">
        <f t="shared" si="14"/>
        <v>100</v>
      </c>
      <c r="X30" s="1348"/>
      <c r="Y30" s="3630"/>
      <c r="Z30" s="1349">
        <f t="shared" si="18"/>
        <v>111</v>
      </c>
      <c r="AA30" s="1346">
        <f t="shared" si="15"/>
        <v>1</v>
      </c>
      <c r="AB30" s="1346">
        <f t="shared" si="16"/>
        <v>1</v>
      </c>
      <c r="AC30" s="1346">
        <f t="shared" si="17"/>
        <v>1</v>
      </c>
    </row>
    <row r="31" spans="1:29" ht="15.6"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37"/>
      <c r="Q31" s="1345">
        <f t="shared" si="11"/>
        <v>111</v>
      </c>
      <c r="R31" s="709" t="s">
        <v>21</v>
      </c>
      <c r="S31" s="710">
        <f t="shared" si="12"/>
        <v>100</v>
      </c>
      <c r="T31" s="709" t="s">
        <v>21</v>
      </c>
      <c r="U31" s="710">
        <f t="shared" si="13"/>
        <v>100</v>
      </c>
      <c r="V31" s="709" t="s">
        <v>21</v>
      </c>
      <c r="W31" s="710">
        <f t="shared" si="14"/>
        <v>100</v>
      </c>
      <c r="X31" s="1348"/>
      <c r="Y31" s="3630"/>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631" t="s">
        <v>1950</v>
      </c>
      <c r="Q32" s="1345" t="str">
        <f t="shared" si="11"/>
        <v>建筑类型</v>
      </c>
      <c r="R32" s="709" t="s">
        <v>21</v>
      </c>
      <c r="S32" s="710">
        <f t="shared" si="12"/>
        <v>100</v>
      </c>
      <c r="T32" s="709" t="s">
        <v>21</v>
      </c>
      <c r="U32" s="710">
        <f t="shared" si="13"/>
        <v>100</v>
      </c>
      <c r="V32" s="709" t="s">
        <v>21</v>
      </c>
      <c r="W32" s="710">
        <f t="shared" si="14"/>
        <v>100</v>
      </c>
      <c r="X32" s="1348"/>
      <c r="Y32" s="3634"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632"/>
      <c r="Q33" s="711" t="str">
        <f t="shared" si="11"/>
        <v>项目建筑规模</v>
      </c>
      <c r="R33" s="712" t="s">
        <v>21</v>
      </c>
      <c r="S33" s="713" t="e">
        <f t="shared" si="12"/>
        <v>#N/A</v>
      </c>
      <c r="T33" s="712" t="s">
        <v>21</v>
      </c>
      <c r="U33" s="713" t="e">
        <f t="shared" si="13"/>
        <v>#N/A</v>
      </c>
      <c r="V33" s="712" t="s">
        <v>21</v>
      </c>
      <c r="W33" s="713" t="e">
        <f t="shared" si="14"/>
        <v>#N/A</v>
      </c>
      <c r="X33" s="714"/>
      <c r="Y33" s="3634"/>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632"/>
      <c r="Q34" s="1345" t="str">
        <f t="shared" si="11"/>
        <v>建筑结构</v>
      </c>
      <c r="R34" s="709" t="s">
        <v>21</v>
      </c>
      <c r="S34" s="710">
        <f t="shared" si="12"/>
        <v>100</v>
      </c>
      <c r="T34" s="709" t="s">
        <v>21</v>
      </c>
      <c r="U34" s="710">
        <f t="shared" si="13"/>
        <v>100</v>
      </c>
      <c r="V34" s="709" t="s">
        <v>21</v>
      </c>
      <c r="W34" s="710">
        <f t="shared" si="14"/>
        <v>100</v>
      </c>
      <c r="X34" s="1348"/>
      <c r="Y34" s="3634"/>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632"/>
      <c r="Q35" s="1345" t="str">
        <f t="shared" si="11"/>
        <v>建筑品质</v>
      </c>
      <c r="R35" s="709" t="s">
        <v>21</v>
      </c>
      <c r="S35" s="710">
        <f t="shared" si="12"/>
        <v>100</v>
      </c>
      <c r="T35" s="709" t="s">
        <v>21</v>
      </c>
      <c r="U35" s="710">
        <f t="shared" si="13"/>
        <v>100</v>
      </c>
      <c r="V35" s="709" t="s">
        <v>21</v>
      </c>
      <c r="W35" s="710">
        <f t="shared" si="14"/>
        <v>100</v>
      </c>
      <c r="X35" s="1348"/>
      <c r="Y35" s="3634"/>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632"/>
      <c r="Q36" s="1345" t="str">
        <f t="shared" si="11"/>
        <v>公共部分装修</v>
      </c>
      <c r="R36" s="709" t="s">
        <v>21</v>
      </c>
      <c r="S36" s="710">
        <f t="shared" si="12"/>
        <v>100</v>
      </c>
      <c r="T36" s="709" t="s">
        <v>21</v>
      </c>
      <c r="U36" s="710">
        <f t="shared" si="13"/>
        <v>100</v>
      </c>
      <c r="V36" s="709" t="s">
        <v>21</v>
      </c>
      <c r="W36" s="710">
        <f t="shared" si="14"/>
        <v>100</v>
      </c>
      <c r="X36" s="1348"/>
      <c r="Y36" s="3634"/>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632"/>
      <c r="Q37" s="1338" t="str">
        <f t="shared" si="11"/>
        <v>成新度</v>
      </c>
      <c r="R37" s="705" t="s">
        <v>21</v>
      </c>
      <c r="S37" s="706" t="e">
        <f t="shared" si="12"/>
        <v>#N/A</v>
      </c>
      <c r="T37" s="705" t="s">
        <v>21</v>
      </c>
      <c r="U37" s="706" t="e">
        <f t="shared" si="13"/>
        <v>#N/A</v>
      </c>
      <c r="V37" s="705" t="s">
        <v>21</v>
      </c>
      <c r="W37" s="706" t="e">
        <f t="shared" si="14"/>
        <v>#N/A</v>
      </c>
      <c r="X37" s="707"/>
      <c r="Y37" s="3634"/>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632" t="s">
        <v>1950</v>
      </c>
      <c r="Q38" s="1345" t="str">
        <f t="shared" si="11"/>
        <v>物业管理</v>
      </c>
      <c r="R38" s="709" t="s">
        <v>21</v>
      </c>
      <c r="S38" s="710">
        <f t="shared" si="12"/>
        <v>100</v>
      </c>
      <c r="T38" s="709" t="s">
        <v>21</v>
      </c>
      <c r="U38" s="710">
        <f t="shared" si="13"/>
        <v>100</v>
      </c>
      <c r="V38" s="709" t="s">
        <v>21</v>
      </c>
      <c r="W38" s="710">
        <f t="shared" si="14"/>
        <v>100</v>
      </c>
      <c r="X38" s="1348"/>
      <c r="Y38" s="3634"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632"/>
      <c r="Q39" s="1345" t="str">
        <f t="shared" si="11"/>
        <v>市政基础设施</v>
      </c>
      <c r="R39" s="709" t="s">
        <v>21</v>
      </c>
      <c r="S39" s="710">
        <f t="shared" si="12"/>
        <v>100</v>
      </c>
      <c r="T39" s="709" t="s">
        <v>21</v>
      </c>
      <c r="U39" s="710">
        <f t="shared" si="13"/>
        <v>100</v>
      </c>
      <c r="V39" s="709" t="s">
        <v>21</v>
      </c>
      <c r="W39" s="710">
        <f t="shared" si="14"/>
        <v>100</v>
      </c>
      <c r="X39" s="1348"/>
      <c r="Y39" s="3634"/>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632"/>
      <c r="Q40" s="1345" t="str">
        <f t="shared" si="11"/>
        <v>房型</v>
      </c>
      <c r="R40" s="709" t="s">
        <v>21</v>
      </c>
      <c r="S40" s="710">
        <f t="shared" si="12"/>
        <v>100</v>
      </c>
      <c r="T40" s="709" t="s">
        <v>21</v>
      </c>
      <c r="U40" s="710">
        <f t="shared" si="13"/>
        <v>100</v>
      </c>
      <c r="V40" s="709" t="s">
        <v>21</v>
      </c>
      <c r="W40" s="710">
        <f t="shared" si="14"/>
        <v>100</v>
      </c>
      <c r="X40" s="1348"/>
      <c r="Y40" s="3634"/>
      <c r="Z40" s="1349" t="str">
        <f t="shared" si="18"/>
        <v>房型</v>
      </c>
      <c r="AA40" s="1346">
        <f t="shared" si="15"/>
        <v>1</v>
      </c>
      <c r="AB40" s="1346">
        <f t="shared" si="16"/>
        <v>1</v>
      </c>
      <c r="AC40" s="1346">
        <f t="shared" si="17"/>
        <v>1</v>
      </c>
    </row>
    <row r="41" spans="1:29" s="426" customFormat="1" ht="28.8">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632"/>
      <c r="Q41" s="711" t="str">
        <f t="shared" si="11"/>
        <v>单套/主力户型建筑面积</v>
      </c>
      <c r="R41" s="712" t="s">
        <v>21</v>
      </c>
      <c r="S41" s="713">
        <f t="shared" si="12"/>
        <v>100</v>
      </c>
      <c r="T41" s="712" t="s">
        <v>21</v>
      </c>
      <c r="U41" s="713">
        <f t="shared" si="13"/>
        <v>100</v>
      </c>
      <c r="V41" s="712" t="s">
        <v>21</v>
      </c>
      <c r="W41" s="713">
        <f t="shared" si="14"/>
        <v>100</v>
      </c>
      <c r="X41" s="714"/>
      <c r="Y41" s="3634"/>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632"/>
      <c r="Q42" s="1345" t="str">
        <f t="shared" si="11"/>
        <v>内部装修</v>
      </c>
      <c r="R42" s="709" t="s">
        <v>21</v>
      </c>
      <c r="S42" s="710">
        <f t="shared" si="12"/>
        <v>100</v>
      </c>
      <c r="T42" s="709" t="s">
        <v>21</v>
      </c>
      <c r="U42" s="710">
        <f t="shared" si="13"/>
        <v>100</v>
      </c>
      <c r="V42" s="709" t="s">
        <v>21</v>
      </c>
      <c r="W42" s="710">
        <f t="shared" si="14"/>
        <v>100</v>
      </c>
      <c r="X42" s="1348"/>
      <c r="Y42" s="3634"/>
      <c r="Z42" s="1349" t="str">
        <f t="shared" si="18"/>
        <v>内部装修</v>
      </c>
      <c r="AA42" s="1346">
        <f t="shared" si="15"/>
        <v>1</v>
      </c>
      <c r="AB42" s="1346">
        <f t="shared" si="16"/>
        <v>1</v>
      </c>
      <c r="AC42" s="1346">
        <f t="shared" si="17"/>
        <v>1</v>
      </c>
    </row>
    <row r="43" spans="1:29" ht="28.8">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632"/>
      <c r="Q43" s="1345" t="str">
        <f t="shared" si="11"/>
        <v>内部装修维护情况</v>
      </c>
      <c r="R43" s="709" t="s">
        <v>21</v>
      </c>
      <c r="S43" s="710">
        <f t="shared" si="12"/>
        <v>100</v>
      </c>
      <c r="T43" s="709" t="s">
        <v>21</v>
      </c>
      <c r="U43" s="710">
        <f t="shared" si="13"/>
        <v>100</v>
      </c>
      <c r="V43" s="709" t="s">
        <v>21</v>
      </c>
      <c r="W43" s="710">
        <f t="shared" si="14"/>
        <v>100</v>
      </c>
      <c r="X43" s="1348"/>
      <c r="Y43" s="3634"/>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632"/>
      <c r="Q44" s="1338">
        <f t="shared" si="11"/>
        <v>111</v>
      </c>
      <c r="R44" s="705" t="s">
        <v>21</v>
      </c>
      <c r="S44" s="706">
        <f t="shared" si="12"/>
        <v>100</v>
      </c>
      <c r="T44" s="705" t="s">
        <v>21</v>
      </c>
      <c r="U44" s="706">
        <f t="shared" si="13"/>
        <v>100</v>
      </c>
      <c r="V44" s="705" t="s">
        <v>21</v>
      </c>
      <c r="W44" s="706">
        <f t="shared" si="14"/>
        <v>100</v>
      </c>
      <c r="X44" s="707"/>
      <c r="Y44" s="3634"/>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632"/>
      <c r="Q45" s="1345">
        <f t="shared" si="11"/>
        <v>111</v>
      </c>
      <c r="R45" s="709" t="s">
        <v>21</v>
      </c>
      <c r="S45" s="710">
        <f t="shared" si="12"/>
        <v>100</v>
      </c>
      <c r="T45" s="709" t="s">
        <v>21</v>
      </c>
      <c r="U45" s="710">
        <f t="shared" si="13"/>
        <v>100</v>
      </c>
      <c r="V45" s="709" t="s">
        <v>21</v>
      </c>
      <c r="W45" s="710">
        <f t="shared" si="14"/>
        <v>100</v>
      </c>
      <c r="X45" s="1348"/>
      <c r="Y45" s="3634"/>
      <c r="Z45" s="1349">
        <f t="shared" si="18"/>
        <v>111</v>
      </c>
      <c r="AA45" s="1346">
        <f t="shared" si="15"/>
        <v>1</v>
      </c>
      <c r="AB45" s="1346">
        <f t="shared" si="16"/>
        <v>1</v>
      </c>
      <c r="AC45" s="1346">
        <f t="shared" si="17"/>
        <v>1</v>
      </c>
    </row>
    <row r="46" spans="1:29" ht="15.6"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633"/>
      <c r="Q46" s="1345">
        <f t="shared" si="11"/>
        <v>111</v>
      </c>
      <c r="R46" s="709" t="s">
        <v>20</v>
      </c>
      <c r="S46" s="710">
        <f t="shared" si="12"/>
        <v>100</v>
      </c>
      <c r="T46" s="709" t="s">
        <v>20</v>
      </c>
      <c r="U46" s="710">
        <f t="shared" si="13"/>
        <v>100</v>
      </c>
      <c r="V46" s="709" t="s">
        <v>20</v>
      </c>
      <c r="W46" s="710">
        <f t="shared" si="14"/>
        <v>100</v>
      </c>
      <c r="X46" s="1348"/>
      <c r="Y46" s="3635"/>
      <c r="Z46" s="1349">
        <f t="shared" si="18"/>
        <v>111</v>
      </c>
      <c r="AA46" s="1346">
        <f t="shared" si="15"/>
        <v>1</v>
      </c>
      <c r="AB46" s="1346">
        <f t="shared" si="16"/>
        <v>1</v>
      </c>
      <c r="AC46" s="1346">
        <f t="shared" si="17"/>
        <v>1</v>
      </c>
    </row>
    <row r="47" spans="1:29" ht="14.4">
      <c r="A47" s="434" t="s">
        <v>1962</v>
      </c>
      <c r="B47" s="435"/>
      <c r="C47" s="1160" t="s">
        <v>19</v>
      </c>
      <c r="D47" s="1161"/>
      <c r="E47" s="1162"/>
      <c r="F47" s="1163"/>
      <c r="G47" s="1164"/>
      <c r="H47" s="1165"/>
      <c r="I47" s="1162"/>
      <c r="J47" s="1165"/>
      <c r="K47" s="1908"/>
      <c r="L47" s="2551"/>
      <c r="M47" s="2552"/>
      <c r="N47" s="2543"/>
      <c r="O47" s="2552"/>
      <c r="P47" s="3627" t="str">
        <f>A47</f>
        <v>成交单价（元/平方米）</v>
      </c>
      <c r="Q47" s="3627"/>
      <c r="R47" s="3628">
        <f>E47</f>
        <v>0</v>
      </c>
      <c r="S47" s="3628"/>
      <c r="T47" s="3628">
        <f>G47</f>
        <v>0</v>
      </c>
      <c r="U47" s="3628"/>
      <c r="V47" s="3628">
        <f>I47</f>
        <v>0</v>
      </c>
      <c r="W47" s="3628"/>
      <c r="X47" s="694"/>
      <c r="Y47" s="716"/>
      <c r="Z47" s="694"/>
      <c r="AA47" s="694"/>
      <c r="AB47" s="694"/>
      <c r="AC47" s="694"/>
    </row>
    <row r="48" spans="1:29" ht="1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627" t="str">
        <f>A48</f>
        <v>比较价值（元/平方米）</v>
      </c>
      <c r="Q48" s="3627"/>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694"/>
      <c r="Y48" s="694"/>
      <c r="Z48" s="694"/>
      <c r="AA48" s="694"/>
      <c r="AB48" s="694"/>
      <c r="AC48" s="694"/>
    </row>
    <row r="49" spans="1:29" ht="15" thickBot="1">
      <c r="A49" s="445" t="s">
        <v>1964</v>
      </c>
      <c r="B49" s="446"/>
      <c r="C49" s="1168" t="e">
        <f>R49</f>
        <v>#DIV/0!</v>
      </c>
      <c r="D49" s="1169"/>
      <c r="E49" s="1169"/>
      <c r="F49" s="1169"/>
      <c r="G49" s="1169"/>
      <c r="H49" s="1169"/>
      <c r="I49" s="1169"/>
      <c r="J49" s="1169"/>
      <c r="K49" s="1909"/>
      <c r="L49" s="2551"/>
      <c r="M49" s="2552"/>
      <c r="N49" s="2552"/>
      <c r="O49" s="2552"/>
      <c r="P49" s="3624" t="str">
        <f>A49</f>
        <v>估价对象XX用房的比较价值（楼面单价，元/平方米）</v>
      </c>
      <c r="Q49" s="3625"/>
      <c r="R49" s="3626" t="e">
        <f>IF(F1="售价",ROUND(IF(D48="简单平均",AVERAGE(R48:V48),R48*F48+T48*H48+V48*J48),0),ROUND(IF(D48="简单平均",AVERAGE(R48:V48),R48*F48+T48*H48+V48*J48),1))</f>
        <v>#DIV/0!</v>
      </c>
      <c r="S49" s="3626"/>
      <c r="T49" s="3626"/>
      <c r="U49" s="3626"/>
      <c r="V49" s="3626"/>
      <c r="W49" s="3626"/>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2.2" thickBot="1">
      <c r="A57" s="698" t="s">
        <v>1968</v>
      </c>
      <c r="B57" s="694"/>
      <c r="C57" s="699"/>
      <c r="D57" s="699"/>
      <c r="E57" s="699"/>
      <c r="F57" s="700"/>
      <c r="G57" s="700"/>
      <c r="H57" s="699"/>
      <c r="I57" s="699"/>
      <c r="J57" s="699"/>
      <c r="K57" s="951"/>
      <c r="L57" s="952"/>
      <c r="M57" s="950"/>
      <c r="N57" s="950"/>
      <c r="O57" s="950"/>
      <c r="P57" s="1912"/>
      <c r="Q57" s="457"/>
    </row>
    <row r="58" spans="1:29" s="461" customFormat="1" ht="14.4">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c r="A59" s="462"/>
      <c r="B59" s="1913"/>
      <c r="C59" s="1187">
        <v>100</v>
      </c>
      <c r="D59" s="464"/>
      <c r="E59" s="465"/>
      <c r="F59" s="465"/>
      <c r="G59" s="465"/>
      <c r="H59" s="465"/>
      <c r="I59" s="465"/>
      <c r="J59" s="465"/>
      <c r="K59" s="465"/>
      <c r="L59" s="465"/>
      <c r="M59" s="466"/>
      <c r="N59" s="465"/>
      <c r="O59" s="466"/>
      <c r="P59" s="1914"/>
    </row>
    <row r="60" spans="1:29" s="112" customFormat="1" ht="15" thickBot="1">
      <c r="A60" s="468" t="s">
        <v>1970</v>
      </c>
      <c r="B60" s="469"/>
      <c r="C60" s="470"/>
      <c r="D60" s="471"/>
      <c r="E60" s="471"/>
      <c r="F60" s="471"/>
      <c r="G60" s="471"/>
      <c r="H60" s="471"/>
      <c r="I60" s="471"/>
      <c r="J60" s="471"/>
      <c r="K60" s="471"/>
      <c r="L60" s="471"/>
      <c r="M60" s="472"/>
      <c r="N60" s="471"/>
      <c r="O60" s="472"/>
      <c r="P60" s="1914"/>
      <c r="Q60" s="457"/>
    </row>
    <row r="61" spans="1:29" s="112" customFormat="1" ht="14.4">
      <c r="A61" s="474" t="s">
        <v>1971</v>
      </c>
      <c r="B61" s="463"/>
      <c r="C61" s="475" t="s">
        <v>1972</v>
      </c>
      <c r="D61" s="476"/>
      <c r="E61" s="476"/>
      <c r="F61" s="476"/>
      <c r="G61" s="476"/>
      <c r="H61" s="476"/>
      <c r="I61" s="476"/>
      <c r="J61" s="476"/>
      <c r="K61" s="476"/>
      <c r="L61" s="477"/>
      <c r="M61" s="478"/>
      <c r="N61" s="942"/>
      <c r="O61" s="942"/>
      <c r="P61" s="1915"/>
      <c r="Q61" s="457"/>
    </row>
    <row r="62" spans="1:29" s="112" customFormat="1" ht="14.4" thickBot="1">
      <c r="A62" s="474"/>
      <c r="B62" s="463"/>
      <c r="C62" s="464">
        <v>100</v>
      </c>
      <c r="D62" s="465"/>
      <c r="E62" s="465"/>
      <c r="F62" s="465"/>
      <c r="G62" s="465"/>
      <c r="H62" s="465"/>
      <c r="I62" s="465"/>
      <c r="J62" s="465"/>
      <c r="K62" s="465"/>
      <c r="L62" s="465"/>
      <c r="M62" s="467"/>
      <c r="N62" s="942"/>
      <c r="O62" s="942"/>
      <c r="P62" s="1914"/>
      <c r="Q62" s="457"/>
    </row>
    <row r="63" spans="1:29" ht="14.4">
      <c r="A63" s="480" t="s">
        <v>1973</v>
      </c>
      <c r="B63" s="481" t="s">
        <v>1939</v>
      </c>
      <c r="C63" s="482">
        <f>C9</f>
        <v>0</v>
      </c>
      <c r="D63" s="483"/>
      <c r="E63" s="483"/>
      <c r="F63" s="483"/>
      <c r="G63" s="483"/>
      <c r="H63" s="483"/>
      <c r="I63" s="483"/>
      <c r="J63" s="483"/>
      <c r="K63" s="484"/>
      <c r="L63" s="485"/>
      <c r="M63" s="486"/>
      <c r="N63" s="943"/>
      <c r="O63" s="943"/>
      <c r="P63" s="1916"/>
      <c r="Q63" s="457"/>
    </row>
    <row r="64" spans="1:29" ht="14.4" thickBot="1">
      <c r="A64" s="487"/>
      <c r="B64" s="488"/>
      <c r="C64" s="489">
        <v>100</v>
      </c>
      <c r="D64" s="489"/>
      <c r="E64" s="489"/>
      <c r="F64" s="489"/>
      <c r="G64" s="489"/>
      <c r="H64" s="489"/>
      <c r="I64" s="489"/>
      <c r="J64" s="489"/>
      <c r="K64" s="489"/>
      <c r="L64" s="489"/>
      <c r="M64" s="490"/>
      <c r="N64" s="944"/>
      <c r="O64" s="944"/>
      <c r="P64" s="1916"/>
      <c r="Q64" s="457"/>
    </row>
    <row r="65" spans="1:17" ht="29.4"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4.4"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c r="A68" s="487"/>
      <c r="B68" s="501"/>
      <c r="C68" s="502"/>
      <c r="D68" s="502"/>
      <c r="E68" s="502"/>
      <c r="F68" s="502"/>
      <c r="G68" s="502"/>
      <c r="H68" s="502"/>
      <c r="I68" s="502"/>
      <c r="J68" s="502"/>
      <c r="K68" s="503"/>
      <c r="L68" s="504"/>
      <c r="M68" s="505"/>
      <c r="N68" s="943"/>
      <c r="O68" s="943"/>
      <c r="P68" s="1916"/>
      <c r="Q68" s="457"/>
    </row>
    <row r="69" spans="1:17" ht="14.4"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4.4" thickTop="1">
      <c r="A70" s="506"/>
      <c r="B70" s="491">
        <f>B12</f>
        <v>111</v>
      </c>
      <c r="C70" s="507"/>
      <c r="D70" s="507"/>
      <c r="E70" s="507"/>
      <c r="F70" s="507"/>
      <c r="G70" s="507"/>
      <c r="H70" s="508"/>
      <c r="I70" s="508"/>
      <c r="J70" s="508"/>
      <c r="K70" s="508"/>
      <c r="L70" s="509"/>
      <c r="M70" s="510"/>
      <c r="N70" s="945"/>
      <c r="O70" s="945"/>
      <c r="P70" s="1917"/>
      <c r="Q70" s="512"/>
    </row>
    <row r="71" spans="1:17" s="426" customFormat="1" ht="14.4" thickBot="1">
      <c r="A71" s="506"/>
      <c r="B71" s="496"/>
      <c r="C71" s="513"/>
      <c r="D71" s="489"/>
      <c r="E71" s="489"/>
      <c r="F71" s="489"/>
      <c r="G71" s="489"/>
      <c r="H71" s="489"/>
      <c r="I71" s="489"/>
      <c r="J71" s="489"/>
      <c r="K71" s="489"/>
      <c r="L71" s="489"/>
      <c r="M71" s="490"/>
      <c r="N71" s="944"/>
      <c r="O71" s="944"/>
      <c r="P71" s="1917"/>
      <c r="Q71" s="512"/>
    </row>
    <row r="72" spans="1:17" s="426" customFormat="1" ht="14.4" thickTop="1">
      <c r="A72" s="506"/>
      <c r="B72" s="491">
        <f>B13</f>
        <v>111</v>
      </c>
      <c r="C72" s="507"/>
      <c r="D72" s="507"/>
      <c r="E72" s="507"/>
      <c r="F72" s="507"/>
      <c r="G72" s="507"/>
      <c r="H72" s="508"/>
      <c r="I72" s="508"/>
      <c r="J72" s="508"/>
      <c r="K72" s="508"/>
      <c r="L72" s="509"/>
      <c r="M72" s="510"/>
      <c r="N72" s="945"/>
      <c r="O72" s="945"/>
      <c r="P72" s="1918"/>
      <c r="Q72" s="514"/>
    </row>
    <row r="73" spans="1:17" s="426" customFormat="1" ht="14.4" thickBot="1">
      <c r="A73" s="506"/>
      <c r="B73" s="496"/>
      <c r="C73" s="513"/>
      <c r="D73" s="513"/>
      <c r="E73" s="513"/>
      <c r="F73" s="513"/>
      <c r="G73" s="513"/>
      <c r="H73" s="515"/>
      <c r="I73" s="515"/>
      <c r="J73" s="515"/>
      <c r="K73" s="515"/>
      <c r="L73" s="515"/>
      <c r="M73" s="516"/>
      <c r="N73" s="945"/>
      <c r="O73" s="945"/>
      <c r="P73" s="1917"/>
      <c r="Q73" s="512"/>
    </row>
    <row r="74" spans="1:17" s="426" customFormat="1" ht="14.4" thickTop="1">
      <c r="A74" s="506"/>
      <c r="B74" s="499">
        <f>B14</f>
        <v>111</v>
      </c>
      <c r="C74" s="507"/>
      <c r="D74" s="507"/>
      <c r="E74" s="507"/>
      <c r="F74" s="507"/>
      <c r="G74" s="476"/>
      <c r="H74" s="517"/>
      <c r="I74" s="517"/>
      <c r="J74" s="517"/>
      <c r="K74" s="517"/>
      <c r="L74" s="518"/>
      <c r="M74" s="519"/>
      <c r="N74" s="945"/>
      <c r="O74" s="945"/>
      <c r="P74" s="1919"/>
      <c r="Q74" s="512"/>
    </row>
    <row r="75" spans="1:17" s="426" customFormat="1" ht="14.4" thickBot="1">
      <c r="A75" s="521"/>
      <c r="B75" s="522"/>
      <c r="C75" s="523"/>
      <c r="D75" s="523"/>
      <c r="E75" s="523"/>
      <c r="F75" s="523"/>
      <c r="G75" s="523"/>
      <c r="H75" s="524"/>
      <c r="I75" s="524"/>
      <c r="J75" s="524"/>
      <c r="K75" s="524"/>
      <c r="L75" s="524"/>
      <c r="M75" s="525"/>
      <c r="N75" s="945"/>
      <c r="O75" s="945"/>
      <c r="P75" s="1917"/>
      <c r="Q75" s="512"/>
    </row>
    <row r="76" spans="1:17" ht="14.4">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4.4"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4.4"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4.4"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4.4"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4.4"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 thickTop="1">
      <c r="A86" s="532"/>
      <c r="B86" s="491" t="s">
        <v>1995</v>
      </c>
      <c r="C86" s="507"/>
      <c r="D86" s="507"/>
      <c r="E86" s="507"/>
      <c r="F86" s="507"/>
      <c r="G86" s="507"/>
      <c r="H86" s="507"/>
      <c r="I86" s="507"/>
      <c r="J86" s="507"/>
      <c r="K86" s="507"/>
      <c r="L86" s="533"/>
      <c r="M86" s="534"/>
      <c r="N86" s="942"/>
      <c r="O86" s="942"/>
      <c r="P86" s="1916"/>
      <c r="Q86" s="457"/>
    </row>
    <row r="87" spans="1:17" s="112" customFormat="1" ht="14.4"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 thickTop="1">
      <c r="A88" s="532"/>
      <c r="B88" s="491" t="s">
        <v>1996</v>
      </c>
      <c r="C88" s="507"/>
      <c r="D88" s="507"/>
      <c r="E88" s="507"/>
      <c r="F88" s="1921"/>
      <c r="G88" s="507"/>
      <c r="H88" s="507"/>
      <c r="I88" s="507"/>
      <c r="J88" s="507"/>
      <c r="K88" s="507"/>
      <c r="L88" s="507"/>
      <c r="M88" s="534"/>
      <c r="N88" s="942"/>
      <c r="O88" s="942"/>
      <c r="P88" s="1916"/>
      <c r="Q88" s="457"/>
    </row>
    <row r="89" spans="1:17" s="112" customFormat="1" ht="14.4"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4.4" thickTop="1">
      <c r="A90" s="506"/>
      <c r="B90" s="491">
        <f>B27</f>
        <v>111</v>
      </c>
      <c r="C90" s="507"/>
      <c r="D90" s="507"/>
      <c r="E90" s="507"/>
      <c r="F90" s="507"/>
      <c r="G90" s="507"/>
      <c r="H90" s="508"/>
      <c r="I90" s="508"/>
      <c r="J90" s="508"/>
      <c r="K90" s="508"/>
      <c r="L90" s="509"/>
      <c r="M90" s="510"/>
      <c r="N90" s="945"/>
      <c r="O90" s="945"/>
      <c r="P90" s="1917"/>
      <c r="Q90" s="512"/>
    </row>
    <row r="91" spans="1:17" s="426" customFormat="1" ht="14.4" thickBot="1">
      <c r="A91" s="506"/>
      <c r="B91" s="496"/>
      <c r="C91" s="513"/>
      <c r="D91" s="513"/>
      <c r="E91" s="513"/>
      <c r="F91" s="513"/>
      <c r="G91" s="513"/>
      <c r="H91" s="515"/>
      <c r="I91" s="515"/>
      <c r="J91" s="515"/>
      <c r="K91" s="515"/>
      <c r="L91" s="515"/>
      <c r="M91" s="516"/>
      <c r="N91" s="945"/>
      <c r="O91" s="945"/>
      <c r="P91" s="1917"/>
      <c r="Q91" s="512"/>
    </row>
    <row r="92" spans="1:17" ht="14.4" thickTop="1">
      <c r="A92" s="487"/>
      <c r="B92" s="491">
        <f>B28</f>
        <v>111</v>
      </c>
      <c r="C92" s="507"/>
      <c r="D92" s="507"/>
      <c r="E92" s="507"/>
      <c r="F92" s="507"/>
      <c r="G92" s="536"/>
      <c r="H92" s="536"/>
      <c r="I92" s="536"/>
      <c r="J92" s="536"/>
      <c r="K92" s="537"/>
      <c r="L92" s="538"/>
      <c r="M92" s="539"/>
      <c r="N92" s="943"/>
      <c r="O92" s="943"/>
      <c r="P92" s="1916"/>
      <c r="Q92" s="457"/>
    </row>
    <row r="93" spans="1:17" ht="14.4" thickBot="1">
      <c r="A93" s="487"/>
      <c r="B93" s="496"/>
      <c r="C93" s="513"/>
      <c r="D93" s="489"/>
      <c r="E93" s="489"/>
      <c r="F93" s="489"/>
      <c r="G93" s="489"/>
      <c r="H93" s="489"/>
      <c r="I93" s="489"/>
      <c r="J93" s="489"/>
      <c r="K93" s="489"/>
      <c r="L93" s="489"/>
      <c r="M93" s="490"/>
      <c r="N93" s="944"/>
      <c r="O93" s="944"/>
      <c r="P93" s="1916"/>
      <c r="Q93" s="457"/>
    </row>
    <row r="94" spans="1:17" ht="14.4" thickTop="1">
      <c r="A94" s="487"/>
      <c r="B94" s="491">
        <f>B29</f>
        <v>111</v>
      </c>
      <c r="C94" s="507"/>
      <c r="D94" s="507"/>
      <c r="E94" s="507"/>
      <c r="F94" s="507"/>
      <c r="G94" s="536"/>
      <c r="H94" s="536"/>
      <c r="I94" s="536"/>
      <c r="J94" s="536"/>
      <c r="K94" s="537"/>
      <c r="L94" s="538"/>
      <c r="M94" s="539"/>
      <c r="N94" s="943"/>
      <c r="O94" s="943"/>
      <c r="P94" s="1916"/>
      <c r="Q94" s="457"/>
    </row>
    <row r="95" spans="1:17" ht="14.4" thickBot="1">
      <c r="A95" s="487"/>
      <c r="B95" s="496"/>
      <c r="C95" s="513"/>
      <c r="D95" s="513"/>
      <c r="E95" s="513"/>
      <c r="F95" s="513"/>
      <c r="G95" s="489"/>
      <c r="H95" s="489"/>
      <c r="I95" s="489"/>
      <c r="J95" s="489"/>
      <c r="K95" s="489"/>
      <c r="L95" s="489"/>
      <c r="M95" s="490"/>
      <c r="N95" s="944"/>
      <c r="O95" s="944"/>
      <c r="P95" s="1916"/>
      <c r="Q95" s="457"/>
    </row>
    <row r="96" spans="1:17" ht="14.4" thickTop="1">
      <c r="A96" s="487"/>
      <c r="B96" s="491">
        <f>B30</f>
        <v>111</v>
      </c>
      <c r="C96" s="507"/>
      <c r="D96" s="507"/>
      <c r="E96" s="507"/>
      <c r="F96" s="507"/>
      <c r="G96" s="536"/>
      <c r="H96" s="536"/>
      <c r="I96" s="536"/>
      <c r="J96" s="536"/>
      <c r="K96" s="537"/>
      <c r="L96" s="538"/>
      <c r="M96" s="539"/>
      <c r="N96" s="943"/>
      <c r="O96" s="943"/>
      <c r="P96" s="1916"/>
      <c r="Q96" s="457"/>
    </row>
    <row r="97" spans="1:17" ht="14.4" thickBot="1">
      <c r="A97" s="487"/>
      <c r="B97" s="496"/>
      <c r="C97" s="523"/>
      <c r="D97" s="523"/>
      <c r="E97" s="523"/>
      <c r="F97" s="523"/>
      <c r="G97" s="489"/>
      <c r="H97" s="489"/>
      <c r="I97" s="489"/>
      <c r="J97" s="489"/>
      <c r="K97" s="489"/>
      <c r="L97" s="489"/>
      <c r="M97" s="490"/>
      <c r="N97" s="944"/>
      <c r="O97" s="944"/>
      <c r="P97" s="1916"/>
      <c r="Q97" s="457"/>
    </row>
    <row r="98" spans="1:17" ht="14.4" thickTop="1">
      <c r="A98" s="487"/>
      <c r="B98" s="499">
        <f>B31</f>
        <v>111</v>
      </c>
      <c r="C98" s="540"/>
      <c r="D98" s="540"/>
      <c r="E98" s="540"/>
      <c r="F98" s="540"/>
      <c r="G98" s="540"/>
      <c r="H98" s="540"/>
      <c r="I98" s="540"/>
      <c r="J98" s="540"/>
      <c r="K98" s="541"/>
      <c r="L98" s="542"/>
      <c r="M98" s="543"/>
      <c r="N98" s="943"/>
      <c r="O98" s="943"/>
      <c r="P98" s="1916"/>
      <c r="Q98" s="457"/>
    </row>
    <row r="99" spans="1:17" ht="14.4" thickBot="1">
      <c r="A99" s="1922"/>
      <c r="B99" s="522"/>
      <c r="C99" s="544"/>
      <c r="D99" s="544"/>
      <c r="E99" s="544"/>
      <c r="F99" s="544"/>
      <c r="G99" s="544"/>
      <c r="H99" s="544"/>
      <c r="I99" s="544"/>
      <c r="J99" s="544"/>
      <c r="K99" s="544"/>
      <c r="L99" s="544"/>
      <c r="M99" s="545"/>
      <c r="N99" s="944"/>
      <c r="O99" s="944"/>
      <c r="P99" s="1916"/>
      <c r="Q99" s="457"/>
    </row>
    <row r="100" spans="1:17" ht="14.4">
      <c r="A100" s="480" t="s">
        <v>1948</v>
      </c>
      <c r="B100" s="481" t="s">
        <v>1997</v>
      </c>
      <c r="C100" s="483"/>
      <c r="D100" s="483"/>
      <c r="E100" s="483"/>
      <c r="F100" s="483"/>
      <c r="G100" s="483"/>
      <c r="H100" s="483"/>
      <c r="I100" s="483"/>
      <c r="J100" s="483"/>
      <c r="K100" s="484"/>
      <c r="L100" s="485"/>
      <c r="M100" s="486"/>
      <c r="N100" s="943"/>
      <c r="O100" s="943"/>
      <c r="P100" s="1916"/>
      <c r="Q100" s="457"/>
    </row>
    <row r="101" spans="1:17" ht="14.4"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4.4"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4.4"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4.4"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4.4"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4.4"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4.4"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4.4"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4.4"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9.4"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4.4"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4.4"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29.4"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4.4"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4.4"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4.4" thickBot="1">
      <c r="A127" s="506"/>
      <c r="B127" s="496"/>
      <c r="C127" s="513"/>
      <c r="D127" s="489"/>
      <c r="E127" s="489"/>
      <c r="F127" s="489"/>
      <c r="G127" s="513"/>
      <c r="H127" s="515"/>
      <c r="I127" s="515"/>
      <c r="J127" s="515"/>
      <c r="K127" s="515"/>
      <c r="L127" s="515"/>
      <c r="M127" s="516"/>
      <c r="N127" s="945"/>
      <c r="O127" s="945"/>
      <c r="P127" s="1917"/>
      <c r="Q127" s="512"/>
    </row>
    <row r="128" spans="1:17" ht="14.4" thickTop="1">
      <c r="A128" s="552"/>
      <c r="B128" s="491">
        <f>B45</f>
        <v>111</v>
      </c>
      <c r="C128" s="507"/>
      <c r="D128" s="507"/>
      <c r="E128" s="507"/>
      <c r="F128" s="507"/>
      <c r="G128" s="536"/>
      <c r="H128" s="536"/>
      <c r="I128" s="536"/>
      <c r="J128" s="536"/>
      <c r="K128" s="537"/>
      <c r="L128" s="538"/>
      <c r="M128" s="539"/>
      <c r="N128" s="943"/>
      <c r="O128" s="943"/>
      <c r="P128" s="1916"/>
      <c r="Q128" s="457"/>
    </row>
    <row r="129" spans="1:17" ht="14.4" thickBot="1">
      <c r="A129" s="487"/>
      <c r="B129" s="496"/>
      <c r="C129" s="513"/>
      <c r="D129" s="513"/>
      <c r="E129" s="513"/>
      <c r="F129" s="513"/>
      <c r="G129" s="489"/>
      <c r="H129" s="489"/>
      <c r="I129" s="489"/>
      <c r="J129" s="489"/>
      <c r="K129" s="489"/>
      <c r="L129" s="489"/>
      <c r="M129" s="490"/>
      <c r="N129" s="944"/>
      <c r="O129" s="944"/>
      <c r="P129" s="1916"/>
      <c r="Q129" s="457"/>
    </row>
    <row r="130" spans="1:17" ht="14.4" thickTop="1">
      <c r="A130" s="552"/>
      <c r="B130" s="499">
        <f>B46</f>
        <v>111</v>
      </c>
      <c r="C130" s="507"/>
      <c r="D130" s="507"/>
      <c r="E130" s="507"/>
      <c r="F130" s="507"/>
      <c r="G130" s="540"/>
      <c r="H130" s="540"/>
      <c r="I130" s="540"/>
      <c r="J130" s="540"/>
      <c r="K130" s="476"/>
      <c r="L130" s="477"/>
      <c r="M130" s="543"/>
      <c r="N130" s="943"/>
      <c r="O130" s="943"/>
      <c r="P130" s="1916"/>
      <c r="Q130" s="457"/>
    </row>
    <row r="131" spans="1:17" ht="14.4"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6.2"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ht="14.4">
      <c r="B147" s="1923" t="s">
        <v>2025</v>
      </c>
    </row>
    <row r="148" spans="2:11" ht="14.4">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59" customWidth="1"/>
    <col min="2" max="2" width="15.77734375" style="359" customWidth="1"/>
    <col min="3" max="3" width="15.10937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1910"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4.4">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622" t="s">
        <v>2033</v>
      </c>
      <c r="AC4" s="3592" t="s">
        <v>2034</v>
      </c>
    </row>
    <row r="5" spans="1:29">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622"/>
      <c r="AC5" s="3593"/>
    </row>
    <row r="6" spans="1:29" ht="15" thickBot="1">
      <c r="A6" s="362"/>
      <c r="B6" s="363"/>
      <c r="C6" s="3605" t="s">
        <v>1931</v>
      </c>
      <c r="D6" s="3606"/>
      <c r="E6" s="3607" t="s">
        <v>1931</v>
      </c>
      <c r="F6" s="3608"/>
      <c r="G6" s="3605" t="s">
        <v>1931</v>
      </c>
      <c r="H6" s="3606"/>
      <c r="I6" s="3605" t="s">
        <v>1931</v>
      </c>
      <c r="J6" s="3606"/>
      <c r="K6" s="563" t="s">
        <v>1932</v>
      </c>
      <c r="L6" s="2542"/>
      <c r="M6" s="2543"/>
      <c r="N6" s="2543"/>
      <c r="O6" s="2543"/>
      <c r="P6" s="3618"/>
      <c r="Q6" s="3619"/>
      <c r="R6" s="3599"/>
      <c r="S6" s="3600"/>
      <c r="T6" s="3620"/>
      <c r="U6" s="3621"/>
      <c r="V6" s="3622"/>
      <c r="W6" s="3622"/>
      <c r="X6" s="1348"/>
      <c r="Y6" s="3620"/>
      <c r="Z6" s="3621"/>
      <c r="AA6" s="3594"/>
      <c r="AB6" s="3622"/>
      <c r="AC6" s="3594"/>
    </row>
    <row r="7" spans="1:29" s="112" customFormat="1" ht="15" thickBot="1">
      <c r="A7" s="364" t="s">
        <v>1933</v>
      </c>
      <c r="B7" s="365"/>
      <c r="C7" s="366">
        <f>'数据-取费表'!B2</f>
        <v>44680</v>
      </c>
      <c r="D7" s="367">
        <v>100</v>
      </c>
      <c r="E7" s="368"/>
      <c r="F7" s="369">
        <f>SUMIF(58:58,YEAR(E7)&amp;"-"&amp;MONTH(E7),59:59)</f>
        <v>0</v>
      </c>
      <c r="G7" s="368"/>
      <c r="H7" s="367">
        <f>SUMIF(58:58,YEAR(G7)&amp;"-"&amp;MONTH(G7),59:59)</f>
        <v>0</v>
      </c>
      <c r="I7" s="368"/>
      <c r="J7" s="367">
        <f>SUMIF(58:58,YEAR(I7)&amp;"-"&amp;MONTH(I7),59:59)</f>
        <v>0</v>
      </c>
      <c r="K7" s="564"/>
      <c r="L7" s="2544"/>
      <c r="M7" s="2545"/>
      <c r="N7" s="2545"/>
      <c r="O7" s="2545"/>
      <c r="P7" s="3595"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708" t="e">
        <f>D7/J7</f>
        <v>#DIV/0!</v>
      </c>
    </row>
    <row r="8" spans="1:29" s="112" customFormat="1" ht="1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46" si="3">D8/F8</f>
        <v>#DIV/0!</v>
      </c>
      <c r="AB8" s="708" t="e">
        <f t="shared" ref="AB8:AB46" si="4">D8/H8</f>
        <v>#DIV/0!</v>
      </c>
      <c r="AC8" s="708" t="e">
        <f t="shared" ref="AC8:AC46" si="5">D8/J8</f>
        <v>#DIV/0!</v>
      </c>
    </row>
    <row r="9" spans="1:29" s="112" customFormat="1" ht="14.4">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9"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9"/>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9"/>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9"/>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9"/>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15.6"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9"/>
      <c r="Q14" s="1338">
        <f t="shared" si="6"/>
        <v>111</v>
      </c>
      <c r="R14" s="705" t="s">
        <v>17</v>
      </c>
      <c r="S14" s="706">
        <f t="shared" si="0"/>
        <v>100</v>
      </c>
      <c r="T14" s="705" t="s">
        <v>17</v>
      </c>
      <c r="U14" s="706">
        <f t="shared" si="1"/>
        <v>100</v>
      </c>
      <c r="V14" s="705" t="s">
        <v>17</v>
      </c>
      <c r="W14" s="706">
        <f t="shared" si="2"/>
        <v>100</v>
      </c>
      <c r="X14" s="707"/>
      <c r="Y14" s="3539"/>
      <c r="Z14" s="54">
        <f t="shared" si="7"/>
        <v>111</v>
      </c>
      <c r="AA14" s="708">
        <f t="shared" si="3"/>
        <v>1</v>
      </c>
      <c r="AB14" s="708">
        <f t="shared" si="4"/>
        <v>1</v>
      </c>
      <c r="AC14" s="708">
        <f t="shared" si="5"/>
        <v>1</v>
      </c>
    </row>
    <row r="15" spans="1:29" ht="69">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36" t="s">
        <v>1945</v>
      </c>
      <c r="Q15" s="1345" t="str">
        <f t="shared" si="6"/>
        <v>商业繁华度</v>
      </c>
      <c r="R15" s="709" t="s">
        <v>17</v>
      </c>
      <c r="S15" s="710">
        <f t="shared" si="0"/>
        <v>100</v>
      </c>
      <c r="T15" s="709" t="s">
        <v>17</v>
      </c>
      <c r="U15" s="710">
        <f t="shared" si="1"/>
        <v>100</v>
      </c>
      <c r="V15" s="709" t="s">
        <v>17</v>
      </c>
      <c r="W15" s="710">
        <f t="shared" si="2"/>
        <v>100</v>
      </c>
      <c r="X15" s="1348"/>
      <c r="Y15" s="3629"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37"/>
      <c r="Q16" s="1345"/>
      <c r="R16" s="709"/>
      <c r="S16" s="710"/>
      <c r="T16" s="709"/>
      <c r="U16" s="710"/>
      <c r="V16" s="709"/>
      <c r="W16" s="710"/>
      <c r="X16" s="1348"/>
      <c r="Y16" s="3630"/>
      <c r="Z16" s="1349"/>
      <c r="AA16" s="1346">
        <v>1</v>
      </c>
      <c r="AB16" s="1346">
        <v>1</v>
      </c>
      <c r="AC16" s="1346">
        <v>1</v>
      </c>
    </row>
    <row r="17" spans="1:29" ht="82.8">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37"/>
      <c r="Q17" s="1345" t="str">
        <f>B17</f>
        <v>交通便捷度</v>
      </c>
      <c r="R17" s="709" t="s">
        <v>17</v>
      </c>
      <c r="S17" s="710">
        <f>F17</f>
        <v>100</v>
      </c>
      <c r="T17" s="709" t="s">
        <v>17</v>
      </c>
      <c r="U17" s="710">
        <f>H17</f>
        <v>100</v>
      </c>
      <c r="V17" s="709" t="s">
        <v>17</v>
      </c>
      <c r="W17" s="710">
        <f>J17</f>
        <v>100</v>
      </c>
      <c r="X17" s="1348"/>
      <c r="Y17" s="3630"/>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37"/>
      <c r="Q18" s="1345"/>
      <c r="R18" s="709"/>
      <c r="S18" s="710"/>
      <c r="T18" s="709"/>
      <c r="U18" s="710"/>
      <c r="V18" s="709"/>
      <c r="W18" s="710"/>
      <c r="X18" s="1348"/>
      <c r="Y18" s="3630"/>
      <c r="Z18" s="1349"/>
      <c r="AA18" s="1346">
        <v>1</v>
      </c>
      <c r="AB18" s="1346">
        <v>1</v>
      </c>
      <c r="AC18" s="1346">
        <v>1</v>
      </c>
    </row>
    <row r="19" spans="1:29" ht="41.4">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37"/>
      <c r="Q19" s="1345" t="str">
        <f>B19</f>
        <v>公共配套设施</v>
      </c>
      <c r="R19" s="709" t="s">
        <v>17</v>
      </c>
      <c r="S19" s="710">
        <f>F19</f>
        <v>100</v>
      </c>
      <c r="T19" s="709" t="s">
        <v>17</v>
      </c>
      <c r="U19" s="710">
        <f>H19</f>
        <v>100</v>
      </c>
      <c r="V19" s="709" t="s">
        <v>17</v>
      </c>
      <c r="W19" s="710">
        <f>J19</f>
        <v>100</v>
      </c>
      <c r="X19" s="1348"/>
      <c r="Y19" s="3630"/>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37"/>
      <c r="Q20" s="1345"/>
      <c r="R20" s="709"/>
      <c r="S20" s="710"/>
      <c r="T20" s="709"/>
      <c r="U20" s="710"/>
      <c r="V20" s="709"/>
      <c r="W20" s="710"/>
      <c r="X20" s="1348"/>
      <c r="Y20" s="3630"/>
      <c r="Z20" s="1349"/>
      <c r="AA20" s="1346">
        <v>1</v>
      </c>
      <c r="AB20" s="1346">
        <v>1</v>
      </c>
      <c r="AC20" s="1346">
        <v>1</v>
      </c>
    </row>
    <row r="21" spans="1:29" ht="27.6">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37"/>
      <c r="Q21" s="1345" t="str">
        <f>B21</f>
        <v>基础设施水平</v>
      </c>
      <c r="R21" s="709" t="s">
        <v>17</v>
      </c>
      <c r="S21" s="710">
        <f>F21</f>
        <v>100</v>
      </c>
      <c r="T21" s="709" t="s">
        <v>17</v>
      </c>
      <c r="U21" s="710">
        <f>H21</f>
        <v>100</v>
      </c>
      <c r="V21" s="709" t="s">
        <v>17</v>
      </c>
      <c r="W21" s="710">
        <f>J21</f>
        <v>100</v>
      </c>
      <c r="X21" s="1348"/>
      <c r="Y21" s="363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37"/>
      <c r="Q22" s="1345"/>
      <c r="R22" s="709"/>
      <c r="S22" s="710"/>
      <c r="T22" s="709"/>
      <c r="U22" s="710"/>
      <c r="V22" s="709"/>
      <c r="W22" s="710"/>
      <c r="X22" s="1348"/>
      <c r="Y22" s="3630"/>
      <c r="Z22" s="1349"/>
      <c r="AA22" s="1346">
        <v>1</v>
      </c>
      <c r="AB22" s="1346">
        <v>1</v>
      </c>
      <c r="AC22" s="1346">
        <v>1</v>
      </c>
    </row>
    <row r="23" spans="1:29" ht="55.2">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37"/>
      <c r="Q23" s="1345" t="str">
        <f>B23</f>
        <v>自然及人文环境</v>
      </c>
      <c r="R23" s="709" t="s">
        <v>17</v>
      </c>
      <c r="S23" s="710">
        <f>F23</f>
        <v>100</v>
      </c>
      <c r="T23" s="709" t="s">
        <v>17</v>
      </c>
      <c r="U23" s="710">
        <f>H23</f>
        <v>100</v>
      </c>
      <c r="V23" s="709" t="s">
        <v>17</v>
      </c>
      <c r="W23" s="710">
        <f>J23</f>
        <v>100</v>
      </c>
      <c r="X23" s="1348"/>
      <c r="Y23" s="3630"/>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37"/>
      <c r="Q24" s="1345"/>
      <c r="R24" s="709"/>
      <c r="S24" s="710"/>
      <c r="T24" s="709"/>
      <c r="U24" s="710"/>
      <c r="V24" s="709"/>
      <c r="W24" s="710"/>
      <c r="X24" s="1348"/>
      <c r="Y24" s="3630"/>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37"/>
      <c r="Q25" s="1345" t="str">
        <f t="shared" ref="Q25:Q46" si="11">B25</f>
        <v>临街状况</v>
      </c>
      <c r="R25" s="709" t="s">
        <v>17</v>
      </c>
      <c r="S25" s="710">
        <f>F25</f>
        <v>100</v>
      </c>
      <c r="T25" s="709" t="s">
        <v>17</v>
      </c>
      <c r="U25" s="710">
        <f>H25</f>
        <v>100</v>
      </c>
      <c r="V25" s="709" t="s">
        <v>17</v>
      </c>
      <c r="W25" s="710">
        <f>J25</f>
        <v>100</v>
      </c>
      <c r="X25" s="1348"/>
      <c r="Y25" s="3630"/>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37"/>
      <c r="Q26" s="1345" t="str">
        <f t="shared" si="11"/>
        <v>平面位置/可视性</v>
      </c>
      <c r="R26" s="709" t="s">
        <v>17</v>
      </c>
      <c r="S26" s="710">
        <f>F26</f>
        <v>100</v>
      </c>
      <c r="T26" s="709" t="s">
        <v>17</v>
      </c>
      <c r="U26" s="710">
        <f>H26</f>
        <v>100</v>
      </c>
      <c r="V26" s="709" t="s">
        <v>17</v>
      </c>
      <c r="W26" s="710">
        <f>J26</f>
        <v>100</v>
      </c>
      <c r="X26" s="1348"/>
      <c r="Y26" s="3630"/>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37"/>
      <c r="Q27" s="1338" t="str">
        <f t="shared" si="11"/>
        <v>人流量</v>
      </c>
      <c r="R27" s="705" t="s">
        <v>17</v>
      </c>
      <c r="S27" s="706">
        <f>F27</f>
        <v>100</v>
      </c>
      <c r="T27" s="705" t="s">
        <v>17</v>
      </c>
      <c r="U27" s="706">
        <f>H27</f>
        <v>100</v>
      </c>
      <c r="V27" s="705" t="s">
        <v>17</v>
      </c>
      <c r="W27" s="706">
        <f>J27</f>
        <v>100</v>
      </c>
      <c r="X27" s="707"/>
      <c r="Y27" s="3630"/>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37"/>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30"/>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37"/>
      <c r="Q29" s="1345">
        <f t="shared" si="11"/>
        <v>111</v>
      </c>
      <c r="R29" s="709" t="s">
        <v>17</v>
      </c>
      <c r="S29" s="710">
        <f t="shared" si="12"/>
        <v>100</v>
      </c>
      <c r="T29" s="709" t="s">
        <v>17</v>
      </c>
      <c r="U29" s="710">
        <f t="shared" si="13"/>
        <v>100</v>
      </c>
      <c r="V29" s="709" t="s">
        <v>17</v>
      </c>
      <c r="W29" s="710">
        <f t="shared" si="14"/>
        <v>100</v>
      </c>
      <c r="X29" s="1348"/>
      <c r="Y29" s="3630"/>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37"/>
      <c r="Q30" s="1345">
        <f t="shared" si="11"/>
        <v>111</v>
      </c>
      <c r="R30" s="709" t="s">
        <v>17</v>
      </c>
      <c r="S30" s="710">
        <f t="shared" si="12"/>
        <v>100</v>
      </c>
      <c r="T30" s="709" t="s">
        <v>17</v>
      </c>
      <c r="U30" s="710">
        <f t="shared" si="13"/>
        <v>100</v>
      </c>
      <c r="V30" s="709" t="s">
        <v>17</v>
      </c>
      <c r="W30" s="710">
        <f t="shared" si="14"/>
        <v>100</v>
      </c>
      <c r="X30" s="1348"/>
      <c r="Y30" s="3630"/>
      <c r="Z30" s="1349">
        <f t="shared" si="15"/>
        <v>111</v>
      </c>
      <c r="AA30" s="1346">
        <f t="shared" si="3"/>
        <v>1</v>
      </c>
      <c r="AB30" s="1346">
        <f t="shared" si="4"/>
        <v>1</v>
      </c>
      <c r="AC30" s="1346">
        <f t="shared" si="5"/>
        <v>1</v>
      </c>
    </row>
    <row r="31" spans="1:29" ht="15.6"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37"/>
      <c r="Q31" s="1345">
        <f t="shared" si="11"/>
        <v>111</v>
      </c>
      <c r="R31" s="709" t="s">
        <v>17</v>
      </c>
      <c r="S31" s="710">
        <f t="shared" si="12"/>
        <v>100</v>
      </c>
      <c r="T31" s="709" t="s">
        <v>17</v>
      </c>
      <c r="U31" s="710">
        <f t="shared" si="13"/>
        <v>100</v>
      </c>
      <c r="V31" s="709" t="s">
        <v>17</v>
      </c>
      <c r="W31" s="710">
        <f t="shared" si="14"/>
        <v>100</v>
      </c>
      <c r="X31" s="1348"/>
      <c r="Y31" s="3630"/>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631" t="s">
        <v>1950</v>
      </c>
      <c r="Q32" s="1345" t="str">
        <f t="shared" si="11"/>
        <v>商业类型</v>
      </c>
      <c r="R32" s="709" t="s">
        <v>17</v>
      </c>
      <c r="S32" s="710">
        <f t="shared" si="12"/>
        <v>100</v>
      </c>
      <c r="T32" s="709" t="s">
        <v>17</v>
      </c>
      <c r="U32" s="710">
        <f t="shared" si="13"/>
        <v>100</v>
      </c>
      <c r="V32" s="709" t="s">
        <v>17</v>
      </c>
      <c r="W32" s="710">
        <f t="shared" si="14"/>
        <v>100</v>
      </c>
      <c r="X32" s="1348"/>
      <c r="Y32" s="3634"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632"/>
      <c r="Q33" s="711" t="str">
        <f t="shared" si="11"/>
        <v>项目建筑规模</v>
      </c>
      <c r="R33" s="712" t="s">
        <v>17</v>
      </c>
      <c r="S33" s="713" t="e">
        <f t="shared" si="12"/>
        <v>#N/A</v>
      </c>
      <c r="T33" s="712" t="s">
        <v>17</v>
      </c>
      <c r="U33" s="713" t="e">
        <f t="shared" si="13"/>
        <v>#N/A</v>
      </c>
      <c r="V33" s="712" t="s">
        <v>17</v>
      </c>
      <c r="W33" s="713" t="e">
        <f t="shared" si="14"/>
        <v>#N/A</v>
      </c>
      <c r="X33" s="714"/>
      <c r="Y33" s="3634"/>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632"/>
      <c r="Q34" s="1345" t="str">
        <f t="shared" si="11"/>
        <v>建筑结构</v>
      </c>
      <c r="R34" s="709" t="s">
        <v>17</v>
      </c>
      <c r="S34" s="710">
        <f t="shared" si="12"/>
        <v>100</v>
      </c>
      <c r="T34" s="709" t="s">
        <v>17</v>
      </c>
      <c r="U34" s="710">
        <f t="shared" si="13"/>
        <v>100</v>
      </c>
      <c r="V34" s="709" t="s">
        <v>17</v>
      </c>
      <c r="W34" s="710">
        <f t="shared" si="14"/>
        <v>100</v>
      </c>
      <c r="X34" s="1348"/>
      <c r="Y34" s="3634"/>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632"/>
      <c r="Q35" s="1345" t="str">
        <f t="shared" si="11"/>
        <v>公共部分装修</v>
      </c>
      <c r="R35" s="709" t="s">
        <v>17</v>
      </c>
      <c r="S35" s="710">
        <f t="shared" si="12"/>
        <v>100</v>
      </c>
      <c r="T35" s="709" t="s">
        <v>17</v>
      </c>
      <c r="U35" s="710">
        <f t="shared" si="13"/>
        <v>100</v>
      </c>
      <c r="V35" s="709" t="s">
        <v>17</v>
      </c>
      <c r="W35" s="710">
        <f t="shared" si="14"/>
        <v>100</v>
      </c>
      <c r="X35" s="1348"/>
      <c r="Y35" s="3634"/>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632"/>
      <c r="Q36" s="1345" t="str">
        <f t="shared" si="11"/>
        <v>成新度</v>
      </c>
      <c r="R36" s="709" t="s">
        <v>17</v>
      </c>
      <c r="S36" s="710" t="e">
        <f t="shared" si="12"/>
        <v>#N/A</v>
      </c>
      <c r="T36" s="709" t="s">
        <v>17</v>
      </c>
      <c r="U36" s="710" t="e">
        <f t="shared" si="13"/>
        <v>#N/A</v>
      </c>
      <c r="V36" s="709" t="s">
        <v>17</v>
      </c>
      <c r="W36" s="710" t="e">
        <f t="shared" si="14"/>
        <v>#N/A</v>
      </c>
      <c r="X36" s="1348"/>
      <c r="Y36" s="3634"/>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632"/>
      <c r="Q37" s="1338" t="str">
        <f t="shared" si="11"/>
        <v>市政基础设施</v>
      </c>
      <c r="R37" s="705" t="s">
        <v>17</v>
      </c>
      <c r="S37" s="706">
        <f t="shared" si="12"/>
        <v>100</v>
      </c>
      <c r="T37" s="705" t="s">
        <v>17</v>
      </c>
      <c r="U37" s="706">
        <f t="shared" si="13"/>
        <v>100</v>
      </c>
      <c r="V37" s="705" t="s">
        <v>17</v>
      </c>
      <c r="W37" s="706">
        <f t="shared" si="14"/>
        <v>100</v>
      </c>
      <c r="X37" s="707"/>
      <c r="Y37" s="3634"/>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632" t="s">
        <v>1950</v>
      </c>
      <c r="Q38" s="1345" t="str">
        <f t="shared" si="11"/>
        <v>业态</v>
      </c>
      <c r="R38" s="709" t="s">
        <v>17</v>
      </c>
      <c r="S38" s="710">
        <f t="shared" si="12"/>
        <v>100</v>
      </c>
      <c r="T38" s="709" t="s">
        <v>17</v>
      </c>
      <c r="U38" s="710">
        <f t="shared" si="13"/>
        <v>100</v>
      </c>
      <c r="V38" s="709" t="s">
        <v>17</v>
      </c>
      <c r="W38" s="710">
        <f t="shared" si="14"/>
        <v>100</v>
      </c>
      <c r="X38" s="1348"/>
      <c r="Y38" s="3634"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632"/>
      <c r="Q39" s="1345" t="str">
        <f t="shared" si="11"/>
        <v>层高</v>
      </c>
      <c r="R39" s="709" t="s">
        <v>17</v>
      </c>
      <c r="S39" s="710">
        <f t="shared" si="12"/>
        <v>100</v>
      </c>
      <c r="T39" s="709" t="s">
        <v>17</v>
      </c>
      <c r="U39" s="710">
        <f t="shared" si="13"/>
        <v>100</v>
      </c>
      <c r="V39" s="709" t="s">
        <v>17</v>
      </c>
      <c r="W39" s="710">
        <f t="shared" si="14"/>
        <v>100</v>
      </c>
      <c r="X39" s="1348"/>
      <c r="Y39" s="3634"/>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632"/>
      <c r="Q40" s="1345" t="str">
        <f t="shared" si="11"/>
        <v>单套建筑面积</v>
      </c>
      <c r="R40" s="709" t="s">
        <v>17</v>
      </c>
      <c r="S40" s="710">
        <f t="shared" si="12"/>
        <v>100</v>
      </c>
      <c r="T40" s="709" t="s">
        <v>17</v>
      </c>
      <c r="U40" s="710">
        <f t="shared" si="13"/>
        <v>100</v>
      </c>
      <c r="V40" s="709" t="s">
        <v>17</v>
      </c>
      <c r="W40" s="710">
        <f t="shared" si="14"/>
        <v>100</v>
      </c>
      <c r="X40" s="1348"/>
      <c r="Y40" s="3634"/>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632"/>
      <c r="Q41" s="711" t="str">
        <f t="shared" si="11"/>
        <v>进深比</v>
      </c>
      <c r="R41" s="712" t="s">
        <v>17</v>
      </c>
      <c r="S41" s="713">
        <f t="shared" si="12"/>
        <v>100</v>
      </c>
      <c r="T41" s="712" t="s">
        <v>17</v>
      </c>
      <c r="U41" s="713">
        <f t="shared" si="13"/>
        <v>100</v>
      </c>
      <c r="V41" s="712" t="s">
        <v>17</v>
      </c>
      <c r="W41" s="713">
        <f t="shared" si="14"/>
        <v>100</v>
      </c>
      <c r="X41" s="714"/>
      <c r="Y41" s="3634"/>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632"/>
      <c r="Q42" s="1345" t="str">
        <f t="shared" si="11"/>
        <v>内部装修</v>
      </c>
      <c r="R42" s="709" t="s">
        <v>17</v>
      </c>
      <c r="S42" s="710">
        <f t="shared" si="12"/>
        <v>100</v>
      </c>
      <c r="T42" s="709" t="s">
        <v>17</v>
      </c>
      <c r="U42" s="710">
        <f t="shared" si="13"/>
        <v>100</v>
      </c>
      <c r="V42" s="709" t="s">
        <v>17</v>
      </c>
      <c r="W42" s="710">
        <f t="shared" si="14"/>
        <v>100</v>
      </c>
      <c r="X42" s="1348"/>
      <c r="Y42" s="3634"/>
      <c r="Z42" s="1349" t="str">
        <f t="shared" si="15"/>
        <v>内部装修</v>
      </c>
      <c r="AA42" s="1346">
        <f t="shared" si="3"/>
        <v>1</v>
      </c>
      <c r="AB42" s="1346">
        <f t="shared" si="4"/>
        <v>1</v>
      </c>
      <c r="AC42" s="1346">
        <f t="shared" si="5"/>
        <v>1</v>
      </c>
    </row>
    <row r="43" spans="1:29" ht="28.8">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632"/>
      <c r="Q43" s="1345" t="str">
        <f t="shared" si="11"/>
        <v>内部装修维护情况</v>
      </c>
      <c r="R43" s="709" t="s">
        <v>17</v>
      </c>
      <c r="S43" s="710">
        <f t="shared" si="12"/>
        <v>100</v>
      </c>
      <c r="T43" s="709" t="s">
        <v>17</v>
      </c>
      <c r="U43" s="710">
        <f t="shared" si="13"/>
        <v>100</v>
      </c>
      <c r="V43" s="709" t="s">
        <v>17</v>
      </c>
      <c r="W43" s="710">
        <f t="shared" si="14"/>
        <v>100</v>
      </c>
      <c r="X43" s="1348"/>
      <c r="Y43" s="3634"/>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632"/>
      <c r="Q44" s="1338">
        <f t="shared" si="11"/>
        <v>111</v>
      </c>
      <c r="R44" s="705" t="s">
        <v>17</v>
      </c>
      <c r="S44" s="706">
        <f t="shared" si="12"/>
        <v>100</v>
      </c>
      <c r="T44" s="705" t="s">
        <v>17</v>
      </c>
      <c r="U44" s="706">
        <f t="shared" si="13"/>
        <v>100</v>
      </c>
      <c r="V44" s="705" t="s">
        <v>17</v>
      </c>
      <c r="W44" s="706">
        <f t="shared" si="14"/>
        <v>100</v>
      </c>
      <c r="X44" s="707"/>
      <c r="Y44" s="3634"/>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632"/>
      <c r="Q45" s="1345">
        <f t="shared" si="11"/>
        <v>111</v>
      </c>
      <c r="R45" s="709" t="s">
        <v>17</v>
      </c>
      <c r="S45" s="710">
        <f t="shared" si="12"/>
        <v>100</v>
      </c>
      <c r="T45" s="709" t="s">
        <v>17</v>
      </c>
      <c r="U45" s="710">
        <f t="shared" si="13"/>
        <v>100</v>
      </c>
      <c r="V45" s="709" t="s">
        <v>17</v>
      </c>
      <c r="W45" s="710">
        <f t="shared" si="14"/>
        <v>100</v>
      </c>
      <c r="X45" s="1348"/>
      <c r="Y45" s="3634"/>
      <c r="Z45" s="1349">
        <f t="shared" si="15"/>
        <v>111</v>
      </c>
      <c r="AA45" s="1346">
        <f t="shared" si="3"/>
        <v>1</v>
      </c>
      <c r="AB45" s="1346">
        <f t="shared" si="4"/>
        <v>1</v>
      </c>
      <c r="AC45" s="1346">
        <f t="shared" si="5"/>
        <v>1</v>
      </c>
    </row>
    <row r="46" spans="1:29" ht="15.6"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633"/>
      <c r="Q46" s="1345">
        <f t="shared" si="11"/>
        <v>111</v>
      </c>
      <c r="R46" s="709" t="s">
        <v>17</v>
      </c>
      <c r="S46" s="710">
        <f t="shared" si="12"/>
        <v>100</v>
      </c>
      <c r="T46" s="709" t="s">
        <v>17</v>
      </c>
      <c r="U46" s="710">
        <f t="shared" si="13"/>
        <v>100</v>
      </c>
      <c r="V46" s="709" t="s">
        <v>17</v>
      </c>
      <c r="W46" s="710">
        <f t="shared" si="14"/>
        <v>100</v>
      </c>
      <c r="X46" s="1348"/>
      <c r="Y46" s="3635"/>
      <c r="Z46" s="1349">
        <f t="shared" si="15"/>
        <v>111</v>
      </c>
      <c r="AA46" s="1346">
        <f t="shared" si="3"/>
        <v>1</v>
      </c>
      <c r="AB46" s="1346">
        <f t="shared" si="4"/>
        <v>1</v>
      </c>
      <c r="AC46" s="1346">
        <f t="shared" si="5"/>
        <v>1</v>
      </c>
    </row>
    <row r="47" spans="1:29" ht="14.4">
      <c r="A47" s="434" t="s">
        <v>1962</v>
      </c>
      <c r="B47" s="435"/>
      <c r="C47" s="1160" t="s">
        <v>1</v>
      </c>
      <c r="D47" s="1161"/>
      <c r="E47" s="1162"/>
      <c r="F47" s="1163"/>
      <c r="G47" s="1164"/>
      <c r="H47" s="1165"/>
      <c r="I47" s="1162"/>
      <c r="J47" s="1165"/>
      <c r="K47" s="718"/>
      <c r="L47" s="2551"/>
      <c r="M47" s="2552"/>
      <c r="N47" s="2543"/>
      <c r="O47" s="2552"/>
      <c r="P47" s="3627" t="str">
        <f>A47</f>
        <v>成交单价（元/平方米）</v>
      </c>
      <c r="Q47" s="3627"/>
      <c r="R47" s="3622">
        <f>E47</f>
        <v>0</v>
      </c>
      <c r="S47" s="3622"/>
      <c r="T47" s="3622">
        <f>G47</f>
        <v>0</v>
      </c>
      <c r="U47" s="3622"/>
      <c r="V47" s="3622">
        <f>I47</f>
        <v>0</v>
      </c>
      <c r="W47" s="3622"/>
      <c r="X47" s="694"/>
      <c r="Y47" s="716"/>
      <c r="Z47" s="694"/>
      <c r="AA47" s="694"/>
      <c r="AB47" s="694"/>
      <c r="AC47" s="694"/>
    </row>
    <row r="48" spans="1:29" ht="1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627" t="str">
        <f>A48</f>
        <v>比较价值（元/平方米）</v>
      </c>
      <c r="Q48" s="3627"/>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694"/>
      <c r="Y48" s="694"/>
      <c r="Z48" s="694"/>
      <c r="AA48" s="694"/>
      <c r="AB48" s="694"/>
      <c r="AC48" s="694"/>
    </row>
    <row r="49" spans="1:29" ht="15" thickBot="1">
      <c r="A49" s="445" t="s">
        <v>2055</v>
      </c>
      <c r="B49" s="446"/>
      <c r="C49" s="1169" t="e">
        <f>R49</f>
        <v>#DIV/0!</v>
      </c>
      <c r="D49" s="1169"/>
      <c r="E49" s="1169"/>
      <c r="F49" s="1169"/>
      <c r="G49" s="1169"/>
      <c r="H49" s="1169"/>
      <c r="I49" s="1169"/>
      <c r="J49" s="1169"/>
      <c r="K49" s="719"/>
      <c r="L49" s="2551"/>
      <c r="M49" s="2552"/>
      <c r="N49" s="2543"/>
      <c r="O49" s="2552"/>
      <c r="P49" s="3624" t="str">
        <f>A49</f>
        <v>估价对象XX用房的比较价值（楼面单价，元/平方米）</v>
      </c>
      <c r="Q49" s="3625"/>
      <c r="R49" s="3626" t="e">
        <f>IF(F1="售价",ROUND(IF(D48="简单平均",AVERAGE(R48:V48),R48*F48+T48*H48+V48*J48),0),ROUND(IF(D48="简单平均",AVERAGE(R48:V48),R48*F48+T48*H48+V48*J48),1))</f>
        <v>#DIV/0!</v>
      </c>
      <c r="S49" s="3626"/>
      <c r="T49" s="3626"/>
      <c r="U49" s="3626"/>
      <c r="V49" s="3626"/>
      <c r="W49" s="3626"/>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2.2"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4.4">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4.4">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4.4"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ht="14.4">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4.4"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9.4"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4.4"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4.4"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4.4"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4.4"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4.4"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4.4"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4.4"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4.4"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ht="14.4">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4.4"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4.4"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4.4"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4.4"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4.4"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4.4"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4.4"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4.4"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4.4"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4.4"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4.4"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4.4"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4.4"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4.4"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4.4"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4.4"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4.4"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4.4"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ht="14.4">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4.4"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4.4"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4.4"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4.4"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4.4"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4.4"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4.4"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4.4"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4.4"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4.4"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4.4"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29.4"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4.4"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4.4"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4.4"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4.4"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4.4"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4.4"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4.4"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59" customWidth="1"/>
    <col min="2" max="2" width="15.77734375" style="359" customWidth="1"/>
    <col min="3" max="3" width="15.66406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916"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4.4">
      <c r="A4" s="357" t="s">
        <v>2030</v>
      </c>
      <c r="B4" s="358"/>
      <c r="C4" s="3610" t="s">
        <v>2031</v>
      </c>
      <c r="D4" s="3611"/>
      <c r="E4" s="3612" t="s">
        <v>2032</v>
      </c>
      <c r="F4" s="3613"/>
      <c r="G4" s="3610" t="s">
        <v>2033</v>
      </c>
      <c r="H4" s="3611"/>
      <c r="I4" s="3610" t="s">
        <v>2034</v>
      </c>
      <c r="J4" s="3611"/>
      <c r="K4" s="563" t="s">
        <v>2035</v>
      </c>
      <c r="L4" s="2542"/>
      <c r="M4" s="2543"/>
      <c r="N4" s="2543"/>
      <c r="O4" s="2543"/>
      <c r="P4" s="3644" t="s">
        <v>2036</v>
      </c>
      <c r="Q4" s="3645"/>
      <c r="R4" s="3639" t="s">
        <v>2032</v>
      </c>
      <c r="S4" s="3640"/>
      <c r="T4" s="3639" t="s">
        <v>2033</v>
      </c>
      <c r="U4" s="3640"/>
      <c r="V4" s="3648" t="s">
        <v>2034</v>
      </c>
      <c r="W4" s="3648"/>
      <c r="X4" s="1952"/>
      <c r="Y4" s="3639" t="s">
        <v>2036</v>
      </c>
      <c r="Z4" s="3640"/>
      <c r="AA4" s="3638" t="s">
        <v>2032</v>
      </c>
      <c r="AB4" s="3638" t="s">
        <v>2033</v>
      </c>
      <c r="AC4" s="3641" t="s">
        <v>2034</v>
      </c>
    </row>
    <row r="5" spans="1:29">
      <c r="A5" s="360"/>
      <c r="B5" s="361"/>
      <c r="C5" s="3603" t="s">
        <v>1927</v>
      </c>
      <c r="D5" s="3604"/>
      <c r="E5" s="3601" t="s">
        <v>1928</v>
      </c>
      <c r="F5" s="3602"/>
      <c r="G5" s="3603" t="s">
        <v>1929</v>
      </c>
      <c r="H5" s="3604"/>
      <c r="I5" s="3603" t="s">
        <v>1930</v>
      </c>
      <c r="J5" s="3604"/>
      <c r="K5" s="563"/>
      <c r="L5" s="2542"/>
      <c r="M5" s="2543"/>
      <c r="N5" s="2543"/>
      <c r="O5" s="2543"/>
      <c r="P5" s="3646"/>
      <c r="Q5" s="3617"/>
      <c r="R5" s="3599"/>
      <c r="S5" s="3600"/>
      <c r="T5" s="3599"/>
      <c r="U5" s="3600"/>
      <c r="V5" s="3622"/>
      <c r="W5" s="3622"/>
      <c r="X5" s="1348"/>
      <c r="Y5" s="3599"/>
      <c r="Z5" s="3600"/>
      <c r="AA5" s="3593"/>
      <c r="AB5" s="3593"/>
      <c r="AC5" s="3642"/>
    </row>
    <row r="6" spans="1:29" ht="15" thickBot="1">
      <c r="A6" s="362"/>
      <c r="B6" s="363"/>
      <c r="C6" s="3605" t="s">
        <v>1931</v>
      </c>
      <c r="D6" s="3606"/>
      <c r="E6" s="3607" t="s">
        <v>1931</v>
      </c>
      <c r="F6" s="3608"/>
      <c r="G6" s="3605" t="s">
        <v>1931</v>
      </c>
      <c r="H6" s="3606"/>
      <c r="I6" s="3605" t="s">
        <v>1931</v>
      </c>
      <c r="J6" s="3606"/>
      <c r="K6" s="563" t="s">
        <v>1932</v>
      </c>
      <c r="L6" s="2542"/>
      <c r="M6" s="2543"/>
      <c r="N6" s="2543"/>
      <c r="O6" s="2543"/>
      <c r="P6" s="3647"/>
      <c r="Q6" s="3619"/>
      <c r="R6" s="3599"/>
      <c r="S6" s="3600"/>
      <c r="T6" s="3620"/>
      <c r="U6" s="3621"/>
      <c r="V6" s="3622"/>
      <c r="W6" s="3622"/>
      <c r="X6" s="1348"/>
      <c r="Y6" s="3620"/>
      <c r="Z6" s="3621"/>
      <c r="AA6" s="3594"/>
      <c r="AB6" s="3594"/>
      <c r="AC6" s="3643"/>
    </row>
    <row r="7" spans="1:29" s="112" customFormat="1" ht="15" thickBot="1">
      <c r="A7" s="364" t="s">
        <v>1933</v>
      </c>
      <c r="B7" s="365"/>
      <c r="C7" s="366">
        <f>'数据-取费表'!B2</f>
        <v>44680</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9"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1953" t="e">
        <f>D7/J7</f>
        <v>#DIV/0!</v>
      </c>
    </row>
    <row r="8" spans="1:29" s="112" customFormat="1" ht="1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9" t="s">
        <v>1937</v>
      </c>
      <c r="Q8" s="3596"/>
      <c r="R8" s="705" t="s">
        <v>17</v>
      </c>
      <c r="S8" s="706">
        <f t="shared" si="0"/>
        <v>0</v>
      </c>
      <c r="T8" s="705" t="s">
        <v>17</v>
      </c>
      <c r="U8" s="706">
        <f t="shared" si="1"/>
        <v>0</v>
      </c>
      <c r="V8" s="705" t="s">
        <v>17</v>
      </c>
      <c r="W8" s="706">
        <f t="shared" si="2"/>
        <v>0</v>
      </c>
      <c r="X8" s="707"/>
      <c r="Y8" s="3595" t="s">
        <v>1937</v>
      </c>
      <c r="Z8" s="3596"/>
      <c r="AA8" s="708" t="e">
        <f t="shared" ref="AA8:AA47" si="3">D8/F8</f>
        <v>#DIV/0!</v>
      </c>
      <c r="AB8" s="708" t="e">
        <f t="shared" ref="AB8:AB47" si="4">D8/H8</f>
        <v>#DIV/0!</v>
      </c>
      <c r="AC8" s="1953" t="e">
        <f t="shared" ref="AC8:AC47" si="5">D8/J8</f>
        <v>#DIV/0!</v>
      </c>
    </row>
    <row r="9" spans="1:29" s="112" customFormat="1" ht="14.4">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9"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1953">
        <f t="shared" si="5"/>
        <v>1</v>
      </c>
    </row>
    <row r="10" spans="1:29" s="382" customFormat="1" ht="28.8">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9"/>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9"/>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9"/>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9"/>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1953">
        <f t="shared" si="5"/>
        <v>1</v>
      </c>
    </row>
    <row r="14" spans="1:29" ht="15.6"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9"/>
      <c r="Q14" s="1338">
        <f t="shared" si="6"/>
        <v>111</v>
      </c>
      <c r="R14" s="705" t="s">
        <v>17</v>
      </c>
      <c r="S14" s="706">
        <f t="shared" si="0"/>
        <v>100</v>
      </c>
      <c r="T14" s="705" t="s">
        <v>17</v>
      </c>
      <c r="U14" s="706">
        <f t="shared" si="1"/>
        <v>100</v>
      </c>
      <c r="V14" s="705" t="s">
        <v>17</v>
      </c>
      <c r="W14" s="706">
        <f t="shared" si="2"/>
        <v>100</v>
      </c>
      <c r="X14" s="707"/>
      <c r="Y14" s="3539"/>
      <c r="Z14" s="54">
        <f t="shared" si="7"/>
        <v>111</v>
      </c>
      <c r="AA14" s="708">
        <f t="shared" si="3"/>
        <v>1</v>
      </c>
      <c r="AB14" s="708">
        <f t="shared" si="4"/>
        <v>1</v>
      </c>
      <c r="AC14" s="1953">
        <f t="shared" si="5"/>
        <v>1</v>
      </c>
    </row>
    <row r="15" spans="1:29" ht="69">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36" t="s">
        <v>1945</v>
      </c>
      <c r="Q15" s="1345" t="str">
        <f t="shared" si="6"/>
        <v>办公集聚程度</v>
      </c>
      <c r="R15" s="709" t="s">
        <v>17</v>
      </c>
      <c r="S15" s="710">
        <f t="shared" si="0"/>
        <v>100</v>
      </c>
      <c r="T15" s="709" t="s">
        <v>17</v>
      </c>
      <c r="U15" s="710">
        <f t="shared" si="1"/>
        <v>100</v>
      </c>
      <c r="V15" s="709" t="s">
        <v>17</v>
      </c>
      <c r="W15" s="710">
        <f t="shared" si="2"/>
        <v>100</v>
      </c>
      <c r="X15" s="1348"/>
      <c r="Y15" s="3629"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37"/>
      <c r="Q16" s="1345"/>
      <c r="R16" s="709"/>
      <c r="S16" s="710"/>
      <c r="T16" s="709"/>
      <c r="U16" s="710"/>
      <c r="V16" s="709"/>
      <c r="W16" s="710"/>
      <c r="X16" s="1348"/>
      <c r="Y16" s="3630"/>
      <c r="Z16" s="1349"/>
      <c r="AA16" s="1346">
        <v>1</v>
      </c>
      <c r="AB16" s="1346">
        <v>1</v>
      </c>
      <c r="AC16" s="1956">
        <v>1</v>
      </c>
    </row>
    <row r="17" spans="1:29" ht="82.8">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37"/>
      <c r="Q17" s="1345" t="str">
        <f>B17</f>
        <v>交通便捷度</v>
      </c>
      <c r="R17" s="709" t="s">
        <v>17</v>
      </c>
      <c r="S17" s="710">
        <f>F17</f>
        <v>100</v>
      </c>
      <c r="T17" s="709" t="s">
        <v>17</v>
      </c>
      <c r="U17" s="710">
        <f>H17</f>
        <v>100</v>
      </c>
      <c r="V17" s="709" t="s">
        <v>17</v>
      </c>
      <c r="W17" s="710">
        <f>J17</f>
        <v>100</v>
      </c>
      <c r="X17" s="1348"/>
      <c r="Y17" s="3630"/>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37"/>
      <c r="Q18" s="1345"/>
      <c r="R18" s="709"/>
      <c r="S18" s="710"/>
      <c r="T18" s="709"/>
      <c r="U18" s="710"/>
      <c r="V18" s="709"/>
      <c r="W18" s="710"/>
      <c r="X18" s="1348"/>
      <c r="Y18" s="3630"/>
      <c r="Z18" s="1349"/>
      <c r="AA18" s="1346">
        <v>1</v>
      </c>
      <c r="AB18" s="1346">
        <v>1</v>
      </c>
      <c r="AC18" s="1956">
        <v>1</v>
      </c>
    </row>
    <row r="19" spans="1:29" ht="41.4">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37"/>
      <c r="Q19" s="1345" t="str">
        <f>B19</f>
        <v>公共配套设施</v>
      </c>
      <c r="R19" s="709" t="s">
        <v>17</v>
      </c>
      <c r="S19" s="710">
        <f>F19</f>
        <v>100</v>
      </c>
      <c r="T19" s="709" t="s">
        <v>17</v>
      </c>
      <c r="U19" s="710">
        <f>H19</f>
        <v>100</v>
      </c>
      <c r="V19" s="709" t="s">
        <v>17</v>
      </c>
      <c r="W19" s="710">
        <f>J19</f>
        <v>100</v>
      </c>
      <c r="X19" s="1348"/>
      <c r="Y19" s="3630"/>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37"/>
      <c r="Q20" s="1345"/>
      <c r="R20" s="709"/>
      <c r="S20" s="710"/>
      <c r="T20" s="709"/>
      <c r="U20" s="710"/>
      <c r="V20" s="709"/>
      <c r="W20" s="710"/>
      <c r="X20" s="1348"/>
      <c r="Y20" s="3630"/>
      <c r="Z20" s="1349"/>
      <c r="AA20" s="1346">
        <v>1</v>
      </c>
      <c r="AB20" s="1346">
        <v>1</v>
      </c>
      <c r="AC20" s="1956">
        <v>1</v>
      </c>
    </row>
    <row r="21" spans="1:29" ht="27.6">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37"/>
      <c r="Q21" s="1345" t="str">
        <f>B21</f>
        <v>基础设施水平</v>
      </c>
      <c r="R21" s="709" t="s">
        <v>17</v>
      </c>
      <c r="S21" s="710">
        <f>F21</f>
        <v>100</v>
      </c>
      <c r="T21" s="709" t="s">
        <v>17</v>
      </c>
      <c r="U21" s="710">
        <f>H21</f>
        <v>100</v>
      </c>
      <c r="V21" s="709" t="s">
        <v>17</v>
      </c>
      <c r="W21" s="710">
        <f>J21</f>
        <v>100</v>
      </c>
      <c r="X21" s="1348"/>
      <c r="Y21" s="3630"/>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37"/>
      <c r="Q22" s="1345"/>
      <c r="R22" s="709"/>
      <c r="S22" s="710"/>
      <c r="T22" s="709"/>
      <c r="U22" s="710"/>
      <c r="V22" s="709"/>
      <c r="W22" s="710"/>
      <c r="X22" s="1348"/>
      <c r="Y22" s="3630"/>
      <c r="Z22" s="1349"/>
      <c r="AA22" s="1346">
        <v>1</v>
      </c>
      <c r="AB22" s="1346">
        <v>1</v>
      </c>
      <c r="AC22" s="1956">
        <v>1</v>
      </c>
    </row>
    <row r="23" spans="1:29" ht="55.2">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37"/>
      <c r="Q23" s="1345" t="str">
        <f>B23</f>
        <v>环境质量</v>
      </c>
      <c r="R23" s="709" t="s">
        <v>17</v>
      </c>
      <c r="S23" s="710">
        <f>F23</f>
        <v>100</v>
      </c>
      <c r="T23" s="709" t="s">
        <v>17</v>
      </c>
      <c r="U23" s="710">
        <f>H23</f>
        <v>100</v>
      </c>
      <c r="V23" s="709" t="s">
        <v>17</v>
      </c>
      <c r="W23" s="710">
        <f>J23</f>
        <v>100</v>
      </c>
      <c r="X23" s="1348"/>
      <c r="Y23" s="3630"/>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37"/>
      <c r="Q24" s="1345"/>
      <c r="R24" s="709"/>
      <c r="S24" s="710"/>
      <c r="T24" s="709"/>
      <c r="U24" s="710"/>
      <c r="V24" s="709"/>
      <c r="W24" s="710"/>
      <c r="X24" s="1348"/>
      <c r="Y24" s="3630"/>
      <c r="Z24" s="1349"/>
      <c r="AA24" s="1346">
        <v>1</v>
      </c>
      <c r="AB24" s="1346">
        <v>1</v>
      </c>
      <c r="AC24" s="1956">
        <v>1</v>
      </c>
    </row>
    <row r="25" spans="1:29" ht="28.8">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37"/>
      <c r="Q25" s="1345" t="str">
        <f>B25</f>
        <v>毗邻道路的类型与等级</v>
      </c>
      <c r="R25" s="709" t="s">
        <v>17</v>
      </c>
      <c r="S25" s="710">
        <f>F25</f>
        <v>100</v>
      </c>
      <c r="T25" s="709" t="s">
        <v>17</v>
      </c>
      <c r="U25" s="710">
        <f>H25</f>
        <v>100</v>
      </c>
      <c r="V25" s="709" t="s">
        <v>17</v>
      </c>
      <c r="W25" s="710">
        <f>J25</f>
        <v>100</v>
      </c>
      <c r="X25" s="1348"/>
      <c r="Y25" s="3630"/>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37"/>
      <c r="Q26" s="1345"/>
      <c r="R26" s="709"/>
      <c r="S26" s="710"/>
      <c r="T26" s="709"/>
      <c r="U26" s="710"/>
      <c r="V26" s="709"/>
      <c r="W26" s="710"/>
      <c r="X26" s="1348"/>
      <c r="Y26" s="3630"/>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37"/>
      <c r="Q27" s="1345" t="str">
        <f t="shared" ref="Q27:Q47" si="11">B27</f>
        <v>楼层</v>
      </c>
      <c r="R27" s="709" t="s">
        <v>17</v>
      </c>
      <c r="S27" s="710">
        <f>F27</f>
        <v>100</v>
      </c>
      <c r="T27" s="709" t="s">
        <v>17</v>
      </c>
      <c r="U27" s="710">
        <f>H27</f>
        <v>100</v>
      </c>
      <c r="V27" s="709" t="s">
        <v>17</v>
      </c>
      <c r="W27" s="710">
        <f>J27</f>
        <v>100</v>
      </c>
      <c r="X27" s="1348"/>
      <c r="Y27" s="3630"/>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37"/>
      <c r="Q28" s="1338" t="str">
        <f t="shared" si="11"/>
        <v>朝向</v>
      </c>
      <c r="R28" s="705" t="s">
        <v>17</v>
      </c>
      <c r="S28" s="706">
        <f>F28</f>
        <v>100</v>
      </c>
      <c r="T28" s="705" t="s">
        <v>17</v>
      </c>
      <c r="U28" s="706">
        <f>H28</f>
        <v>100</v>
      </c>
      <c r="V28" s="705" t="s">
        <v>17</v>
      </c>
      <c r="W28" s="706">
        <f>J28</f>
        <v>100</v>
      </c>
      <c r="X28" s="707"/>
      <c r="Y28" s="3630"/>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37"/>
      <c r="Q29" s="1345">
        <f t="shared" si="11"/>
        <v>111</v>
      </c>
      <c r="R29" s="709" t="s">
        <v>17</v>
      </c>
      <c r="S29" s="710">
        <f t="shared" ref="S29:S47" si="12">F29</f>
        <v>100</v>
      </c>
      <c r="T29" s="709" t="s">
        <v>17</v>
      </c>
      <c r="U29" s="710">
        <f t="shared" ref="U29:U47" si="13">H29</f>
        <v>100</v>
      </c>
      <c r="V29" s="709" t="s">
        <v>17</v>
      </c>
      <c r="W29" s="710">
        <f t="shared" ref="W29:W47" si="14">J29</f>
        <v>100</v>
      </c>
      <c r="X29" s="1348"/>
      <c r="Y29" s="3630"/>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37"/>
      <c r="Q30" s="1345">
        <f t="shared" si="11"/>
        <v>111</v>
      </c>
      <c r="R30" s="709" t="s">
        <v>17</v>
      </c>
      <c r="S30" s="710">
        <f t="shared" si="12"/>
        <v>100</v>
      </c>
      <c r="T30" s="709" t="s">
        <v>17</v>
      </c>
      <c r="U30" s="710">
        <f t="shared" si="13"/>
        <v>100</v>
      </c>
      <c r="V30" s="709" t="s">
        <v>17</v>
      </c>
      <c r="W30" s="710">
        <f t="shared" si="14"/>
        <v>100</v>
      </c>
      <c r="X30" s="1348"/>
      <c r="Y30" s="3630"/>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37"/>
      <c r="Q31" s="1345">
        <f t="shared" si="11"/>
        <v>111</v>
      </c>
      <c r="R31" s="709" t="s">
        <v>17</v>
      </c>
      <c r="S31" s="710">
        <f t="shared" si="12"/>
        <v>100</v>
      </c>
      <c r="T31" s="709" t="s">
        <v>17</v>
      </c>
      <c r="U31" s="710">
        <f t="shared" si="13"/>
        <v>100</v>
      </c>
      <c r="V31" s="709" t="s">
        <v>17</v>
      </c>
      <c r="W31" s="710">
        <f t="shared" si="14"/>
        <v>100</v>
      </c>
      <c r="X31" s="1348"/>
      <c r="Y31" s="3630"/>
      <c r="Z31" s="1349">
        <f t="shared" si="15"/>
        <v>111</v>
      </c>
      <c r="AA31" s="1346">
        <f t="shared" si="3"/>
        <v>1</v>
      </c>
      <c r="AB31" s="1346">
        <f t="shared" si="4"/>
        <v>1</v>
      </c>
      <c r="AC31" s="1956">
        <f t="shared" si="5"/>
        <v>1</v>
      </c>
    </row>
    <row r="32" spans="1:29" ht="15.6"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37"/>
      <c r="Q32" s="1345">
        <f t="shared" si="11"/>
        <v>111</v>
      </c>
      <c r="R32" s="709" t="s">
        <v>17</v>
      </c>
      <c r="S32" s="710">
        <f t="shared" si="12"/>
        <v>100</v>
      </c>
      <c r="T32" s="709" t="s">
        <v>17</v>
      </c>
      <c r="U32" s="710">
        <f t="shared" si="13"/>
        <v>100</v>
      </c>
      <c r="V32" s="709" t="s">
        <v>17</v>
      </c>
      <c r="W32" s="710">
        <f t="shared" si="14"/>
        <v>100</v>
      </c>
      <c r="X32" s="1348"/>
      <c r="Y32" s="3630"/>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631" t="s">
        <v>1950</v>
      </c>
      <c r="Q33" s="1345" t="str">
        <f t="shared" si="11"/>
        <v>建筑类型</v>
      </c>
      <c r="R33" s="709" t="s">
        <v>17</v>
      </c>
      <c r="S33" s="710">
        <f t="shared" si="12"/>
        <v>100</v>
      </c>
      <c r="T33" s="709" t="s">
        <v>17</v>
      </c>
      <c r="U33" s="710">
        <f t="shared" si="13"/>
        <v>100</v>
      </c>
      <c r="V33" s="709" t="s">
        <v>17</v>
      </c>
      <c r="W33" s="710">
        <f t="shared" si="14"/>
        <v>100</v>
      </c>
      <c r="X33" s="1348"/>
      <c r="Y33" s="3634"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632"/>
      <c r="Q34" s="711" t="str">
        <f t="shared" si="11"/>
        <v>项目建筑规模</v>
      </c>
      <c r="R34" s="712" t="s">
        <v>17</v>
      </c>
      <c r="S34" s="713" t="e">
        <f t="shared" si="12"/>
        <v>#N/A</v>
      </c>
      <c r="T34" s="712" t="s">
        <v>17</v>
      </c>
      <c r="U34" s="713" t="e">
        <f t="shared" si="13"/>
        <v>#N/A</v>
      </c>
      <c r="V34" s="712" t="s">
        <v>17</v>
      </c>
      <c r="W34" s="713" t="e">
        <f t="shared" si="14"/>
        <v>#N/A</v>
      </c>
      <c r="X34" s="714"/>
      <c r="Y34" s="3634"/>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632"/>
      <c r="Q35" s="1345" t="str">
        <f t="shared" si="11"/>
        <v>建筑结构</v>
      </c>
      <c r="R35" s="709" t="s">
        <v>17</v>
      </c>
      <c r="S35" s="710">
        <f t="shared" si="12"/>
        <v>100</v>
      </c>
      <c r="T35" s="709" t="s">
        <v>17</v>
      </c>
      <c r="U35" s="710">
        <f t="shared" si="13"/>
        <v>100</v>
      </c>
      <c r="V35" s="709" t="s">
        <v>17</v>
      </c>
      <c r="W35" s="710">
        <f t="shared" si="14"/>
        <v>100</v>
      </c>
      <c r="X35" s="1348"/>
      <c r="Y35" s="3634"/>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632"/>
      <c r="Q36" s="1345" t="str">
        <f t="shared" si="11"/>
        <v>公共部分装修</v>
      </c>
      <c r="R36" s="709" t="s">
        <v>17</v>
      </c>
      <c r="S36" s="710">
        <f t="shared" si="12"/>
        <v>100</v>
      </c>
      <c r="T36" s="709" t="s">
        <v>17</v>
      </c>
      <c r="U36" s="710">
        <f t="shared" si="13"/>
        <v>100</v>
      </c>
      <c r="V36" s="709" t="s">
        <v>17</v>
      </c>
      <c r="W36" s="710">
        <f t="shared" si="14"/>
        <v>100</v>
      </c>
      <c r="X36" s="1348"/>
      <c r="Y36" s="3634"/>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632"/>
      <c r="Q37" s="1345" t="str">
        <f t="shared" si="11"/>
        <v>成新度</v>
      </c>
      <c r="R37" s="709" t="s">
        <v>17</v>
      </c>
      <c r="S37" s="710" t="e">
        <f t="shared" si="12"/>
        <v>#N/A</v>
      </c>
      <c r="T37" s="709" t="s">
        <v>17</v>
      </c>
      <c r="U37" s="710" t="e">
        <f t="shared" si="13"/>
        <v>#N/A</v>
      </c>
      <c r="V37" s="709" t="s">
        <v>17</v>
      </c>
      <c r="W37" s="710" t="e">
        <f t="shared" si="14"/>
        <v>#N/A</v>
      </c>
      <c r="X37" s="1348"/>
      <c r="Y37" s="3634"/>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632"/>
      <c r="Q38" s="1338" t="str">
        <f t="shared" si="11"/>
        <v>写字楼等级</v>
      </c>
      <c r="R38" s="705" t="s">
        <v>17</v>
      </c>
      <c r="S38" s="706">
        <f t="shared" si="12"/>
        <v>100</v>
      </c>
      <c r="T38" s="705" t="s">
        <v>17</v>
      </c>
      <c r="U38" s="706">
        <f t="shared" si="13"/>
        <v>100</v>
      </c>
      <c r="V38" s="705" t="s">
        <v>17</v>
      </c>
      <c r="W38" s="706">
        <f t="shared" si="14"/>
        <v>100</v>
      </c>
      <c r="X38" s="707"/>
      <c r="Y38" s="3634"/>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632" t="s">
        <v>1950</v>
      </c>
      <c r="Q39" s="1345" t="str">
        <f t="shared" si="11"/>
        <v>物业管理</v>
      </c>
      <c r="R39" s="709" t="s">
        <v>17</v>
      </c>
      <c r="S39" s="710">
        <f t="shared" si="12"/>
        <v>100</v>
      </c>
      <c r="T39" s="709" t="s">
        <v>17</v>
      </c>
      <c r="U39" s="710">
        <f t="shared" si="13"/>
        <v>100</v>
      </c>
      <c r="V39" s="709" t="s">
        <v>17</v>
      </c>
      <c r="W39" s="710">
        <f t="shared" si="14"/>
        <v>100</v>
      </c>
      <c r="X39" s="1348"/>
      <c r="Y39" s="3634"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632"/>
      <c r="Q40" s="1345" t="str">
        <f t="shared" si="11"/>
        <v>市政基础设施</v>
      </c>
      <c r="R40" s="709" t="s">
        <v>17</v>
      </c>
      <c r="S40" s="710">
        <f t="shared" si="12"/>
        <v>100</v>
      </c>
      <c r="T40" s="709" t="s">
        <v>17</v>
      </c>
      <c r="U40" s="710">
        <f t="shared" si="13"/>
        <v>100</v>
      </c>
      <c r="V40" s="709" t="s">
        <v>17</v>
      </c>
      <c r="W40" s="710">
        <f t="shared" si="14"/>
        <v>100</v>
      </c>
      <c r="X40" s="1348"/>
      <c r="Y40" s="3634"/>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632"/>
      <c r="Q41" s="1345" t="str">
        <f t="shared" si="11"/>
        <v>层高</v>
      </c>
      <c r="R41" s="709" t="s">
        <v>17</v>
      </c>
      <c r="S41" s="710">
        <f t="shared" si="12"/>
        <v>100</v>
      </c>
      <c r="T41" s="709" t="s">
        <v>17</v>
      </c>
      <c r="U41" s="710">
        <f t="shared" si="13"/>
        <v>100</v>
      </c>
      <c r="V41" s="709" t="s">
        <v>17</v>
      </c>
      <c r="W41" s="710">
        <f t="shared" si="14"/>
        <v>100</v>
      </c>
      <c r="X41" s="1348"/>
      <c r="Y41" s="3634"/>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632"/>
      <c r="Q42" s="711" t="str">
        <f t="shared" si="11"/>
        <v>单套建筑面积</v>
      </c>
      <c r="R42" s="712" t="s">
        <v>17</v>
      </c>
      <c r="S42" s="713">
        <f t="shared" si="12"/>
        <v>100</v>
      </c>
      <c r="T42" s="712" t="s">
        <v>17</v>
      </c>
      <c r="U42" s="713">
        <f t="shared" si="13"/>
        <v>100</v>
      </c>
      <c r="V42" s="712" t="s">
        <v>17</v>
      </c>
      <c r="W42" s="713">
        <f t="shared" si="14"/>
        <v>100</v>
      </c>
      <c r="X42" s="714"/>
      <c r="Y42" s="3634"/>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632"/>
      <c r="Q43" s="1345" t="str">
        <f t="shared" si="11"/>
        <v>内部装修</v>
      </c>
      <c r="R43" s="709" t="s">
        <v>17</v>
      </c>
      <c r="S43" s="710">
        <f t="shared" si="12"/>
        <v>100</v>
      </c>
      <c r="T43" s="709" t="s">
        <v>17</v>
      </c>
      <c r="U43" s="710">
        <f t="shared" si="13"/>
        <v>100</v>
      </c>
      <c r="V43" s="709" t="s">
        <v>17</v>
      </c>
      <c r="W43" s="710">
        <f t="shared" si="14"/>
        <v>100</v>
      </c>
      <c r="X43" s="1348"/>
      <c r="Y43" s="3634"/>
      <c r="Z43" s="1349" t="str">
        <f t="shared" si="15"/>
        <v>内部装修</v>
      </c>
      <c r="AA43" s="1346">
        <f t="shared" si="3"/>
        <v>1</v>
      </c>
      <c r="AB43" s="1346">
        <f t="shared" si="4"/>
        <v>1</v>
      </c>
      <c r="AC43" s="1956">
        <f t="shared" si="5"/>
        <v>1</v>
      </c>
    </row>
    <row r="44" spans="1:29" ht="28.8">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632"/>
      <c r="Q44" s="1345" t="str">
        <f t="shared" si="11"/>
        <v>内部装修维护情况</v>
      </c>
      <c r="R44" s="709" t="s">
        <v>17</v>
      </c>
      <c r="S44" s="710">
        <f t="shared" si="12"/>
        <v>100</v>
      </c>
      <c r="T44" s="709" t="s">
        <v>17</v>
      </c>
      <c r="U44" s="710">
        <f t="shared" si="13"/>
        <v>100</v>
      </c>
      <c r="V44" s="709" t="s">
        <v>17</v>
      </c>
      <c r="W44" s="710">
        <f t="shared" si="14"/>
        <v>100</v>
      </c>
      <c r="X44" s="1348"/>
      <c r="Y44" s="3634"/>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632"/>
      <c r="Q45" s="1338">
        <f t="shared" si="11"/>
        <v>111</v>
      </c>
      <c r="R45" s="705" t="s">
        <v>17</v>
      </c>
      <c r="S45" s="706">
        <f t="shared" si="12"/>
        <v>100</v>
      </c>
      <c r="T45" s="705" t="s">
        <v>17</v>
      </c>
      <c r="U45" s="706">
        <f t="shared" si="13"/>
        <v>100</v>
      </c>
      <c r="V45" s="705" t="s">
        <v>17</v>
      </c>
      <c r="W45" s="706">
        <f t="shared" si="14"/>
        <v>100</v>
      </c>
      <c r="X45" s="707"/>
      <c r="Y45" s="3634"/>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632"/>
      <c r="Q46" s="1345">
        <f t="shared" si="11"/>
        <v>111</v>
      </c>
      <c r="R46" s="709" t="s">
        <v>17</v>
      </c>
      <c r="S46" s="710">
        <f t="shared" si="12"/>
        <v>100</v>
      </c>
      <c r="T46" s="709" t="s">
        <v>17</v>
      </c>
      <c r="U46" s="710">
        <f t="shared" si="13"/>
        <v>100</v>
      </c>
      <c r="V46" s="709" t="s">
        <v>17</v>
      </c>
      <c r="W46" s="710">
        <f t="shared" si="14"/>
        <v>100</v>
      </c>
      <c r="X46" s="1348"/>
      <c r="Y46" s="3634"/>
      <c r="Z46" s="1349">
        <f t="shared" si="15"/>
        <v>111</v>
      </c>
      <c r="AA46" s="1346">
        <f t="shared" si="3"/>
        <v>1</v>
      </c>
      <c r="AB46" s="1346">
        <f t="shared" si="4"/>
        <v>1</v>
      </c>
      <c r="AC46" s="1956">
        <f t="shared" si="5"/>
        <v>1</v>
      </c>
    </row>
    <row r="47" spans="1:29" ht="15.6"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633"/>
      <c r="Q47" s="1345">
        <f t="shared" si="11"/>
        <v>111</v>
      </c>
      <c r="R47" s="709" t="s">
        <v>17</v>
      </c>
      <c r="S47" s="710">
        <f t="shared" si="12"/>
        <v>100</v>
      </c>
      <c r="T47" s="709" t="s">
        <v>17</v>
      </c>
      <c r="U47" s="710">
        <f t="shared" si="13"/>
        <v>100</v>
      </c>
      <c r="V47" s="709" t="s">
        <v>17</v>
      </c>
      <c r="W47" s="710">
        <f t="shared" si="14"/>
        <v>100</v>
      </c>
      <c r="X47" s="1348"/>
      <c r="Y47" s="3635"/>
      <c r="Z47" s="1349">
        <f t="shared" si="15"/>
        <v>111</v>
      </c>
      <c r="AA47" s="1346">
        <f t="shared" si="3"/>
        <v>1</v>
      </c>
      <c r="AB47" s="1346">
        <f t="shared" si="4"/>
        <v>1</v>
      </c>
      <c r="AC47" s="1956">
        <f t="shared" si="5"/>
        <v>1</v>
      </c>
    </row>
    <row r="48" spans="1:29" ht="14.4">
      <c r="A48" s="434" t="s">
        <v>1962</v>
      </c>
      <c r="B48" s="435"/>
      <c r="C48" s="1160" t="s">
        <v>1</v>
      </c>
      <c r="D48" s="1161"/>
      <c r="E48" s="1162"/>
      <c r="F48" s="1163"/>
      <c r="G48" s="1164"/>
      <c r="H48" s="1165"/>
      <c r="I48" s="1162"/>
      <c r="J48" s="440"/>
      <c r="K48" s="718"/>
      <c r="L48" s="2551"/>
      <c r="M48" s="2543"/>
      <c r="N48" s="2543"/>
      <c r="O48" s="2543"/>
      <c r="P48" s="3609" t="str">
        <f>A48</f>
        <v>成交单价（元/平方米）</v>
      </c>
      <c r="Q48" s="3627"/>
      <c r="R48" s="3628">
        <f>E48</f>
        <v>0</v>
      </c>
      <c r="S48" s="3628"/>
      <c r="T48" s="3628">
        <f>G48</f>
        <v>0</v>
      </c>
      <c r="U48" s="3628"/>
      <c r="V48" s="3628">
        <f>I48</f>
        <v>0</v>
      </c>
      <c r="W48" s="3628"/>
      <c r="X48" s="401"/>
      <c r="Y48" s="716"/>
      <c r="Z48" s="401"/>
      <c r="AA48" s="401"/>
      <c r="AB48" s="401"/>
      <c r="AC48" s="582"/>
    </row>
    <row r="49" spans="1:29" ht="1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9" t="str">
        <f>A49</f>
        <v>比较价值（元/平方米）</v>
      </c>
      <c r="Q49" s="3627"/>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401"/>
      <c r="Y49" s="401"/>
      <c r="Z49" s="401"/>
      <c r="AA49" s="401"/>
      <c r="AB49" s="401"/>
      <c r="AC49" s="582"/>
    </row>
    <row r="50" spans="1:29" ht="15" thickBot="1">
      <c r="A50" s="445" t="s">
        <v>2055</v>
      </c>
      <c r="B50" s="446"/>
      <c r="C50" s="1169" t="e">
        <f>R50</f>
        <v>#DIV/0!</v>
      </c>
      <c r="D50" s="1169"/>
      <c r="E50" s="1169"/>
      <c r="F50" s="1169"/>
      <c r="G50" s="1169"/>
      <c r="H50" s="1169"/>
      <c r="I50" s="1169"/>
      <c r="J50" s="447"/>
      <c r="K50" s="719"/>
      <c r="L50" s="2551"/>
      <c r="M50" s="2543"/>
      <c r="N50" s="2543"/>
      <c r="O50" s="2543"/>
      <c r="P50" s="3650" t="str">
        <f>A50</f>
        <v>估价对象XX用房的比较价值（楼面单价，元/平方米）</v>
      </c>
      <c r="Q50" s="3651"/>
      <c r="R50" s="3652" t="e">
        <f>IF(F1="售价",ROUND(IF(D49="简单平均",AVERAGE(R49:V49),R49*F49+T49*H49+V49*J49),0),ROUND(IF(D49="简单平均",AVERAGE(R49:V49),R49*F49+T49*H49+V49*J49),1))</f>
        <v>#DIV/0!</v>
      </c>
      <c r="S50" s="3652"/>
      <c r="T50" s="3652"/>
      <c r="U50" s="3652"/>
      <c r="V50" s="3652"/>
      <c r="W50" s="3652"/>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2.2"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4.4">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4.4">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4.4"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ht="14.4">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4.4"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9.4"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4.4"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4.4"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4.4"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4.4"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4.4"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4.4"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4.4"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4.4"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ht="14.4">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4.4"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4.4"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4.4"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4.4"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4.4"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9.4"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4.4"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4.4"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4.4"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4.4"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4.4"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4.4"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4.4"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4.4"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4.4"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4.4"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4.4"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4.4"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4.4"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ht="14.4">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4.4"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4.4"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4.4"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4.4"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4.4"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4.4"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4.4"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4.4"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4.4"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4.4"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4.4"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29.4"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4.4"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4.4"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4.4"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4.4"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4.4"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4.4"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4.4"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4.4">
      <c r="A4" s="357" t="s">
        <v>2030</v>
      </c>
      <c r="B4" s="358"/>
      <c r="C4" s="3610" t="s">
        <v>2031</v>
      </c>
      <c r="D4" s="3611"/>
      <c r="E4" s="3612" t="s">
        <v>2032</v>
      </c>
      <c r="F4" s="3613"/>
      <c r="G4" s="3610" t="s">
        <v>2033</v>
      </c>
      <c r="H4" s="3611"/>
      <c r="I4" s="3610" t="s">
        <v>2034</v>
      </c>
      <c r="J4" s="3611"/>
      <c r="K4" s="563" t="s">
        <v>2035</v>
      </c>
      <c r="L4" s="923"/>
      <c r="M4" s="924"/>
      <c r="N4" s="924"/>
      <c r="O4" s="924"/>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29">
      <c r="A5" s="360"/>
      <c r="B5" s="361"/>
      <c r="C5" s="3603" t="s">
        <v>1927</v>
      </c>
      <c r="D5" s="3604"/>
      <c r="E5" s="3601" t="s">
        <v>1928</v>
      </c>
      <c r="F5" s="3602"/>
      <c r="G5" s="3603" t="s">
        <v>1929</v>
      </c>
      <c r="H5" s="3604"/>
      <c r="I5" s="3603" t="s">
        <v>1930</v>
      </c>
      <c r="J5" s="3604"/>
      <c r="K5" s="563"/>
      <c r="L5" s="923"/>
      <c r="M5" s="924"/>
      <c r="N5" s="924"/>
      <c r="O5" s="924"/>
      <c r="P5" s="3616"/>
      <c r="Q5" s="3617"/>
      <c r="R5" s="3599"/>
      <c r="S5" s="3600"/>
      <c r="T5" s="3599"/>
      <c r="U5" s="3600"/>
      <c r="V5" s="3622"/>
      <c r="W5" s="3622"/>
      <c r="X5" s="1348"/>
      <c r="Y5" s="3599"/>
      <c r="Z5" s="3600"/>
      <c r="AA5" s="3593"/>
      <c r="AB5" s="3593"/>
      <c r="AC5" s="3593"/>
    </row>
    <row r="6" spans="1:29" ht="15" thickBot="1">
      <c r="A6" s="362"/>
      <c r="B6" s="363"/>
      <c r="C6" s="3605" t="s">
        <v>1931</v>
      </c>
      <c r="D6" s="3606"/>
      <c r="E6" s="3607" t="s">
        <v>1931</v>
      </c>
      <c r="F6" s="3608"/>
      <c r="G6" s="3605" t="s">
        <v>1931</v>
      </c>
      <c r="H6" s="3606"/>
      <c r="I6" s="3605" t="s">
        <v>1931</v>
      </c>
      <c r="J6" s="3606"/>
      <c r="K6" s="563" t="s">
        <v>1932</v>
      </c>
      <c r="L6" s="923"/>
      <c r="M6" s="924"/>
      <c r="N6" s="924"/>
      <c r="O6" s="924"/>
      <c r="P6" s="3618"/>
      <c r="Q6" s="3619"/>
      <c r="R6" s="3599"/>
      <c r="S6" s="3600"/>
      <c r="T6" s="3620"/>
      <c r="U6" s="3621"/>
      <c r="V6" s="3622"/>
      <c r="W6" s="3622"/>
      <c r="X6" s="1348"/>
      <c r="Y6" s="3620"/>
      <c r="Z6" s="3621"/>
      <c r="AA6" s="3594"/>
      <c r="AB6" s="3594"/>
      <c r="AC6" s="3594"/>
    </row>
    <row r="7" spans="1:29" s="112" customFormat="1" ht="15" thickBot="1">
      <c r="A7" s="364" t="s">
        <v>1933</v>
      </c>
      <c r="B7" s="365"/>
      <c r="C7" s="366">
        <f>'数据-取费表'!B2</f>
        <v>44680</v>
      </c>
      <c r="D7" s="367">
        <v>100</v>
      </c>
      <c r="E7" s="368"/>
      <c r="F7" s="369">
        <f>SUMIF(52:52,YEAR(E7)&amp;"-"&amp;MONTH(E7),53:53)</f>
        <v>0</v>
      </c>
      <c r="G7" s="368"/>
      <c r="H7" s="367">
        <f>SUMIF(52:52,YEAR(G7)&amp;"-"&amp;MONTH(G7),53:53)</f>
        <v>0</v>
      </c>
      <c r="I7" s="368"/>
      <c r="J7" s="367">
        <f>SUMIF(52:52,YEAR(I7)&amp;"-"&amp;MONTH(I7),53:53)</f>
        <v>0</v>
      </c>
      <c r="K7" s="564"/>
      <c r="L7" s="925"/>
      <c r="M7" s="926"/>
      <c r="N7" s="926"/>
      <c r="O7" s="926"/>
      <c r="P7" s="3595"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708" t="e">
        <f>D7/J7</f>
        <v>#DIV/0!</v>
      </c>
    </row>
    <row r="8" spans="1:29" s="112" customFormat="1" ht="1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595" t="s">
        <v>1937</v>
      </c>
      <c r="Q8" s="3596"/>
      <c r="R8" s="705" t="s">
        <v>17</v>
      </c>
      <c r="S8" s="706">
        <f t="shared" si="0"/>
        <v>0</v>
      </c>
      <c r="T8" s="705" t="s">
        <v>17</v>
      </c>
      <c r="U8" s="706">
        <f t="shared" si="1"/>
        <v>0</v>
      </c>
      <c r="V8" s="705" t="s">
        <v>17</v>
      </c>
      <c r="W8" s="706">
        <f t="shared" si="2"/>
        <v>0</v>
      </c>
      <c r="X8" s="707"/>
      <c r="Y8" s="3595" t="s">
        <v>1937</v>
      </c>
      <c r="Z8" s="3596"/>
      <c r="AA8" s="708" t="e">
        <f t="shared" ref="AA8:AA40" si="3">D8/F8</f>
        <v>#DIV/0!</v>
      </c>
      <c r="AB8" s="708" t="e">
        <f t="shared" ref="AB8:AB40" si="4">D8/H8</f>
        <v>#DIV/0!</v>
      </c>
      <c r="AC8" s="708" t="e">
        <f t="shared" ref="AC8:AC40" si="5">D8/J8</f>
        <v>#DIV/0!</v>
      </c>
    </row>
    <row r="9" spans="1:29" s="112" customFormat="1" ht="14.4">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27"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27"/>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27"/>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27"/>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15.6"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27"/>
      <c r="Q14" s="1338">
        <f t="shared" si="6"/>
        <v>111</v>
      </c>
      <c r="R14" s="705" t="s">
        <v>17</v>
      </c>
      <c r="S14" s="706">
        <f t="shared" si="0"/>
        <v>100</v>
      </c>
      <c r="T14" s="705" t="s">
        <v>17</v>
      </c>
      <c r="U14" s="706">
        <f t="shared" si="1"/>
        <v>100</v>
      </c>
      <c r="V14" s="705" t="s">
        <v>17</v>
      </c>
      <c r="W14" s="706">
        <f t="shared" si="2"/>
        <v>100</v>
      </c>
      <c r="X14" s="707"/>
      <c r="Y14" s="3539"/>
      <c r="Z14" s="54">
        <f t="shared" si="7"/>
        <v>111</v>
      </c>
      <c r="AA14" s="708">
        <f t="shared" si="3"/>
        <v>1</v>
      </c>
      <c r="AB14" s="708">
        <f t="shared" si="4"/>
        <v>1</v>
      </c>
      <c r="AC14" s="708">
        <f t="shared" si="5"/>
        <v>1</v>
      </c>
    </row>
    <row r="15" spans="1:29" ht="69">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29" t="s">
        <v>1945</v>
      </c>
      <c r="Q15" s="1345" t="str">
        <f t="shared" si="6"/>
        <v>产业集聚程度</v>
      </c>
      <c r="R15" s="709" t="s">
        <v>17</v>
      </c>
      <c r="S15" s="710">
        <f t="shared" si="0"/>
        <v>100</v>
      </c>
      <c r="T15" s="709" t="s">
        <v>17</v>
      </c>
      <c r="U15" s="710">
        <f t="shared" si="1"/>
        <v>100</v>
      </c>
      <c r="V15" s="709" t="s">
        <v>17</v>
      </c>
      <c r="W15" s="710">
        <f t="shared" si="2"/>
        <v>100</v>
      </c>
      <c r="X15" s="1348"/>
      <c r="Y15" s="3629"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30"/>
      <c r="Q16" s="1345"/>
      <c r="R16" s="709"/>
      <c r="S16" s="710"/>
      <c r="T16" s="709"/>
      <c r="U16" s="710"/>
      <c r="V16" s="709"/>
      <c r="W16" s="710"/>
      <c r="X16" s="1348"/>
      <c r="Y16" s="3630"/>
      <c r="Z16" s="1349"/>
      <c r="AA16" s="1346">
        <v>1</v>
      </c>
      <c r="AB16" s="1346">
        <v>1</v>
      </c>
      <c r="AC16" s="1346">
        <v>1</v>
      </c>
    </row>
    <row r="17" spans="1:29" ht="96.6">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30"/>
      <c r="Q17" s="1345" t="str">
        <f>B17</f>
        <v>交通便捷度</v>
      </c>
      <c r="R17" s="709" t="s">
        <v>17</v>
      </c>
      <c r="S17" s="710">
        <f>F17</f>
        <v>100</v>
      </c>
      <c r="T17" s="709" t="s">
        <v>17</v>
      </c>
      <c r="U17" s="710">
        <f>H17</f>
        <v>100</v>
      </c>
      <c r="V17" s="709" t="s">
        <v>17</v>
      </c>
      <c r="W17" s="710">
        <f>J17</f>
        <v>100</v>
      </c>
      <c r="X17" s="1348"/>
      <c r="Y17" s="3630"/>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30"/>
      <c r="Q18" s="1345"/>
      <c r="R18" s="709"/>
      <c r="S18" s="710"/>
      <c r="T18" s="709"/>
      <c r="U18" s="710"/>
      <c r="V18" s="709"/>
      <c r="W18" s="710"/>
      <c r="X18" s="1348"/>
      <c r="Y18" s="3630"/>
      <c r="Z18" s="1349"/>
      <c r="AA18" s="1346">
        <v>1</v>
      </c>
      <c r="AB18" s="1346">
        <v>1</v>
      </c>
      <c r="AC18" s="1346">
        <v>1</v>
      </c>
    </row>
    <row r="19" spans="1:29" ht="41.4">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30"/>
      <c r="Q19" s="1345" t="str">
        <f>B19</f>
        <v>公共配套设施</v>
      </c>
      <c r="R19" s="709" t="s">
        <v>17</v>
      </c>
      <c r="S19" s="710">
        <f>F19</f>
        <v>100</v>
      </c>
      <c r="T19" s="709" t="s">
        <v>17</v>
      </c>
      <c r="U19" s="710">
        <f>H19</f>
        <v>100</v>
      </c>
      <c r="V19" s="709" t="s">
        <v>17</v>
      </c>
      <c r="W19" s="710">
        <f>J19</f>
        <v>100</v>
      </c>
      <c r="X19" s="1348"/>
      <c r="Y19" s="3630"/>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30"/>
      <c r="Q20" s="1345"/>
      <c r="R20" s="709"/>
      <c r="S20" s="710"/>
      <c r="T20" s="709"/>
      <c r="U20" s="710"/>
      <c r="V20" s="709"/>
      <c r="W20" s="710"/>
      <c r="X20" s="1348"/>
      <c r="Y20" s="3630"/>
      <c r="Z20" s="1349"/>
      <c r="AA20" s="1346">
        <v>1</v>
      </c>
      <c r="AB20" s="1346">
        <v>1</v>
      </c>
      <c r="AC20" s="1346">
        <v>1</v>
      </c>
    </row>
    <row r="21" spans="1:29" ht="41.4">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30"/>
      <c r="Q21" s="1345" t="str">
        <f>B21</f>
        <v>基础设施水平</v>
      </c>
      <c r="R21" s="709" t="s">
        <v>17</v>
      </c>
      <c r="S21" s="710">
        <f>F21</f>
        <v>100</v>
      </c>
      <c r="T21" s="709" t="s">
        <v>17</v>
      </c>
      <c r="U21" s="710">
        <f>H21</f>
        <v>100</v>
      </c>
      <c r="V21" s="709" t="s">
        <v>17</v>
      </c>
      <c r="W21" s="710">
        <f>J21</f>
        <v>100</v>
      </c>
      <c r="X21" s="1348"/>
      <c r="Y21" s="363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30"/>
      <c r="Q22" s="1345"/>
      <c r="R22" s="709"/>
      <c r="S22" s="710"/>
      <c r="T22" s="709"/>
      <c r="U22" s="710"/>
      <c r="V22" s="709"/>
      <c r="W22" s="710"/>
      <c r="X22" s="1348"/>
      <c r="Y22" s="3630"/>
      <c r="Z22" s="1349"/>
      <c r="AA22" s="1346">
        <v>1</v>
      </c>
      <c r="AB22" s="1346">
        <v>1</v>
      </c>
      <c r="AC22" s="1346">
        <v>1</v>
      </c>
    </row>
    <row r="23" spans="1:29" ht="82.8">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30"/>
      <c r="Q23" s="1345" t="str">
        <f>B23</f>
        <v>环境质量</v>
      </c>
      <c r="R23" s="709" t="s">
        <v>17</v>
      </c>
      <c r="S23" s="710">
        <f>F23</f>
        <v>100</v>
      </c>
      <c r="T23" s="709" t="s">
        <v>17</v>
      </c>
      <c r="U23" s="710">
        <f>H23</f>
        <v>100</v>
      </c>
      <c r="V23" s="709" t="s">
        <v>17</v>
      </c>
      <c r="W23" s="710">
        <f>J23</f>
        <v>100</v>
      </c>
      <c r="X23" s="1348"/>
      <c r="Y23" s="3630"/>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30"/>
      <c r="Q24" s="1345"/>
      <c r="R24" s="709"/>
      <c r="S24" s="710"/>
      <c r="T24" s="709"/>
      <c r="U24" s="710"/>
      <c r="V24" s="709"/>
      <c r="W24" s="710"/>
      <c r="X24" s="1348"/>
      <c r="Y24" s="3630"/>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30"/>
      <c r="Q25" s="1345">
        <f>B25</f>
        <v>111</v>
      </c>
      <c r="R25" s="709" t="s">
        <v>17</v>
      </c>
      <c r="S25" s="710">
        <f>F25</f>
        <v>100</v>
      </c>
      <c r="T25" s="709" t="s">
        <v>17</v>
      </c>
      <c r="U25" s="710">
        <f>H25</f>
        <v>100</v>
      </c>
      <c r="V25" s="709" t="s">
        <v>17</v>
      </c>
      <c r="W25" s="710">
        <f>J25</f>
        <v>100</v>
      </c>
      <c r="X25" s="1348"/>
      <c r="Y25" s="3630"/>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30"/>
      <c r="Q26" s="1345">
        <f t="shared" ref="Q26:Q40" si="11">B26</f>
        <v>111</v>
      </c>
      <c r="R26" s="709" t="s">
        <v>17</v>
      </c>
      <c r="S26" s="710">
        <f>F26</f>
        <v>100</v>
      </c>
      <c r="T26" s="709" t="s">
        <v>17</v>
      </c>
      <c r="U26" s="710">
        <f>H26</f>
        <v>100</v>
      </c>
      <c r="V26" s="709" t="s">
        <v>17</v>
      </c>
      <c r="W26" s="710">
        <f>J26</f>
        <v>100</v>
      </c>
      <c r="X26" s="1348"/>
      <c r="Y26" s="3630"/>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30"/>
      <c r="Q27" s="1338">
        <f t="shared" si="11"/>
        <v>111</v>
      </c>
      <c r="R27" s="705" t="s">
        <v>17</v>
      </c>
      <c r="S27" s="706">
        <f>F27</f>
        <v>100</v>
      </c>
      <c r="T27" s="705" t="s">
        <v>17</v>
      </c>
      <c r="U27" s="706">
        <f>H27</f>
        <v>100</v>
      </c>
      <c r="V27" s="705" t="s">
        <v>17</v>
      </c>
      <c r="W27" s="706">
        <f>J27</f>
        <v>100</v>
      </c>
      <c r="X27" s="707"/>
      <c r="Y27" s="3630"/>
      <c r="Z27" s="54">
        <f>Q27</f>
        <v>111</v>
      </c>
      <c r="AA27" s="1346">
        <f>D27/F27</f>
        <v>1</v>
      </c>
      <c r="AB27" s="1346">
        <f>D27/H27</f>
        <v>1</v>
      </c>
      <c r="AC27" s="1346">
        <f>D27/J27</f>
        <v>1</v>
      </c>
    </row>
    <row r="28" spans="1:29" ht="15.6"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30"/>
      <c r="Q28" s="1345">
        <f t="shared" si="11"/>
        <v>111</v>
      </c>
      <c r="R28" s="709" t="s">
        <v>17</v>
      </c>
      <c r="S28" s="710">
        <f t="shared" ref="S28:S40" si="12">F28</f>
        <v>100</v>
      </c>
      <c r="T28" s="709" t="s">
        <v>17</v>
      </c>
      <c r="U28" s="710">
        <f t="shared" ref="U28:U40" si="13">H28</f>
        <v>100</v>
      </c>
      <c r="V28" s="709" t="s">
        <v>17</v>
      </c>
      <c r="W28" s="710">
        <f t="shared" ref="W28:W40" si="14">J28</f>
        <v>100</v>
      </c>
      <c r="X28" s="1348"/>
      <c r="Y28" s="3630"/>
      <c r="Z28" s="1349">
        <f t="shared" ref="Z28:Z40" si="15">Q28</f>
        <v>111</v>
      </c>
      <c r="AA28" s="1346">
        <f t="shared" si="3"/>
        <v>1</v>
      </c>
      <c r="AB28" s="1346">
        <f t="shared" si="4"/>
        <v>1</v>
      </c>
      <c r="AC28" s="1346">
        <f t="shared" si="5"/>
        <v>1</v>
      </c>
    </row>
    <row r="29" spans="1:29" ht="30">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3" t="s">
        <v>1950</v>
      </c>
      <c r="Q29" s="1345" t="str">
        <f t="shared" si="11"/>
        <v>建筑类型</v>
      </c>
      <c r="R29" s="709" t="s">
        <v>17</v>
      </c>
      <c r="S29" s="710">
        <f t="shared" si="12"/>
        <v>100</v>
      </c>
      <c r="T29" s="709" t="s">
        <v>17</v>
      </c>
      <c r="U29" s="710">
        <f t="shared" si="13"/>
        <v>100</v>
      </c>
      <c r="V29" s="709" t="s">
        <v>17</v>
      </c>
      <c r="W29" s="710">
        <f t="shared" si="14"/>
        <v>100</v>
      </c>
      <c r="X29" s="1348"/>
      <c r="Y29" s="3634"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34"/>
      <c r="Q30" s="711" t="str">
        <f t="shared" si="11"/>
        <v>项目建筑规模</v>
      </c>
      <c r="R30" s="712" t="s">
        <v>17</v>
      </c>
      <c r="S30" s="713" t="e">
        <f t="shared" si="12"/>
        <v>#N/A</v>
      </c>
      <c r="T30" s="712" t="s">
        <v>17</v>
      </c>
      <c r="U30" s="713" t="e">
        <f t="shared" si="13"/>
        <v>#N/A</v>
      </c>
      <c r="V30" s="712" t="s">
        <v>17</v>
      </c>
      <c r="W30" s="713" t="e">
        <f t="shared" si="14"/>
        <v>#N/A</v>
      </c>
      <c r="X30" s="714"/>
      <c r="Y30" s="3634"/>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34"/>
      <c r="Q31" s="1345" t="str">
        <f t="shared" si="11"/>
        <v>建筑结构</v>
      </c>
      <c r="R31" s="709" t="s">
        <v>17</v>
      </c>
      <c r="S31" s="710">
        <f t="shared" si="12"/>
        <v>100</v>
      </c>
      <c r="T31" s="709" t="s">
        <v>17</v>
      </c>
      <c r="U31" s="710">
        <f t="shared" si="13"/>
        <v>100</v>
      </c>
      <c r="V31" s="709" t="s">
        <v>17</v>
      </c>
      <c r="W31" s="710">
        <f t="shared" si="14"/>
        <v>100</v>
      </c>
      <c r="X31" s="1348"/>
      <c r="Y31" s="3634"/>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34"/>
      <c r="Q32" s="1345" t="str">
        <f t="shared" si="11"/>
        <v>公共部分装修</v>
      </c>
      <c r="R32" s="709" t="s">
        <v>17</v>
      </c>
      <c r="S32" s="710">
        <f t="shared" si="12"/>
        <v>100</v>
      </c>
      <c r="T32" s="709" t="s">
        <v>17</v>
      </c>
      <c r="U32" s="710">
        <f t="shared" si="13"/>
        <v>100</v>
      </c>
      <c r="V32" s="709" t="s">
        <v>17</v>
      </c>
      <c r="W32" s="710">
        <f t="shared" si="14"/>
        <v>100</v>
      </c>
      <c r="X32" s="1348"/>
      <c r="Y32" s="3634"/>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34"/>
      <c r="Q33" s="1345" t="str">
        <f t="shared" si="11"/>
        <v>成新度</v>
      </c>
      <c r="R33" s="709" t="s">
        <v>17</v>
      </c>
      <c r="S33" s="710" t="e">
        <f t="shared" si="12"/>
        <v>#N/A</v>
      </c>
      <c r="T33" s="709" t="s">
        <v>17</v>
      </c>
      <c r="U33" s="710" t="e">
        <f t="shared" si="13"/>
        <v>#N/A</v>
      </c>
      <c r="V33" s="709" t="s">
        <v>17</v>
      </c>
      <c r="W33" s="710" t="e">
        <f t="shared" si="14"/>
        <v>#N/A</v>
      </c>
      <c r="X33" s="1348"/>
      <c r="Y33" s="3634"/>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34"/>
      <c r="Q34" s="1338" t="str">
        <f t="shared" si="11"/>
        <v>物业管理</v>
      </c>
      <c r="R34" s="705" t="s">
        <v>17</v>
      </c>
      <c r="S34" s="706">
        <f t="shared" si="12"/>
        <v>100</v>
      </c>
      <c r="T34" s="705" t="s">
        <v>17</v>
      </c>
      <c r="U34" s="706">
        <f t="shared" si="13"/>
        <v>100</v>
      </c>
      <c r="V34" s="705" t="s">
        <v>17</v>
      </c>
      <c r="W34" s="706">
        <f t="shared" si="14"/>
        <v>100</v>
      </c>
      <c r="X34" s="707"/>
      <c r="Y34" s="3634"/>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34" t="s">
        <v>1950</v>
      </c>
      <c r="Q35" s="1345" t="str">
        <f t="shared" si="11"/>
        <v>市政基础设施</v>
      </c>
      <c r="R35" s="709" t="s">
        <v>17</v>
      </c>
      <c r="S35" s="710">
        <f t="shared" si="12"/>
        <v>100</v>
      </c>
      <c r="T35" s="709" t="s">
        <v>17</v>
      </c>
      <c r="U35" s="710">
        <f t="shared" si="13"/>
        <v>100</v>
      </c>
      <c r="V35" s="709" t="s">
        <v>17</v>
      </c>
      <c r="W35" s="710">
        <f t="shared" si="14"/>
        <v>100</v>
      </c>
      <c r="X35" s="1348"/>
      <c r="Y35" s="3634"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34"/>
      <c r="Q36" s="1345" t="str">
        <f t="shared" si="11"/>
        <v>内部装修</v>
      </c>
      <c r="R36" s="709" t="s">
        <v>17</v>
      </c>
      <c r="S36" s="710">
        <f t="shared" si="12"/>
        <v>100</v>
      </c>
      <c r="T36" s="709" t="s">
        <v>17</v>
      </c>
      <c r="U36" s="710">
        <f t="shared" si="13"/>
        <v>100</v>
      </c>
      <c r="V36" s="709" t="s">
        <v>17</v>
      </c>
      <c r="W36" s="710">
        <f t="shared" si="14"/>
        <v>100</v>
      </c>
      <c r="X36" s="1348"/>
      <c r="Y36" s="3634"/>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34"/>
      <c r="Q37" s="1345" t="str">
        <f t="shared" si="11"/>
        <v>内部装修状况</v>
      </c>
      <c r="R37" s="709" t="s">
        <v>17</v>
      </c>
      <c r="S37" s="710">
        <f t="shared" si="12"/>
        <v>100</v>
      </c>
      <c r="T37" s="709" t="s">
        <v>17</v>
      </c>
      <c r="U37" s="710">
        <f t="shared" si="13"/>
        <v>100</v>
      </c>
      <c r="V37" s="709" t="s">
        <v>17</v>
      </c>
      <c r="W37" s="710">
        <f t="shared" si="14"/>
        <v>100</v>
      </c>
      <c r="X37" s="1348"/>
      <c r="Y37" s="3634"/>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34"/>
      <c r="Q38" s="711">
        <f t="shared" si="11"/>
        <v>111</v>
      </c>
      <c r="R38" s="712" t="s">
        <v>17</v>
      </c>
      <c r="S38" s="713">
        <f t="shared" si="12"/>
        <v>100</v>
      </c>
      <c r="T38" s="712" t="s">
        <v>17</v>
      </c>
      <c r="U38" s="713">
        <f t="shared" si="13"/>
        <v>100</v>
      </c>
      <c r="V38" s="712" t="s">
        <v>17</v>
      </c>
      <c r="W38" s="713">
        <f t="shared" si="14"/>
        <v>100</v>
      </c>
      <c r="X38" s="714"/>
      <c r="Y38" s="3634"/>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34"/>
      <c r="Q39" s="1345">
        <f t="shared" si="11"/>
        <v>111</v>
      </c>
      <c r="R39" s="709" t="s">
        <v>17</v>
      </c>
      <c r="S39" s="710">
        <f t="shared" si="12"/>
        <v>100</v>
      </c>
      <c r="T39" s="709" t="s">
        <v>17</v>
      </c>
      <c r="U39" s="710">
        <f t="shared" si="13"/>
        <v>100</v>
      </c>
      <c r="V39" s="709" t="s">
        <v>17</v>
      </c>
      <c r="W39" s="710">
        <f t="shared" si="14"/>
        <v>100</v>
      </c>
      <c r="X39" s="1348"/>
      <c r="Y39" s="3634"/>
      <c r="Z39" s="1349">
        <f t="shared" si="15"/>
        <v>111</v>
      </c>
      <c r="AA39" s="1346">
        <f t="shared" si="3"/>
        <v>1</v>
      </c>
      <c r="AB39" s="1346">
        <f t="shared" si="4"/>
        <v>1</v>
      </c>
      <c r="AC39" s="1346">
        <f t="shared" si="5"/>
        <v>1</v>
      </c>
    </row>
    <row r="40" spans="1:29" ht="15.6"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35"/>
      <c r="Q40" s="1345">
        <f t="shared" si="11"/>
        <v>111</v>
      </c>
      <c r="R40" s="709" t="s">
        <v>17</v>
      </c>
      <c r="S40" s="710">
        <f t="shared" si="12"/>
        <v>100</v>
      </c>
      <c r="T40" s="709" t="s">
        <v>17</v>
      </c>
      <c r="U40" s="710">
        <f t="shared" si="13"/>
        <v>100</v>
      </c>
      <c r="V40" s="709" t="s">
        <v>17</v>
      </c>
      <c r="W40" s="710">
        <f t="shared" si="14"/>
        <v>100</v>
      </c>
      <c r="X40" s="1348"/>
      <c r="Y40" s="3635"/>
      <c r="Z40" s="1349">
        <f t="shared" si="15"/>
        <v>111</v>
      </c>
      <c r="AA40" s="1346">
        <f t="shared" si="3"/>
        <v>1</v>
      </c>
      <c r="AB40" s="1346">
        <f t="shared" si="4"/>
        <v>1</v>
      </c>
      <c r="AC40" s="1346">
        <f t="shared" si="5"/>
        <v>1</v>
      </c>
    </row>
    <row r="41" spans="1:29" ht="14.4">
      <c r="A41" s="434" t="s">
        <v>1962</v>
      </c>
      <c r="B41" s="435"/>
      <c r="C41" s="1160" t="s">
        <v>1</v>
      </c>
      <c r="D41" s="1161"/>
      <c r="E41" s="1162"/>
      <c r="F41" s="1163"/>
      <c r="G41" s="1164"/>
      <c r="H41" s="1165"/>
      <c r="I41" s="1162"/>
      <c r="J41" s="1165"/>
      <c r="K41" s="718"/>
      <c r="L41" s="936"/>
      <c r="M41" s="937"/>
      <c r="N41" s="924"/>
      <c r="O41" s="937"/>
      <c r="P41" s="3627" t="str">
        <f>A41</f>
        <v>成交单价（元/平方米）</v>
      </c>
      <c r="Q41" s="3627"/>
      <c r="R41" s="3628">
        <f>E41</f>
        <v>0</v>
      </c>
      <c r="S41" s="3628"/>
      <c r="T41" s="3628">
        <f>G41</f>
        <v>0</v>
      </c>
      <c r="U41" s="3628"/>
      <c r="V41" s="3628">
        <f>I41</f>
        <v>0</v>
      </c>
      <c r="W41" s="3628"/>
      <c r="X41" s="694"/>
      <c r="Y41" s="716"/>
      <c r="Z41" s="694"/>
      <c r="AA41" s="694"/>
      <c r="AB41" s="694"/>
      <c r="AC41" s="694"/>
    </row>
    <row r="42" spans="1:29" ht="1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627" t="str">
        <f>A42</f>
        <v>比较价值（元/平方米）</v>
      </c>
      <c r="Q42" s="3627"/>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694"/>
      <c r="Y42" s="694"/>
      <c r="Z42" s="694"/>
      <c r="AA42" s="694"/>
      <c r="AB42" s="694"/>
      <c r="AC42" s="694"/>
    </row>
    <row r="43" spans="1:29" ht="15" thickBot="1">
      <c r="A43" s="445" t="s">
        <v>2055</v>
      </c>
      <c r="B43" s="446"/>
      <c r="C43" s="1169" t="e">
        <f>R43</f>
        <v>#DIV/0!</v>
      </c>
      <c r="D43" s="1169"/>
      <c r="E43" s="1169"/>
      <c r="F43" s="1169"/>
      <c r="G43" s="1169"/>
      <c r="H43" s="1169"/>
      <c r="I43" s="1169"/>
      <c r="J43" s="1169"/>
      <c r="K43" s="719"/>
      <c r="L43" s="936"/>
      <c r="M43" s="937"/>
      <c r="N43" s="937"/>
      <c r="O43" s="937"/>
      <c r="P43" s="3624" t="str">
        <f>A43</f>
        <v>估价对象XX用房的比较价值（楼面单价，元/平方米）</v>
      </c>
      <c r="Q43" s="3625"/>
      <c r="R43" s="3626" t="e">
        <f>IF(F1="售价",ROUND(IF(D42="简单平均",AVERAGE(R42:V42),R42*F42+T42*H42+V42*J42),0),ROUND(IF(D42="简单平均",AVERAGE(R42:V42),R42*F42+T42*H42+V42*J42),1))</f>
        <v>#DIV/0!</v>
      </c>
      <c r="S43" s="3626"/>
      <c r="T43" s="3626"/>
      <c r="U43" s="3626"/>
      <c r="V43" s="3626"/>
      <c r="W43" s="3626"/>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2.2" thickBot="1">
      <c r="A51" s="698" t="s">
        <v>2059</v>
      </c>
      <c r="B51" s="694"/>
      <c r="C51" s="699"/>
      <c r="D51" s="699"/>
      <c r="E51" s="699"/>
      <c r="F51" s="700"/>
      <c r="G51" s="700"/>
      <c r="H51" s="699"/>
      <c r="I51" s="699"/>
      <c r="J51" s="699"/>
      <c r="K51" s="951"/>
      <c r="L51" s="952"/>
      <c r="M51" s="950"/>
      <c r="N51" s="950"/>
      <c r="O51" s="950"/>
      <c r="P51" s="456"/>
      <c r="Q51" s="457"/>
    </row>
    <row r="52" spans="1:17" s="461" customFormat="1" ht="14.4">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c r="A53" s="462"/>
      <c r="B53" s="463"/>
      <c r="C53" s="1187">
        <v>100</v>
      </c>
      <c r="D53" s="465"/>
      <c r="E53" s="465"/>
      <c r="F53" s="465"/>
      <c r="G53" s="465"/>
      <c r="H53" s="465"/>
      <c r="I53" s="465"/>
      <c r="J53" s="465"/>
      <c r="K53" s="465"/>
      <c r="L53" s="465"/>
      <c r="M53" s="466"/>
      <c r="N53" s="465"/>
      <c r="O53" s="467"/>
      <c r="P53" s="457"/>
    </row>
    <row r="54" spans="1:17" s="112" customFormat="1" ht="15" thickBot="1">
      <c r="A54" s="468" t="s">
        <v>1970</v>
      </c>
      <c r="B54" s="469"/>
      <c r="C54" s="470"/>
      <c r="D54" s="471"/>
      <c r="E54" s="471"/>
      <c r="F54" s="471"/>
      <c r="G54" s="471"/>
      <c r="H54" s="471"/>
      <c r="I54" s="471"/>
      <c r="J54" s="471"/>
      <c r="K54" s="471"/>
      <c r="L54" s="471"/>
      <c r="M54" s="472"/>
      <c r="N54" s="2597"/>
      <c r="O54" s="2598"/>
      <c r="P54" s="457"/>
      <c r="Q54" s="457"/>
    </row>
    <row r="55" spans="1:17" s="112" customFormat="1" ht="14.4">
      <c r="A55" s="474" t="s">
        <v>1935</v>
      </c>
      <c r="B55" s="463"/>
      <c r="C55" s="475" t="s">
        <v>2037</v>
      </c>
      <c r="D55" s="476"/>
      <c r="E55" s="476"/>
      <c r="F55" s="476"/>
      <c r="G55" s="476"/>
      <c r="H55" s="476"/>
      <c r="I55" s="476"/>
      <c r="J55" s="476"/>
      <c r="K55" s="476"/>
      <c r="L55" s="477"/>
      <c r="M55" s="478"/>
      <c r="N55" s="942"/>
      <c r="O55" s="942"/>
      <c r="P55" s="479"/>
      <c r="Q55" s="457"/>
    </row>
    <row r="56" spans="1:17" s="112" customFormat="1" ht="14.4" thickBot="1">
      <c r="A56" s="474"/>
      <c r="B56" s="463"/>
      <c r="C56" s="591">
        <v>100</v>
      </c>
      <c r="D56" s="465"/>
      <c r="E56" s="465"/>
      <c r="F56" s="465"/>
      <c r="G56" s="465"/>
      <c r="H56" s="465"/>
      <c r="I56" s="465"/>
      <c r="J56" s="465"/>
      <c r="K56" s="465"/>
      <c r="L56" s="465"/>
      <c r="M56" s="467"/>
      <c r="N56" s="942"/>
      <c r="O56" s="942"/>
      <c r="P56" s="457"/>
      <c r="Q56" s="457"/>
    </row>
    <row r="57" spans="1:17" ht="14.4">
      <c r="A57" s="480" t="s">
        <v>1973</v>
      </c>
      <c r="B57" s="481" t="s">
        <v>1939</v>
      </c>
      <c r="C57" s="482">
        <f>C9</f>
        <v>0</v>
      </c>
      <c r="D57" s="483"/>
      <c r="E57" s="483"/>
      <c r="F57" s="483"/>
      <c r="G57" s="483"/>
      <c r="H57" s="483"/>
      <c r="I57" s="483"/>
      <c r="J57" s="483"/>
      <c r="K57" s="484"/>
      <c r="L57" s="485"/>
      <c r="M57" s="486"/>
      <c r="N57" s="943"/>
      <c r="O57" s="943"/>
      <c r="P57" s="44"/>
      <c r="Q57" s="457"/>
    </row>
    <row r="58" spans="1:17" ht="14.4" thickBot="1">
      <c r="A58" s="487"/>
      <c r="B58" s="488"/>
      <c r="C58" s="489">
        <v>100</v>
      </c>
      <c r="D58" s="489"/>
      <c r="E58" s="489"/>
      <c r="F58" s="489"/>
      <c r="G58" s="489"/>
      <c r="H58" s="489"/>
      <c r="I58" s="489"/>
      <c r="J58" s="489"/>
      <c r="K58" s="489"/>
      <c r="L58" s="489"/>
      <c r="M58" s="490"/>
      <c r="N58" s="944"/>
      <c r="O58" s="944"/>
      <c r="P58" s="44"/>
      <c r="Q58" s="457"/>
    </row>
    <row r="59" spans="1:17" ht="29.4"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4.4"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c r="A62" s="487"/>
      <c r="B62" s="501"/>
      <c r="C62" s="502"/>
      <c r="D62" s="502"/>
      <c r="E62" s="502"/>
      <c r="F62" s="502"/>
      <c r="G62" s="502"/>
      <c r="H62" s="502"/>
      <c r="I62" s="502"/>
      <c r="J62" s="502"/>
      <c r="K62" s="503"/>
      <c r="L62" s="504"/>
      <c r="M62" s="505"/>
      <c r="N62" s="943"/>
      <c r="O62" s="943"/>
      <c r="P62" s="44"/>
      <c r="Q62" s="457"/>
    </row>
    <row r="63" spans="1:17" ht="14.4"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4.4" thickTop="1">
      <c r="A64" s="506"/>
      <c r="B64" s="491">
        <f>B12</f>
        <v>111</v>
      </c>
      <c r="C64" s="507"/>
      <c r="D64" s="507"/>
      <c r="E64" s="507"/>
      <c r="F64" s="507"/>
      <c r="G64" s="507"/>
      <c r="H64" s="508"/>
      <c r="I64" s="508"/>
      <c r="J64" s="508"/>
      <c r="K64" s="508"/>
      <c r="L64" s="509"/>
      <c r="M64" s="510"/>
      <c r="N64" s="945"/>
      <c r="O64" s="945"/>
      <c r="P64" s="511"/>
      <c r="Q64" s="512"/>
    </row>
    <row r="65" spans="1:17" s="426" customFormat="1" ht="14.4" thickBot="1">
      <c r="A65" s="506"/>
      <c r="B65" s="496"/>
      <c r="C65" s="513"/>
      <c r="D65" s="489"/>
      <c r="E65" s="489"/>
      <c r="F65" s="489"/>
      <c r="G65" s="489"/>
      <c r="H65" s="489"/>
      <c r="I65" s="489"/>
      <c r="J65" s="489"/>
      <c r="K65" s="489"/>
      <c r="L65" s="489"/>
      <c r="M65" s="490"/>
      <c r="N65" s="944"/>
      <c r="O65" s="944"/>
      <c r="P65" s="511"/>
      <c r="Q65" s="512"/>
    </row>
    <row r="66" spans="1:17" s="426" customFormat="1" ht="14.4" thickTop="1">
      <c r="A66" s="506"/>
      <c r="B66" s="491">
        <f>B13</f>
        <v>111</v>
      </c>
      <c r="C66" s="507"/>
      <c r="D66" s="507"/>
      <c r="E66" s="507"/>
      <c r="F66" s="507"/>
      <c r="G66" s="507"/>
      <c r="H66" s="508"/>
      <c r="I66" s="508"/>
      <c r="J66" s="508"/>
      <c r="K66" s="508"/>
      <c r="L66" s="509"/>
      <c r="M66" s="510"/>
      <c r="N66" s="945"/>
      <c r="O66" s="945"/>
      <c r="P66" s="425"/>
      <c r="Q66" s="514"/>
    </row>
    <row r="67" spans="1:17" s="426" customFormat="1" ht="14.4" thickBot="1">
      <c r="A67" s="506"/>
      <c r="B67" s="496"/>
      <c r="C67" s="513"/>
      <c r="D67" s="489"/>
      <c r="E67" s="489"/>
      <c r="F67" s="489"/>
      <c r="G67" s="513"/>
      <c r="H67" s="515"/>
      <c r="I67" s="515"/>
      <c r="J67" s="515"/>
      <c r="K67" s="515"/>
      <c r="L67" s="515"/>
      <c r="M67" s="516"/>
      <c r="N67" s="945"/>
      <c r="O67" s="945"/>
      <c r="P67" s="511"/>
      <c r="Q67" s="512"/>
    </row>
    <row r="68" spans="1:17" s="426" customFormat="1" ht="14.4" thickTop="1">
      <c r="A68" s="506"/>
      <c r="B68" s="499">
        <f>B14</f>
        <v>111</v>
      </c>
      <c r="C68" s="476"/>
      <c r="D68" s="476"/>
      <c r="E68" s="476"/>
      <c r="F68" s="476"/>
      <c r="G68" s="476"/>
      <c r="H68" s="517"/>
      <c r="I68" s="517"/>
      <c r="J68" s="517"/>
      <c r="K68" s="517"/>
      <c r="L68" s="518"/>
      <c r="M68" s="519"/>
      <c r="N68" s="945"/>
      <c r="O68" s="945"/>
      <c r="P68" s="520"/>
      <c r="Q68" s="512"/>
    </row>
    <row r="69" spans="1:17" s="426" customFormat="1" ht="14.4" thickBot="1">
      <c r="A69" s="521"/>
      <c r="B69" s="522"/>
      <c r="C69" s="523"/>
      <c r="D69" s="523"/>
      <c r="E69" s="523"/>
      <c r="F69" s="523"/>
      <c r="G69" s="523"/>
      <c r="H69" s="524"/>
      <c r="I69" s="524"/>
      <c r="J69" s="524"/>
      <c r="K69" s="524"/>
      <c r="L69" s="524"/>
      <c r="M69" s="525"/>
      <c r="N69" s="945"/>
      <c r="O69" s="945"/>
      <c r="P69" s="511"/>
      <c r="Q69" s="512"/>
    </row>
    <row r="70" spans="1:17" ht="14.4">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4.4"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4.4"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4.4"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4.4"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4.4"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4.4" thickTop="1">
      <c r="A80" s="532"/>
      <c r="B80" s="491">
        <f>B25</f>
        <v>111</v>
      </c>
      <c r="C80" s="507"/>
      <c r="D80" s="507"/>
      <c r="E80" s="507"/>
      <c r="F80" s="507"/>
      <c r="G80" s="507"/>
      <c r="H80" s="507"/>
      <c r="I80" s="507"/>
      <c r="J80" s="507"/>
      <c r="K80" s="507"/>
      <c r="L80" s="533"/>
      <c r="M80" s="534"/>
      <c r="N80" s="942"/>
      <c r="O80" s="942"/>
      <c r="P80" s="44"/>
      <c r="Q80" s="457"/>
    </row>
    <row r="81" spans="1:17" s="112" customFormat="1" ht="14.4" thickBot="1">
      <c r="A81" s="532"/>
      <c r="B81" s="496"/>
      <c r="C81" s="513"/>
      <c r="D81" s="489"/>
      <c r="E81" s="489"/>
      <c r="F81" s="489"/>
      <c r="G81" s="489"/>
      <c r="H81" s="489"/>
      <c r="I81" s="489"/>
      <c r="J81" s="489"/>
      <c r="K81" s="489"/>
      <c r="L81" s="489"/>
      <c r="M81" s="490"/>
      <c r="N81" s="944"/>
      <c r="O81" s="944"/>
      <c r="P81" s="44"/>
      <c r="Q81" s="457"/>
    </row>
    <row r="82" spans="1:17" s="112" customFormat="1" ht="14.4" thickTop="1">
      <c r="A82" s="532"/>
      <c r="B82" s="491">
        <f>B26</f>
        <v>111</v>
      </c>
      <c r="C82" s="507"/>
      <c r="D82" s="507"/>
      <c r="E82" s="507"/>
      <c r="F82" s="507"/>
      <c r="G82" s="507"/>
      <c r="H82" s="507"/>
      <c r="I82" s="507"/>
      <c r="J82" s="507"/>
      <c r="K82" s="507"/>
      <c r="L82" s="533"/>
      <c r="M82" s="534"/>
      <c r="N82" s="942"/>
      <c r="O82" s="942"/>
      <c r="P82" s="44"/>
      <c r="Q82" s="457"/>
    </row>
    <row r="83" spans="1:17" s="112" customFormat="1" ht="14.4" thickBot="1">
      <c r="A83" s="532"/>
      <c r="B83" s="496"/>
      <c r="C83" s="513"/>
      <c r="D83" s="489"/>
      <c r="E83" s="489"/>
      <c r="F83" s="489"/>
      <c r="G83" s="489"/>
      <c r="H83" s="489"/>
      <c r="I83" s="489"/>
      <c r="J83" s="489"/>
      <c r="K83" s="489"/>
      <c r="L83" s="489"/>
      <c r="M83" s="490"/>
      <c r="N83" s="944"/>
      <c r="O83" s="944"/>
      <c r="P83" s="44"/>
      <c r="Q83" s="457"/>
    </row>
    <row r="84" spans="1:17" s="426" customFormat="1" ht="14.4" thickTop="1">
      <c r="A84" s="506"/>
      <c r="B84" s="491">
        <f>B27</f>
        <v>111</v>
      </c>
      <c r="C84" s="507"/>
      <c r="D84" s="507"/>
      <c r="E84" s="507"/>
      <c r="F84" s="507"/>
      <c r="G84" s="507"/>
      <c r="H84" s="507"/>
      <c r="I84" s="507"/>
      <c r="J84" s="507"/>
      <c r="K84" s="507"/>
      <c r="L84" s="533"/>
      <c r="M84" s="534"/>
      <c r="N84" s="945"/>
      <c r="O84" s="945"/>
      <c r="P84" s="511"/>
      <c r="Q84" s="512"/>
    </row>
    <row r="85" spans="1:17" s="426" customFormat="1" ht="14.4" thickBot="1">
      <c r="A85" s="506"/>
      <c r="B85" s="496"/>
      <c r="C85" s="513"/>
      <c r="D85" s="489"/>
      <c r="E85" s="489"/>
      <c r="F85" s="489"/>
      <c r="G85" s="489"/>
      <c r="H85" s="489"/>
      <c r="I85" s="489"/>
      <c r="J85" s="489"/>
      <c r="K85" s="489"/>
      <c r="L85" s="489"/>
      <c r="M85" s="490"/>
      <c r="N85" s="945"/>
      <c r="O85" s="945"/>
      <c r="P85" s="511"/>
      <c r="Q85" s="512"/>
    </row>
    <row r="86" spans="1:17" ht="14.4" thickTop="1">
      <c r="A86" s="487"/>
      <c r="B86" s="499">
        <f>B28</f>
        <v>111</v>
      </c>
      <c r="C86" s="476"/>
      <c r="D86" s="476"/>
      <c r="E86" s="476"/>
      <c r="F86" s="476"/>
      <c r="G86" s="540"/>
      <c r="H86" s="540"/>
      <c r="I86" s="540"/>
      <c r="J86" s="540"/>
      <c r="K86" s="541"/>
      <c r="L86" s="542"/>
      <c r="M86" s="543"/>
      <c r="N86" s="943"/>
      <c r="O86" s="943"/>
      <c r="P86" s="44"/>
      <c r="Q86" s="457"/>
    </row>
    <row r="87" spans="1:17" ht="14.4" thickBot="1">
      <c r="A87" s="1922"/>
      <c r="B87" s="522"/>
      <c r="C87" s="523"/>
      <c r="D87" s="523"/>
      <c r="E87" s="523"/>
      <c r="F87" s="523"/>
      <c r="G87" s="544"/>
      <c r="H87" s="544"/>
      <c r="I87" s="544"/>
      <c r="J87" s="544"/>
      <c r="K87" s="544"/>
      <c r="L87" s="544"/>
      <c r="M87" s="545"/>
      <c r="N87" s="944"/>
      <c r="O87" s="944"/>
      <c r="P87" s="44"/>
      <c r="Q87" s="457"/>
    </row>
    <row r="88" spans="1:17" ht="14.4">
      <c r="A88" s="480" t="s">
        <v>1948</v>
      </c>
      <c r="B88" s="481" t="s">
        <v>1997</v>
      </c>
      <c r="C88" s="483"/>
      <c r="D88" s="483"/>
      <c r="E88" s="483"/>
      <c r="F88" s="483"/>
      <c r="G88" s="483"/>
      <c r="H88" s="483"/>
      <c r="I88" s="483"/>
      <c r="J88" s="483"/>
      <c r="K88" s="484"/>
      <c r="L88" s="485"/>
      <c r="M88" s="486"/>
      <c r="N88" s="943"/>
      <c r="O88" s="943"/>
      <c r="P88" s="44"/>
      <c r="Q88" s="457"/>
    </row>
    <row r="89" spans="1:17" ht="14.4"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4.4"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4.4"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4.4"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4.4"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4.4"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4.4"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4.4"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29.4"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4.4"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4.4"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4.4" thickBot="1">
      <c r="A109" s="506"/>
      <c r="B109" s="488"/>
      <c r="C109" s="513"/>
      <c r="D109" s="489"/>
      <c r="E109" s="489"/>
      <c r="F109" s="489"/>
      <c r="G109" s="513"/>
      <c r="H109" s="515"/>
      <c r="I109" s="515"/>
      <c r="J109" s="515"/>
      <c r="K109" s="515"/>
      <c r="L109" s="515"/>
      <c r="M109" s="516"/>
      <c r="N109" s="945"/>
      <c r="O109" s="945"/>
      <c r="P109" s="511"/>
      <c r="Q109" s="512"/>
    </row>
    <row r="110" spans="1:17" ht="14.4" thickTop="1">
      <c r="A110" s="552"/>
      <c r="B110" s="491">
        <f>B39</f>
        <v>111</v>
      </c>
      <c r="C110" s="507"/>
      <c r="D110" s="507"/>
      <c r="E110" s="507"/>
      <c r="F110" s="507"/>
      <c r="G110" s="507"/>
      <c r="H110" s="508"/>
      <c r="I110" s="508"/>
      <c r="J110" s="508"/>
      <c r="K110" s="508"/>
      <c r="L110" s="509"/>
      <c r="M110" s="510"/>
      <c r="N110" s="943"/>
      <c r="O110" s="943"/>
      <c r="P110" s="44"/>
      <c r="Q110" s="457"/>
    </row>
    <row r="111" spans="1:17" ht="14.4" thickBot="1">
      <c r="A111" s="487"/>
      <c r="B111" s="496"/>
      <c r="C111" s="513"/>
      <c r="D111" s="489"/>
      <c r="E111" s="489"/>
      <c r="F111" s="489"/>
      <c r="G111" s="513"/>
      <c r="H111" s="515"/>
      <c r="I111" s="515"/>
      <c r="J111" s="515"/>
      <c r="K111" s="515"/>
      <c r="L111" s="515"/>
      <c r="M111" s="516"/>
      <c r="N111" s="944"/>
      <c r="O111" s="944"/>
      <c r="P111" s="44"/>
      <c r="Q111" s="457"/>
    </row>
    <row r="112" spans="1:17" ht="14.4" thickTop="1">
      <c r="A112" s="552"/>
      <c r="B112" s="499">
        <f>B40</f>
        <v>111</v>
      </c>
      <c r="C112" s="476"/>
      <c r="D112" s="476"/>
      <c r="E112" s="476"/>
      <c r="F112" s="476"/>
      <c r="G112" s="540"/>
      <c r="H112" s="540"/>
      <c r="I112" s="540"/>
      <c r="J112" s="540"/>
      <c r="K112" s="476"/>
      <c r="L112" s="477"/>
      <c r="M112" s="543"/>
      <c r="N112" s="943"/>
      <c r="O112" s="943"/>
      <c r="P112" s="44"/>
      <c r="Q112" s="457"/>
    </row>
    <row r="113" spans="1:17" ht="14.4"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0" customWidth="1"/>
    <col min="2" max="16384" width="9" style="1470"/>
  </cols>
  <sheetData>
    <row r="1" spans="1:1" ht="22.8">
      <c r="A1" s="1469" t="s">
        <v>1140</v>
      </c>
    </row>
    <row r="2" spans="1:1">
      <c r="A2" s="1471"/>
    </row>
    <row r="3" spans="1:1" ht="17.399999999999999">
      <c r="A3" s="1472" t="str">
        <f>项目基本情况!B5&amp;"："</f>
        <v>：</v>
      </c>
    </row>
    <row r="4" spans="1:1" ht="17.399999999999999">
      <c r="A4" s="1473" t="str">
        <f>"受贵公司委托，我公司对"&amp;项目基本情况!S1&amp;"进行了预评估。"</f>
        <v>受贵公司委托，我公司对北京市房地产抵押价值进行了预评估。</v>
      </c>
    </row>
    <row r="5" spans="1:1" ht="17.399999999999999">
      <c r="A5" s="1474" t="s">
        <v>1141</v>
      </c>
    </row>
    <row r="6" spans="1:1" ht="17.399999999999999">
      <c r="A6" s="1475" t="s">
        <v>1142</v>
      </c>
    </row>
    <row r="7" spans="1:1" ht="17.399999999999999">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76" t="s">
        <v>1143</v>
      </c>
    </row>
    <row r="9" spans="1:1" ht="17.399999999999999">
      <c r="A9" s="1475" t="s">
        <v>1144</v>
      </c>
    </row>
    <row r="10" spans="1:1" ht="17.399999999999999">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76" t="s">
        <v>1145</v>
      </c>
    </row>
    <row r="12" spans="1:1" ht="17.399999999999999">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78" t="s">
        <v>1147</v>
      </c>
    </row>
    <row r="15" spans="1:1" ht="17.399999999999999">
      <c r="A15" s="1479" t="str">
        <f>TEXT(项目基本情况!D3,"yyyy年m月d日;;")&amp;IF(项目基本情况!D3=项目基本情况!B3,"（评估专业人员实地查勘之日）","")</f>
        <v>2022年4月29日</v>
      </c>
    </row>
    <row r="16" spans="1:1" ht="17.399999999999999">
      <c r="A16" s="1478" t="s">
        <v>1148</v>
      </c>
    </row>
    <row r="17" spans="1:1" ht="69.599999999999994">
      <c r="A17" s="1473" t="s">
        <v>1149</v>
      </c>
    </row>
    <row r="18" spans="1:1" ht="69.59999999999999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8" t="s">
        <v>1138</v>
      </c>
    </row>
    <row r="24" spans="1:1" ht="17.399999999999999">
      <c r="A24" s="1480" t="str">
        <f>"本次评估采用的主估价方法为"&amp;结果表!K4&amp;"和"&amp;结果表!L4&amp;"。"</f>
        <v>本次评估采用的主估价方法为基准地价系数修正法和基准地价系数修正法。</v>
      </c>
    </row>
    <row r="25" spans="1:1" ht="17.399999999999999">
      <c r="A25" s="1480"/>
    </row>
    <row r="26" spans="1:1" ht="17.399999999999999">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5.44140625" style="359" customWidth="1"/>
    <col min="10" max="10" width="12.21875" style="359" customWidth="1"/>
    <col min="11" max="11" width="12.21875" style="448" customWidth="1"/>
    <col min="12" max="12" width="12.21875" style="449" customWidth="1"/>
    <col min="13" max="15" width="12.21875" style="359" customWidth="1"/>
    <col min="16" max="16" width="4.77734375" style="916"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4.4">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29">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593"/>
      <c r="AC5" s="3593"/>
    </row>
    <row r="6" spans="1:29" ht="15" thickBot="1">
      <c r="A6" s="362"/>
      <c r="B6" s="363"/>
      <c r="C6" s="3605" t="s">
        <v>1931</v>
      </c>
      <c r="D6" s="3606"/>
      <c r="E6" s="3607" t="s">
        <v>1931</v>
      </c>
      <c r="F6" s="3608"/>
      <c r="G6" s="3605" t="s">
        <v>1931</v>
      </c>
      <c r="H6" s="3606"/>
      <c r="I6" s="3605" t="s">
        <v>1931</v>
      </c>
      <c r="J6" s="3606"/>
      <c r="K6" s="563" t="s">
        <v>1932</v>
      </c>
      <c r="L6" s="2542"/>
      <c r="M6" s="2543"/>
      <c r="N6" s="2543"/>
      <c r="O6" s="2543"/>
      <c r="P6" s="3618"/>
      <c r="Q6" s="3619"/>
      <c r="R6" s="3599"/>
      <c r="S6" s="3600"/>
      <c r="T6" s="3620"/>
      <c r="U6" s="3621"/>
      <c r="V6" s="3622"/>
      <c r="W6" s="3622"/>
      <c r="X6" s="1348"/>
      <c r="Y6" s="3620"/>
      <c r="Z6" s="3621"/>
      <c r="AA6" s="3594"/>
      <c r="AB6" s="3594"/>
      <c r="AC6" s="3594"/>
    </row>
    <row r="7" spans="1:29" s="112" customFormat="1" ht="15" thickBot="1">
      <c r="A7" s="364" t="s">
        <v>1933</v>
      </c>
      <c r="B7" s="365"/>
      <c r="C7" s="366">
        <f>'数据-取费表'!B2</f>
        <v>44680</v>
      </c>
      <c r="D7" s="367">
        <v>100</v>
      </c>
      <c r="E7" s="368"/>
      <c r="F7" s="369">
        <f>SUMIF(48:48,YEAR(E7)&amp;"-"&amp;MONTH(E7),49:49)</f>
        <v>0</v>
      </c>
      <c r="G7" s="368"/>
      <c r="H7" s="367">
        <f>SUMIF(48:48,YEAR(G7)&amp;"-"&amp;MONTH(G7),49:49)</f>
        <v>0</v>
      </c>
      <c r="I7" s="368"/>
      <c r="J7" s="367">
        <f>SUMIF(48:48,YEAR(I7)&amp;"-"&amp;MONTH(I7),49:49)</f>
        <v>0</v>
      </c>
      <c r="K7" s="564"/>
      <c r="L7" s="2544"/>
      <c r="M7" s="2545"/>
      <c r="N7" s="2545"/>
      <c r="O7" s="2545"/>
      <c r="P7" s="3595" t="s">
        <v>1934</v>
      </c>
      <c r="Q7" s="3623"/>
      <c r="R7" s="705" t="s">
        <v>17</v>
      </c>
      <c r="S7" s="706">
        <f t="shared" ref="S7:S14" si="0">F7</f>
        <v>0</v>
      </c>
      <c r="T7" s="705" t="s">
        <v>17</v>
      </c>
      <c r="U7" s="706">
        <f t="shared" ref="U7:U14" si="1">H7</f>
        <v>0</v>
      </c>
      <c r="V7" s="705" t="s">
        <v>17</v>
      </c>
      <c r="W7" s="706">
        <f t="shared" ref="W7:W14" si="2">J7</f>
        <v>0</v>
      </c>
      <c r="X7" s="707"/>
      <c r="Y7" s="3595" t="s">
        <v>1934</v>
      </c>
      <c r="Z7" s="3596"/>
      <c r="AA7" s="708" t="e">
        <f>D7/F7</f>
        <v>#DIV/0!</v>
      </c>
      <c r="AB7" s="708" t="e">
        <f>D7/H7</f>
        <v>#DIV/0!</v>
      </c>
      <c r="AC7" s="708" t="e">
        <f>D7/J7</f>
        <v>#DIV/0!</v>
      </c>
    </row>
    <row r="8" spans="1:29" s="112" customFormat="1" ht="1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36" si="3">D8/F8</f>
        <v>#DIV/0!</v>
      </c>
      <c r="AB8" s="708" t="e">
        <f t="shared" ref="AB8:AB36" si="4">D8/H8</f>
        <v>#DIV/0!</v>
      </c>
      <c r="AC8" s="708" t="e">
        <f t="shared" ref="AC8:AC36" si="5">D8/J8</f>
        <v>#DIV/0!</v>
      </c>
    </row>
    <row r="9" spans="1:29" s="112" customFormat="1" ht="14.4">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627" t="s">
        <v>1940</v>
      </c>
      <c r="Q9" s="1338" t="str">
        <f t="shared" ref="Q9:Q14" si="6">B9</f>
        <v>用途</v>
      </c>
      <c r="R9" s="705" t="s">
        <v>17</v>
      </c>
      <c r="S9" s="706">
        <f t="shared" si="0"/>
        <v>100</v>
      </c>
      <c r="T9" s="705" t="s">
        <v>17</v>
      </c>
      <c r="U9" s="706">
        <f t="shared" si="1"/>
        <v>100</v>
      </c>
      <c r="V9" s="705" t="s">
        <v>17</v>
      </c>
      <c r="W9" s="706">
        <f t="shared" si="2"/>
        <v>100</v>
      </c>
      <c r="X9" s="707"/>
      <c r="Y9" s="3539" t="s">
        <v>1941</v>
      </c>
      <c r="Z9" s="54" t="str">
        <f t="shared" ref="Z9:Z14" si="7">Q9</f>
        <v>用途</v>
      </c>
      <c r="AA9" s="708">
        <f t="shared" si="3"/>
        <v>1</v>
      </c>
      <c r="AB9" s="708">
        <f t="shared" si="4"/>
        <v>1</v>
      </c>
      <c r="AC9" s="708">
        <f t="shared" si="5"/>
        <v>1</v>
      </c>
    </row>
    <row r="10" spans="1:29" s="382" customFormat="1" ht="28.8">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627"/>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627"/>
      <c r="Q11" s="1338">
        <f t="shared" si="6"/>
        <v>111</v>
      </c>
      <c r="R11" s="705" t="s">
        <v>17</v>
      </c>
      <c r="S11" s="706">
        <f t="shared" si="0"/>
        <v>100</v>
      </c>
      <c r="T11" s="705" t="s">
        <v>17</v>
      </c>
      <c r="U11" s="706">
        <f t="shared" si="1"/>
        <v>100</v>
      </c>
      <c r="V11" s="705" t="s">
        <v>17</v>
      </c>
      <c r="W11" s="706">
        <f t="shared" si="2"/>
        <v>100</v>
      </c>
      <c r="X11" s="707"/>
      <c r="Y11" s="3539"/>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627"/>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6"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96.6">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629" t="s">
        <v>1945</v>
      </c>
      <c r="Q14" s="1345" t="str">
        <f t="shared" si="6"/>
        <v>交通便捷度</v>
      </c>
      <c r="R14" s="709" t="s">
        <v>17</v>
      </c>
      <c r="S14" s="710">
        <f t="shared" si="0"/>
        <v>100</v>
      </c>
      <c r="T14" s="709" t="s">
        <v>17</v>
      </c>
      <c r="U14" s="710">
        <f t="shared" si="1"/>
        <v>100</v>
      </c>
      <c r="V14" s="709" t="s">
        <v>17</v>
      </c>
      <c r="W14" s="710">
        <f t="shared" si="2"/>
        <v>100</v>
      </c>
      <c r="X14" s="1348"/>
      <c r="Y14" s="3629"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630"/>
      <c r="Q15" s="1345"/>
      <c r="R15" s="709"/>
      <c r="S15" s="710"/>
      <c r="T15" s="709"/>
      <c r="U15" s="710"/>
      <c r="V15" s="709"/>
      <c r="W15" s="710"/>
      <c r="X15" s="1348"/>
      <c r="Y15" s="3630"/>
      <c r="Z15" s="1349"/>
      <c r="AA15" s="1346">
        <v>1</v>
      </c>
      <c r="AB15" s="1346">
        <v>1</v>
      </c>
      <c r="AC15" s="1346">
        <v>1</v>
      </c>
    </row>
    <row r="16" spans="1:29" ht="41.4">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630"/>
      <c r="Q16" s="1345" t="str">
        <f>B16</f>
        <v>公共配套设施</v>
      </c>
      <c r="R16" s="709" t="s">
        <v>17</v>
      </c>
      <c r="S16" s="710">
        <f>F16</f>
        <v>100</v>
      </c>
      <c r="T16" s="709" t="s">
        <v>17</v>
      </c>
      <c r="U16" s="710">
        <f>H16</f>
        <v>100</v>
      </c>
      <c r="V16" s="709" t="s">
        <v>17</v>
      </c>
      <c r="W16" s="710">
        <f>J16</f>
        <v>100</v>
      </c>
      <c r="X16" s="1348"/>
      <c r="Y16" s="3630"/>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630"/>
      <c r="Q17" s="1345"/>
      <c r="R17" s="709"/>
      <c r="S17" s="710"/>
      <c r="T17" s="709"/>
      <c r="U17" s="710"/>
      <c r="V17" s="709"/>
      <c r="W17" s="710"/>
      <c r="X17" s="1348"/>
      <c r="Y17" s="3630"/>
      <c r="Z17" s="1349"/>
      <c r="AA17" s="1346">
        <v>1</v>
      </c>
      <c r="AB17" s="1346">
        <v>1</v>
      </c>
      <c r="AC17" s="1346">
        <v>1</v>
      </c>
    </row>
    <row r="18" spans="1:29" ht="41.4">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630"/>
      <c r="Q18" s="1345" t="str">
        <f>B18</f>
        <v>基础设施水平</v>
      </c>
      <c r="R18" s="709" t="s">
        <v>17</v>
      </c>
      <c r="S18" s="710">
        <f>F18</f>
        <v>100</v>
      </c>
      <c r="T18" s="709" t="s">
        <v>17</v>
      </c>
      <c r="U18" s="710">
        <f>H18</f>
        <v>100</v>
      </c>
      <c r="V18" s="709" t="s">
        <v>17</v>
      </c>
      <c r="W18" s="710">
        <f>J18</f>
        <v>100</v>
      </c>
      <c r="X18" s="1348"/>
      <c r="Y18" s="3630"/>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630"/>
      <c r="Q19" s="1345"/>
      <c r="R19" s="709"/>
      <c r="S19" s="710"/>
      <c r="T19" s="709"/>
      <c r="U19" s="710"/>
      <c r="V19" s="709"/>
      <c r="W19" s="710"/>
      <c r="X19" s="1348"/>
      <c r="Y19" s="3630"/>
      <c r="Z19" s="1349"/>
      <c r="AA19" s="1346">
        <v>1</v>
      </c>
      <c r="AB19" s="1346">
        <v>1</v>
      </c>
      <c r="AC19" s="1346">
        <v>1</v>
      </c>
    </row>
    <row r="20" spans="1:29" ht="55.2">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630"/>
      <c r="Q20" s="1345" t="str">
        <f>B20</f>
        <v>自然及人文环境</v>
      </c>
      <c r="R20" s="709" t="s">
        <v>17</v>
      </c>
      <c r="S20" s="710">
        <f>F20</f>
        <v>100</v>
      </c>
      <c r="T20" s="709" t="s">
        <v>17</v>
      </c>
      <c r="U20" s="710">
        <f>H20</f>
        <v>100</v>
      </c>
      <c r="V20" s="709" t="s">
        <v>17</v>
      </c>
      <c r="W20" s="710">
        <f>J20</f>
        <v>100</v>
      </c>
      <c r="X20" s="1348"/>
      <c r="Y20" s="3630"/>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630"/>
      <c r="Q21" s="1345"/>
      <c r="R21" s="709"/>
      <c r="S21" s="710"/>
      <c r="T21" s="709"/>
      <c r="U21" s="710"/>
      <c r="V21" s="709"/>
      <c r="W21" s="710"/>
      <c r="X21" s="1348"/>
      <c r="Y21" s="3630"/>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630"/>
      <c r="Q22" s="1345" t="str">
        <f>B22</f>
        <v>楼层</v>
      </c>
      <c r="R22" s="709" t="s">
        <v>17</v>
      </c>
      <c r="S22" s="710">
        <f>F22</f>
        <v>100</v>
      </c>
      <c r="T22" s="709" t="s">
        <v>17</v>
      </c>
      <c r="U22" s="710">
        <f>H22</f>
        <v>100</v>
      </c>
      <c r="V22" s="709" t="s">
        <v>17</v>
      </c>
      <c r="W22" s="710">
        <f>J22</f>
        <v>100</v>
      </c>
      <c r="X22" s="1348"/>
      <c r="Y22" s="3630"/>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630"/>
      <c r="Q23" s="1345">
        <f>B23</f>
        <v>111</v>
      </c>
      <c r="R23" s="709" t="s">
        <v>17</v>
      </c>
      <c r="S23" s="710">
        <f>F23</f>
        <v>100</v>
      </c>
      <c r="T23" s="709" t="s">
        <v>17</v>
      </c>
      <c r="U23" s="710">
        <f>H23</f>
        <v>100</v>
      </c>
      <c r="V23" s="709" t="s">
        <v>17</v>
      </c>
      <c r="W23" s="710">
        <f>J23</f>
        <v>100</v>
      </c>
      <c r="X23" s="1348"/>
      <c r="Y23" s="3630"/>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630"/>
      <c r="Q24" s="1345">
        <f t="shared" ref="Q24:Q36" si="11">B24</f>
        <v>111</v>
      </c>
      <c r="R24" s="709" t="s">
        <v>17</v>
      </c>
      <c r="S24" s="710">
        <f>F24</f>
        <v>100</v>
      </c>
      <c r="T24" s="709" t="s">
        <v>17</v>
      </c>
      <c r="U24" s="710">
        <f>H24</f>
        <v>100</v>
      </c>
      <c r="V24" s="709" t="s">
        <v>17</v>
      </c>
      <c r="W24" s="710">
        <f>J24</f>
        <v>100</v>
      </c>
      <c r="X24" s="1348"/>
      <c r="Y24" s="3630"/>
      <c r="Z24" s="1349">
        <f>Q24</f>
        <v>111</v>
      </c>
      <c r="AA24" s="1346">
        <f t="shared" si="3"/>
        <v>1</v>
      </c>
      <c r="AB24" s="1346">
        <f t="shared" si="4"/>
        <v>1</v>
      </c>
      <c r="AC24" s="1346">
        <f t="shared" si="5"/>
        <v>1</v>
      </c>
    </row>
    <row r="25" spans="1:29" s="112" customFormat="1" ht="15.6"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630"/>
      <c r="Q25" s="1338">
        <f t="shared" si="11"/>
        <v>111</v>
      </c>
      <c r="R25" s="705" t="s">
        <v>17</v>
      </c>
      <c r="S25" s="706">
        <f>F25</f>
        <v>100</v>
      </c>
      <c r="T25" s="705" t="s">
        <v>17</v>
      </c>
      <c r="U25" s="706">
        <f>H25</f>
        <v>100</v>
      </c>
      <c r="V25" s="705" t="s">
        <v>17</v>
      </c>
      <c r="W25" s="706">
        <f>J25</f>
        <v>100</v>
      </c>
      <c r="X25" s="707"/>
      <c r="Y25" s="3630"/>
      <c r="Z25" s="54">
        <f>Q25</f>
        <v>111</v>
      </c>
      <c r="AA25" s="1346">
        <f>D25/F25</f>
        <v>1</v>
      </c>
      <c r="AB25" s="1346">
        <f>D25/H25</f>
        <v>1</v>
      </c>
      <c r="AC25" s="1346">
        <f>D25/J25</f>
        <v>1</v>
      </c>
    </row>
    <row r="26" spans="1:29" ht="30">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3"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34"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34"/>
      <c r="Q27" s="711" t="str">
        <f t="shared" si="11"/>
        <v>项目停车位配比</v>
      </c>
      <c r="R27" s="712" t="s">
        <v>17</v>
      </c>
      <c r="S27" s="713">
        <f t="shared" si="12"/>
        <v>100</v>
      </c>
      <c r="T27" s="712" t="s">
        <v>17</v>
      </c>
      <c r="U27" s="713">
        <f t="shared" si="13"/>
        <v>100</v>
      </c>
      <c r="V27" s="712" t="s">
        <v>17</v>
      </c>
      <c r="W27" s="713">
        <f t="shared" si="14"/>
        <v>100</v>
      </c>
      <c r="X27" s="714"/>
      <c r="Y27" s="3634"/>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34"/>
      <c r="Q28" s="1345" t="str">
        <f t="shared" si="11"/>
        <v>公共部分装修</v>
      </c>
      <c r="R28" s="709" t="s">
        <v>17</v>
      </c>
      <c r="S28" s="710">
        <f t="shared" si="12"/>
        <v>100</v>
      </c>
      <c r="T28" s="709" t="s">
        <v>17</v>
      </c>
      <c r="U28" s="710">
        <f t="shared" si="13"/>
        <v>100</v>
      </c>
      <c r="V28" s="709" t="s">
        <v>17</v>
      </c>
      <c r="W28" s="710">
        <f t="shared" si="14"/>
        <v>100</v>
      </c>
      <c r="X28" s="1348"/>
      <c r="Y28" s="3634"/>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34"/>
      <c r="Q29" s="1345" t="str">
        <f t="shared" si="11"/>
        <v>成新率</v>
      </c>
      <c r="R29" s="709" t="s">
        <v>17</v>
      </c>
      <c r="S29" s="710" t="e">
        <f t="shared" si="12"/>
        <v>#N/A</v>
      </c>
      <c r="T29" s="709" t="s">
        <v>17</v>
      </c>
      <c r="U29" s="710" t="e">
        <f t="shared" si="13"/>
        <v>#N/A</v>
      </c>
      <c r="V29" s="709" t="s">
        <v>17</v>
      </c>
      <c r="W29" s="710" t="e">
        <f t="shared" si="14"/>
        <v>#N/A</v>
      </c>
      <c r="X29" s="1348"/>
      <c r="Y29" s="3634"/>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34"/>
      <c r="Q30" s="1345" t="str">
        <f t="shared" si="11"/>
        <v>物业等级</v>
      </c>
      <c r="R30" s="709" t="s">
        <v>17</v>
      </c>
      <c r="S30" s="710">
        <f t="shared" si="12"/>
        <v>100</v>
      </c>
      <c r="T30" s="709" t="s">
        <v>17</v>
      </c>
      <c r="U30" s="710">
        <f t="shared" si="13"/>
        <v>100</v>
      </c>
      <c r="V30" s="709" t="s">
        <v>17</v>
      </c>
      <c r="W30" s="710">
        <f t="shared" si="14"/>
        <v>100</v>
      </c>
      <c r="X30" s="1348"/>
      <c r="Y30" s="3634"/>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34"/>
      <c r="Q31" s="1338" t="str">
        <f t="shared" si="11"/>
        <v>停车位面积</v>
      </c>
      <c r="R31" s="705" t="s">
        <v>17</v>
      </c>
      <c r="S31" s="706" t="e">
        <f t="shared" si="12"/>
        <v>#N/A</v>
      </c>
      <c r="T31" s="705" t="s">
        <v>17</v>
      </c>
      <c r="U31" s="706" t="e">
        <f t="shared" si="13"/>
        <v>#N/A</v>
      </c>
      <c r="V31" s="705" t="s">
        <v>17</v>
      </c>
      <c r="W31" s="706" t="e">
        <f t="shared" si="14"/>
        <v>#N/A</v>
      </c>
      <c r="X31" s="707"/>
      <c r="Y31" s="3634"/>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34" t="s">
        <v>1950</v>
      </c>
      <c r="Q32" s="1345" t="str">
        <f t="shared" si="11"/>
        <v>车位类型</v>
      </c>
      <c r="R32" s="709" t="s">
        <v>17</v>
      </c>
      <c r="S32" s="710">
        <f t="shared" si="12"/>
        <v>100</v>
      </c>
      <c r="T32" s="709" t="s">
        <v>17</v>
      </c>
      <c r="U32" s="710">
        <f t="shared" si="13"/>
        <v>100</v>
      </c>
      <c r="V32" s="709" t="s">
        <v>17</v>
      </c>
      <c r="W32" s="710">
        <f t="shared" si="14"/>
        <v>100</v>
      </c>
      <c r="X32" s="1348"/>
      <c r="Y32" s="3634"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34"/>
      <c r="Q33" s="1345" t="str">
        <f t="shared" si="11"/>
        <v>是否直接入户</v>
      </c>
      <c r="R33" s="709" t="s">
        <v>17</v>
      </c>
      <c r="S33" s="710">
        <f t="shared" si="12"/>
        <v>100</v>
      </c>
      <c r="T33" s="709" t="s">
        <v>17</v>
      </c>
      <c r="U33" s="710">
        <f t="shared" si="13"/>
        <v>100</v>
      </c>
      <c r="V33" s="709" t="s">
        <v>17</v>
      </c>
      <c r="W33" s="710">
        <f t="shared" si="14"/>
        <v>100</v>
      </c>
      <c r="X33" s="1348"/>
      <c r="Y33" s="3634"/>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34"/>
      <c r="Q34" s="1345">
        <f t="shared" si="11"/>
        <v>111</v>
      </c>
      <c r="R34" s="709" t="s">
        <v>17</v>
      </c>
      <c r="S34" s="710">
        <f t="shared" si="12"/>
        <v>100</v>
      </c>
      <c r="T34" s="709" t="s">
        <v>17</v>
      </c>
      <c r="U34" s="710">
        <f t="shared" si="13"/>
        <v>100</v>
      </c>
      <c r="V34" s="709" t="s">
        <v>17</v>
      </c>
      <c r="W34" s="710">
        <f t="shared" si="14"/>
        <v>100</v>
      </c>
      <c r="X34" s="1348"/>
      <c r="Y34" s="3634"/>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34"/>
      <c r="Q35" s="711">
        <f t="shared" si="11"/>
        <v>111</v>
      </c>
      <c r="R35" s="712" t="s">
        <v>17</v>
      </c>
      <c r="S35" s="713">
        <f t="shared" si="12"/>
        <v>100</v>
      </c>
      <c r="T35" s="712" t="s">
        <v>17</v>
      </c>
      <c r="U35" s="713">
        <f t="shared" si="13"/>
        <v>100</v>
      </c>
      <c r="V35" s="712" t="s">
        <v>17</v>
      </c>
      <c r="W35" s="713">
        <f t="shared" si="14"/>
        <v>100</v>
      </c>
      <c r="X35" s="714"/>
      <c r="Y35" s="3634"/>
      <c r="Z35" s="715">
        <f t="shared" si="15"/>
        <v>111</v>
      </c>
      <c r="AA35" s="1346">
        <f t="shared" si="3"/>
        <v>1</v>
      </c>
      <c r="AB35" s="1346">
        <f t="shared" si="4"/>
        <v>1</v>
      </c>
      <c r="AC35" s="1346">
        <f t="shared" si="5"/>
        <v>1</v>
      </c>
    </row>
    <row r="36" spans="1:29" ht="15.6"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34"/>
      <c r="Q36" s="1345">
        <f t="shared" si="11"/>
        <v>111</v>
      </c>
      <c r="R36" s="709" t="s">
        <v>17</v>
      </c>
      <c r="S36" s="710">
        <f t="shared" si="12"/>
        <v>100</v>
      </c>
      <c r="T36" s="709" t="s">
        <v>17</v>
      </c>
      <c r="U36" s="710">
        <f t="shared" si="13"/>
        <v>100</v>
      </c>
      <c r="V36" s="709" t="s">
        <v>17</v>
      </c>
      <c r="W36" s="710">
        <f t="shared" si="14"/>
        <v>100</v>
      </c>
      <c r="X36" s="1348"/>
      <c r="Y36" s="3634"/>
      <c r="Z36" s="1349">
        <f t="shared" si="15"/>
        <v>111</v>
      </c>
      <c r="AA36" s="1346">
        <f t="shared" si="3"/>
        <v>1</v>
      </c>
      <c r="AB36" s="1346">
        <f t="shared" si="4"/>
        <v>1</v>
      </c>
      <c r="AC36" s="1346">
        <f t="shared" si="5"/>
        <v>1</v>
      </c>
    </row>
    <row r="37" spans="1:29" ht="14.4">
      <c r="A37" s="434" t="s">
        <v>2105</v>
      </c>
      <c r="B37" s="1967" t="s">
        <v>2106</v>
      </c>
      <c r="C37" s="1160" t="s">
        <v>1</v>
      </c>
      <c r="D37" s="1161"/>
      <c r="E37" s="1162"/>
      <c r="F37" s="1163"/>
      <c r="G37" s="1164"/>
      <c r="H37" s="1165"/>
      <c r="I37" s="1162"/>
      <c r="J37" s="1165"/>
      <c r="K37" s="572"/>
      <c r="L37" s="2551"/>
      <c r="M37" s="2552"/>
      <c r="N37" s="2543"/>
      <c r="O37" s="2552"/>
      <c r="P37" s="3627" t="str">
        <f>A37</f>
        <v>成交单价</v>
      </c>
      <c r="Q37" s="3627"/>
      <c r="R37" s="3628">
        <f>E37</f>
        <v>0</v>
      </c>
      <c r="S37" s="3628"/>
      <c r="T37" s="3628">
        <f>G37</f>
        <v>0</v>
      </c>
      <c r="U37" s="3628"/>
      <c r="V37" s="3628">
        <f>I37</f>
        <v>0</v>
      </c>
      <c r="W37" s="3628"/>
      <c r="X37" s="694"/>
      <c r="Y37" s="716"/>
      <c r="Z37" s="694"/>
      <c r="AA37" s="694"/>
      <c r="AB37" s="694"/>
      <c r="AC37" s="694"/>
    </row>
    <row r="38" spans="1:29" ht="1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627" t="str">
        <f>A38</f>
        <v>比较价值（元/平方米）</v>
      </c>
      <c r="Q38" s="3627"/>
      <c r="R38" s="3628" t="e">
        <f>IF(F1="售价",ROUND(PRODUCT(R37,AA7:AA36),0),ROUND(PRODUCT(R37,AA7:AA36),1))</f>
        <v>#DIV/0!</v>
      </c>
      <c r="S38" s="3628"/>
      <c r="T38" s="3628" t="e">
        <f>IF(F1="售价",ROUND(PRODUCT(T37,AB7:AB36),0),ROUND(PRODUCT(T37,AB7:AB36),1))</f>
        <v>#DIV/0!</v>
      </c>
      <c r="U38" s="3628"/>
      <c r="V38" s="3628" t="e">
        <f>IF(F1="售价",ROUND(PRODUCT(V37,AC7:AC36),0),ROUND(PRODUCT(V37,AC7:AC36),1))</f>
        <v>#DIV/0!</v>
      </c>
      <c r="W38" s="3628"/>
      <c r="X38" s="694"/>
      <c r="Y38" s="694"/>
      <c r="Z38" s="694"/>
      <c r="AA38" s="694"/>
      <c r="AB38" s="694"/>
      <c r="AC38" s="694"/>
    </row>
    <row r="39" spans="1:29" ht="15" thickBot="1">
      <c r="A39" s="445" t="s">
        <v>2108</v>
      </c>
      <c r="B39" s="446"/>
      <c r="C39" s="1169" t="e">
        <f>R39</f>
        <v>#DIV/0!</v>
      </c>
      <c r="D39" s="1169"/>
      <c r="E39" s="1169"/>
      <c r="F39" s="1169"/>
      <c r="G39" s="1169"/>
      <c r="H39" s="1169"/>
      <c r="I39" s="1169"/>
      <c r="J39" s="1169"/>
      <c r="K39" s="573"/>
      <c r="L39" s="2551"/>
      <c r="M39" s="2552"/>
      <c r="N39" s="2552"/>
      <c r="O39" s="2552"/>
      <c r="P39" s="3624" t="str">
        <f>A39</f>
        <v>估价对象XX用房的比较价值（楼面单价，元/平方米）</v>
      </c>
      <c r="Q39" s="3625"/>
      <c r="R39" s="3654" t="e">
        <f>IF(F1="售价",ROUND(IF(D38="简单平均",AVERAGE(R38:W38),R38*F38+T38*H38+V38*J38),0),ROUND(IF(D38="简单平均",AVERAGE(R38:V38),R38*F38+T38*H38+V38*J38),1))</f>
        <v>#DIV/0!</v>
      </c>
      <c r="S39" s="3654"/>
      <c r="T39" s="3654"/>
      <c r="U39" s="3654"/>
      <c r="V39" s="3654"/>
      <c r="W39" s="3654"/>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2.2"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4.4">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4.4">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4.4"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ht="14.4">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4.4"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9.4"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4.4"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4.4"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4.4"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4.4"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4.4"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4.4"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4.4"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4.4"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4.4"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4.4"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4.4"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4.4"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4.4"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4.4"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4.4"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4.4"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4.4"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4.4"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9.4"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4.4"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4.4"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4.4"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4.4"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4.4"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4.4"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4.4"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4.4"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4.4"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4.4"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4.4"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4.4"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4.4"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4.4"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4.4"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4.4">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29">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593"/>
      <c r="AC5" s="3593"/>
    </row>
    <row r="6" spans="1:29" ht="15" thickBot="1">
      <c r="A6" s="362"/>
      <c r="B6" s="363"/>
      <c r="C6" s="3605" t="s">
        <v>1931</v>
      </c>
      <c r="D6" s="3606"/>
      <c r="E6" s="3607" t="s">
        <v>1931</v>
      </c>
      <c r="F6" s="3608"/>
      <c r="G6" s="3605" t="s">
        <v>1931</v>
      </c>
      <c r="H6" s="3606"/>
      <c r="I6" s="3605" t="s">
        <v>1931</v>
      </c>
      <c r="J6" s="3606"/>
      <c r="K6" s="563" t="s">
        <v>1932</v>
      </c>
      <c r="L6" s="2542"/>
      <c r="M6" s="2543"/>
      <c r="N6" s="2543"/>
      <c r="O6" s="2543"/>
      <c r="P6" s="3618"/>
      <c r="Q6" s="3619"/>
      <c r="R6" s="3599"/>
      <c r="S6" s="3600"/>
      <c r="T6" s="3620"/>
      <c r="U6" s="3621"/>
      <c r="V6" s="3622"/>
      <c r="W6" s="3622"/>
      <c r="X6" s="1348"/>
      <c r="Y6" s="3620"/>
      <c r="Z6" s="3621"/>
      <c r="AA6" s="3594"/>
      <c r="AB6" s="3594"/>
      <c r="AC6" s="3594"/>
    </row>
    <row r="7" spans="1:29" s="112" customFormat="1" ht="15" thickBot="1">
      <c r="A7" s="364" t="s">
        <v>1933</v>
      </c>
      <c r="B7" s="365"/>
      <c r="C7" s="366">
        <f>'数据-取费表'!B2</f>
        <v>44680</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595" t="s">
        <v>1934</v>
      </c>
      <c r="Q7" s="3623"/>
      <c r="R7" s="705" t="s">
        <v>17</v>
      </c>
      <c r="S7" s="706">
        <f t="shared" ref="S7:S14" si="0">F7</f>
        <v>0</v>
      </c>
      <c r="T7" s="705" t="s">
        <v>17</v>
      </c>
      <c r="U7" s="706">
        <f t="shared" ref="U7:U14" si="1">H7</f>
        <v>0</v>
      </c>
      <c r="V7" s="705" t="s">
        <v>17</v>
      </c>
      <c r="W7" s="706">
        <f t="shared" ref="W7:W14" si="2">J7</f>
        <v>0</v>
      </c>
      <c r="X7" s="707"/>
      <c r="Y7" s="3595" t="s">
        <v>1934</v>
      </c>
      <c r="Z7" s="3596"/>
      <c r="AA7" s="708" t="e">
        <f>D7/F7</f>
        <v>#DIV/0!</v>
      </c>
      <c r="AB7" s="708" t="e">
        <f>D7/H7</f>
        <v>#DIV/0!</v>
      </c>
      <c r="AC7" s="708" t="e">
        <f>D7/J7</f>
        <v>#DIV/0!</v>
      </c>
    </row>
    <row r="8" spans="1:29" s="112" customFormat="1" ht="1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34" si="3">D8/F8</f>
        <v>#DIV/0!</v>
      </c>
      <c r="AB8" s="708" t="e">
        <f t="shared" ref="AB8:AB34" si="4">D8/H8</f>
        <v>#DIV/0!</v>
      </c>
      <c r="AC8" s="708" t="e">
        <f t="shared" ref="AC8:AC34" si="5">D8/J8</f>
        <v>#DIV/0!</v>
      </c>
    </row>
    <row r="9" spans="1:29" s="112" customFormat="1" ht="14.4">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627" t="s">
        <v>1940</v>
      </c>
      <c r="Q9" s="1338" t="str">
        <f t="shared" ref="Q9:Q14" si="6">B9</f>
        <v>用途</v>
      </c>
      <c r="R9" s="705" t="s">
        <v>17</v>
      </c>
      <c r="S9" s="706">
        <f t="shared" si="0"/>
        <v>100</v>
      </c>
      <c r="T9" s="705" t="s">
        <v>17</v>
      </c>
      <c r="U9" s="706">
        <f t="shared" si="1"/>
        <v>100</v>
      </c>
      <c r="V9" s="705" t="s">
        <v>17</v>
      </c>
      <c r="W9" s="706">
        <f t="shared" si="2"/>
        <v>100</v>
      </c>
      <c r="X9" s="707"/>
      <c r="Y9" s="3539" t="s">
        <v>1941</v>
      </c>
      <c r="Z9" s="54" t="str">
        <f t="shared" ref="Z9:Z14" si="7">Q9</f>
        <v>用途</v>
      </c>
      <c r="AA9" s="708">
        <f t="shared" si="3"/>
        <v>1</v>
      </c>
      <c r="AB9" s="708">
        <f t="shared" si="4"/>
        <v>1</v>
      </c>
      <c r="AC9" s="708">
        <f t="shared" si="5"/>
        <v>1</v>
      </c>
    </row>
    <row r="10" spans="1:29" s="382" customFormat="1" ht="28.8">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627"/>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627"/>
      <c r="Q11" s="1338">
        <f t="shared" si="6"/>
        <v>111</v>
      </c>
      <c r="R11" s="705" t="s">
        <v>17</v>
      </c>
      <c r="S11" s="706">
        <f t="shared" si="0"/>
        <v>100</v>
      </c>
      <c r="T11" s="705" t="s">
        <v>17</v>
      </c>
      <c r="U11" s="706">
        <f t="shared" si="1"/>
        <v>100</v>
      </c>
      <c r="V11" s="705" t="s">
        <v>17</v>
      </c>
      <c r="W11" s="706">
        <f t="shared" si="2"/>
        <v>100</v>
      </c>
      <c r="X11" s="707"/>
      <c r="Y11" s="3539"/>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627"/>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6"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96.6">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629" t="s">
        <v>1945</v>
      </c>
      <c r="Q14" s="1345" t="str">
        <f t="shared" si="6"/>
        <v>交通便捷度</v>
      </c>
      <c r="R14" s="709" t="s">
        <v>17</v>
      </c>
      <c r="S14" s="710">
        <f t="shared" si="0"/>
        <v>100</v>
      </c>
      <c r="T14" s="709" t="s">
        <v>17</v>
      </c>
      <c r="U14" s="710">
        <f t="shared" si="1"/>
        <v>100</v>
      </c>
      <c r="V14" s="709" t="s">
        <v>17</v>
      </c>
      <c r="W14" s="710">
        <f t="shared" si="2"/>
        <v>100</v>
      </c>
      <c r="X14" s="1348"/>
      <c r="Y14" s="3629"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630"/>
      <c r="Q15" s="1345"/>
      <c r="R15" s="709"/>
      <c r="S15" s="710"/>
      <c r="T15" s="709"/>
      <c r="U15" s="710"/>
      <c r="V15" s="709"/>
      <c r="W15" s="710"/>
      <c r="X15" s="1348"/>
      <c r="Y15" s="3630"/>
      <c r="Z15" s="1349"/>
      <c r="AA15" s="1346">
        <v>1</v>
      </c>
      <c r="AB15" s="1346">
        <v>1</v>
      </c>
      <c r="AC15" s="1346">
        <v>1</v>
      </c>
    </row>
    <row r="16" spans="1:29" ht="41.4">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630"/>
      <c r="Q16" s="1345" t="str">
        <f>B16</f>
        <v>公共配套设施</v>
      </c>
      <c r="R16" s="709" t="s">
        <v>17</v>
      </c>
      <c r="S16" s="710">
        <f>F16</f>
        <v>100</v>
      </c>
      <c r="T16" s="709" t="s">
        <v>17</v>
      </c>
      <c r="U16" s="710">
        <f>H16</f>
        <v>100</v>
      </c>
      <c r="V16" s="709" t="s">
        <v>17</v>
      </c>
      <c r="W16" s="710">
        <f>J16</f>
        <v>100</v>
      </c>
      <c r="X16" s="1348"/>
      <c r="Y16" s="3630"/>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630"/>
      <c r="Q17" s="1345"/>
      <c r="R17" s="709"/>
      <c r="S17" s="710"/>
      <c r="T17" s="709"/>
      <c r="U17" s="710"/>
      <c r="V17" s="709"/>
      <c r="W17" s="710"/>
      <c r="X17" s="1348"/>
      <c r="Y17" s="3630"/>
      <c r="Z17" s="1349"/>
      <c r="AA17" s="1346">
        <v>1</v>
      </c>
      <c r="AB17" s="1346">
        <v>1</v>
      </c>
      <c r="AC17" s="1346">
        <v>1</v>
      </c>
    </row>
    <row r="18" spans="1:29" ht="41.4">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630"/>
      <c r="Q18" s="1345" t="str">
        <f>B18</f>
        <v>基础设施水平</v>
      </c>
      <c r="R18" s="709" t="s">
        <v>17</v>
      </c>
      <c r="S18" s="710">
        <f>F18</f>
        <v>100</v>
      </c>
      <c r="T18" s="709" t="s">
        <v>17</v>
      </c>
      <c r="U18" s="710">
        <f>H18</f>
        <v>100</v>
      </c>
      <c r="V18" s="709" t="s">
        <v>17</v>
      </c>
      <c r="W18" s="710">
        <f>J18</f>
        <v>100</v>
      </c>
      <c r="X18" s="1348"/>
      <c r="Y18" s="3630"/>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630"/>
      <c r="Q19" s="1345"/>
      <c r="R19" s="709"/>
      <c r="S19" s="710"/>
      <c r="T19" s="709"/>
      <c r="U19" s="710"/>
      <c r="V19" s="709"/>
      <c r="W19" s="710"/>
      <c r="X19" s="1348"/>
      <c r="Y19" s="3630"/>
      <c r="Z19" s="1349"/>
      <c r="AA19" s="1346">
        <v>1</v>
      </c>
      <c r="AB19" s="1346">
        <v>1</v>
      </c>
      <c r="AC19" s="1346">
        <v>1</v>
      </c>
    </row>
    <row r="20" spans="1:29" ht="55.2">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630"/>
      <c r="Q20" s="1345" t="str">
        <f>B20</f>
        <v>自然及人文环境</v>
      </c>
      <c r="R20" s="709" t="s">
        <v>17</v>
      </c>
      <c r="S20" s="710">
        <f>F20</f>
        <v>100</v>
      </c>
      <c r="T20" s="709" t="s">
        <v>17</v>
      </c>
      <c r="U20" s="710">
        <f>H20</f>
        <v>100</v>
      </c>
      <c r="V20" s="709" t="s">
        <v>17</v>
      </c>
      <c r="W20" s="710">
        <f>J20</f>
        <v>100</v>
      </c>
      <c r="X20" s="1348"/>
      <c r="Y20" s="3630"/>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630"/>
      <c r="Q21" s="1345"/>
      <c r="R21" s="709"/>
      <c r="S21" s="710"/>
      <c r="T21" s="709"/>
      <c r="U21" s="710"/>
      <c r="V21" s="709"/>
      <c r="W21" s="710"/>
      <c r="X21" s="1348"/>
      <c r="Y21" s="3630"/>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630"/>
      <c r="Q22" s="1345" t="str">
        <f>B22</f>
        <v>楼层</v>
      </c>
      <c r="R22" s="709" t="s">
        <v>17</v>
      </c>
      <c r="S22" s="710">
        <f>F22</f>
        <v>100</v>
      </c>
      <c r="T22" s="709" t="s">
        <v>17</v>
      </c>
      <c r="U22" s="710">
        <f>H22</f>
        <v>100</v>
      </c>
      <c r="V22" s="709" t="s">
        <v>17</v>
      </c>
      <c r="W22" s="710">
        <f>J22</f>
        <v>100</v>
      </c>
      <c r="X22" s="1348"/>
      <c r="Y22" s="3630"/>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630"/>
      <c r="Q23" s="1345">
        <f>B23</f>
        <v>111</v>
      </c>
      <c r="R23" s="709" t="s">
        <v>17</v>
      </c>
      <c r="S23" s="710">
        <f>F23</f>
        <v>100</v>
      </c>
      <c r="T23" s="709" t="s">
        <v>17</v>
      </c>
      <c r="U23" s="710">
        <f>H23</f>
        <v>100</v>
      </c>
      <c r="V23" s="709" t="s">
        <v>17</v>
      </c>
      <c r="W23" s="710">
        <f>J23</f>
        <v>100</v>
      </c>
      <c r="X23" s="1348"/>
      <c r="Y23" s="3630"/>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630"/>
      <c r="Q24" s="1345">
        <f t="shared" ref="Q24:Q34" si="11">B24</f>
        <v>111</v>
      </c>
      <c r="R24" s="709" t="s">
        <v>17</v>
      </c>
      <c r="S24" s="710">
        <f>F24</f>
        <v>100</v>
      </c>
      <c r="T24" s="709" t="s">
        <v>17</v>
      </c>
      <c r="U24" s="710">
        <f>H24</f>
        <v>100</v>
      </c>
      <c r="V24" s="709" t="s">
        <v>17</v>
      </c>
      <c r="W24" s="710">
        <f>J24</f>
        <v>100</v>
      </c>
      <c r="X24" s="1348"/>
      <c r="Y24" s="3630"/>
      <c r="Z24" s="1349">
        <f>Q24</f>
        <v>111</v>
      </c>
      <c r="AA24" s="1346">
        <f t="shared" si="3"/>
        <v>1</v>
      </c>
      <c r="AB24" s="1346">
        <f t="shared" si="4"/>
        <v>1</v>
      </c>
      <c r="AC24" s="1346">
        <f t="shared" si="5"/>
        <v>1</v>
      </c>
    </row>
    <row r="25" spans="1:29" s="112" customFormat="1" ht="15.6"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630"/>
      <c r="Q25" s="1338">
        <f t="shared" si="11"/>
        <v>111</v>
      </c>
      <c r="R25" s="705" t="s">
        <v>17</v>
      </c>
      <c r="S25" s="706">
        <f>F25</f>
        <v>100</v>
      </c>
      <c r="T25" s="705" t="s">
        <v>17</v>
      </c>
      <c r="U25" s="706">
        <f>H25</f>
        <v>100</v>
      </c>
      <c r="V25" s="705" t="s">
        <v>17</v>
      </c>
      <c r="W25" s="706">
        <f>J25</f>
        <v>100</v>
      </c>
      <c r="X25" s="707"/>
      <c r="Y25" s="3630"/>
      <c r="Z25" s="54">
        <f>Q25</f>
        <v>111</v>
      </c>
      <c r="AA25" s="1346">
        <f>D25/F25</f>
        <v>1</v>
      </c>
      <c r="AB25" s="1346">
        <f>D25/H25</f>
        <v>1</v>
      </c>
      <c r="AC25" s="1346">
        <f>D25/J25</f>
        <v>1</v>
      </c>
    </row>
    <row r="26" spans="1:29" ht="30">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3"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34"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34"/>
      <c r="Q27" s="711" t="str">
        <f t="shared" si="11"/>
        <v>成新率</v>
      </c>
      <c r="R27" s="712" t="s">
        <v>17</v>
      </c>
      <c r="S27" s="713" t="e">
        <f t="shared" si="12"/>
        <v>#N/A</v>
      </c>
      <c r="T27" s="712" t="s">
        <v>17</v>
      </c>
      <c r="U27" s="713" t="e">
        <f t="shared" si="13"/>
        <v>#N/A</v>
      </c>
      <c r="V27" s="712" t="s">
        <v>17</v>
      </c>
      <c r="W27" s="713" t="e">
        <f t="shared" si="14"/>
        <v>#N/A</v>
      </c>
      <c r="X27" s="714"/>
      <c r="Y27" s="3634"/>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34"/>
      <c r="Q28" s="1345" t="str">
        <f t="shared" si="11"/>
        <v>物业等级</v>
      </c>
      <c r="R28" s="709" t="s">
        <v>17</v>
      </c>
      <c r="S28" s="710">
        <f t="shared" si="12"/>
        <v>100</v>
      </c>
      <c r="T28" s="709" t="s">
        <v>17</v>
      </c>
      <c r="U28" s="710">
        <f t="shared" si="13"/>
        <v>100</v>
      </c>
      <c r="V28" s="709" t="s">
        <v>17</v>
      </c>
      <c r="W28" s="710">
        <f t="shared" si="14"/>
        <v>100</v>
      </c>
      <c r="X28" s="1348"/>
      <c r="Y28" s="3634"/>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34"/>
      <c r="Q29" s="1345" t="str">
        <f t="shared" si="11"/>
        <v>有无电梯</v>
      </c>
      <c r="R29" s="709" t="s">
        <v>17</v>
      </c>
      <c r="S29" s="710">
        <f t="shared" si="12"/>
        <v>100</v>
      </c>
      <c r="T29" s="709" t="s">
        <v>17</v>
      </c>
      <c r="U29" s="710">
        <f t="shared" si="13"/>
        <v>100</v>
      </c>
      <c r="V29" s="709" t="s">
        <v>17</v>
      </c>
      <c r="W29" s="710">
        <f t="shared" si="14"/>
        <v>100</v>
      </c>
      <c r="X29" s="1348"/>
      <c r="Y29" s="3634"/>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34"/>
      <c r="Q30" s="1345" t="str">
        <f t="shared" si="11"/>
        <v>建筑面积</v>
      </c>
      <c r="R30" s="709" t="s">
        <v>17</v>
      </c>
      <c r="S30" s="710" t="e">
        <f t="shared" si="12"/>
        <v>#N/A</v>
      </c>
      <c r="T30" s="709" t="s">
        <v>17</v>
      </c>
      <c r="U30" s="710" t="e">
        <f t="shared" si="13"/>
        <v>#N/A</v>
      </c>
      <c r="V30" s="709" t="s">
        <v>17</v>
      </c>
      <c r="W30" s="710" t="e">
        <f t="shared" si="14"/>
        <v>#N/A</v>
      </c>
      <c r="X30" s="1348"/>
      <c r="Y30" s="3634"/>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34"/>
      <c r="Q31" s="1338" t="str">
        <f t="shared" si="11"/>
        <v>是否封闭</v>
      </c>
      <c r="R31" s="705" t="s">
        <v>17</v>
      </c>
      <c r="S31" s="706">
        <f t="shared" si="12"/>
        <v>100</v>
      </c>
      <c r="T31" s="705" t="s">
        <v>17</v>
      </c>
      <c r="U31" s="706">
        <f t="shared" si="13"/>
        <v>100</v>
      </c>
      <c r="V31" s="705" t="s">
        <v>17</v>
      </c>
      <c r="W31" s="706">
        <f t="shared" si="14"/>
        <v>100</v>
      </c>
      <c r="X31" s="707"/>
      <c r="Y31" s="3634"/>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34" t="s">
        <v>1950</v>
      </c>
      <c r="Q32" s="1345">
        <f t="shared" si="11"/>
        <v>111</v>
      </c>
      <c r="R32" s="709" t="s">
        <v>17</v>
      </c>
      <c r="S32" s="710">
        <f t="shared" si="12"/>
        <v>100</v>
      </c>
      <c r="T32" s="709" t="s">
        <v>17</v>
      </c>
      <c r="U32" s="710">
        <f t="shared" si="13"/>
        <v>100</v>
      </c>
      <c r="V32" s="709" t="s">
        <v>17</v>
      </c>
      <c r="W32" s="710">
        <f t="shared" si="14"/>
        <v>100</v>
      </c>
      <c r="X32" s="1348"/>
      <c r="Y32" s="3634"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34"/>
      <c r="Q33" s="1345">
        <f t="shared" si="11"/>
        <v>111</v>
      </c>
      <c r="R33" s="709" t="s">
        <v>17</v>
      </c>
      <c r="S33" s="710">
        <f t="shared" si="12"/>
        <v>100</v>
      </c>
      <c r="T33" s="709" t="s">
        <v>17</v>
      </c>
      <c r="U33" s="710">
        <f t="shared" si="13"/>
        <v>100</v>
      </c>
      <c r="V33" s="709" t="s">
        <v>17</v>
      </c>
      <c r="W33" s="710">
        <f t="shared" si="14"/>
        <v>100</v>
      </c>
      <c r="X33" s="1348"/>
      <c r="Y33" s="3634"/>
      <c r="Z33" s="1349">
        <f t="shared" si="15"/>
        <v>111</v>
      </c>
      <c r="AA33" s="1346">
        <f t="shared" si="3"/>
        <v>1</v>
      </c>
      <c r="AB33" s="1346">
        <f t="shared" si="4"/>
        <v>1</v>
      </c>
      <c r="AC33" s="1346">
        <f t="shared" si="5"/>
        <v>1</v>
      </c>
    </row>
    <row r="34" spans="1:30" ht="15.6"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34"/>
      <c r="Q34" s="1345">
        <f t="shared" si="11"/>
        <v>111</v>
      </c>
      <c r="R34" s="709" t="s">
        <v>17</v>
      </c>
      <c r="S34" s="710">
        <f t="shared" si="12"/>
        <v>100</v>
      </c>
      <c r="T34" s="709" t="s">
        <v>17</v>
      </c>
      <c r="U34" s="710">
        <f t="shared" si="13"/>
        <v>100</v>
      </c>
      <c r="V34" s="709" t="s">
        <v>17</v>
      </c>
      <c r="W34" s="710">
        <f t="shared" si="14"/>
        <v>100</v>
      </c>
      <c r="X34" s="1348"/>
      <c r="Y34" s="3634"/>
      <c r="Z34" s="1349">
        <f t="shared" si="15"/>
        <v>111</v>
      </c>
      <c r="AA34" s="1346">
        <f t="shared" si="3"/>
        <v>1</v>
      </c>
      <c r="AB34" s="1346">
        <f t="shared" si="4"/>
        <v>1</v>
      </c>
      <c r="AC34" s="1346">
        <f t="shared" si="5"/>
        <v>1</v>
      </c>
    </row>
    <row r="35" spans="1:30" ht="14.4">
      <c r="A35" s="434" t="s">
        <v>1962</v>
      </c>
      <c r="B35" s="435"/>
      <c r="C35" s="1160" t="s">
        <v>1</v>
      </c>
      <c r="D35" s="1161"/>
      <c r="E35" s="1162"/>
      <c r="F35" s="1163"/>
      <c r="G35" s="1164"/>
      <c r="H35" s="1165"/>
      <c r="I35" s="1162"/>
      <c r="J35" s="1165"/>
      <c r="K35" s="718"/>
      <c r="L35" s="2551"/>
      <c r="M35" s="2552"/>
      <c r="N35" s="2543"/>
      <c r="O35" s="2552"/>
      <c r="P35" s="3627" t="str">
        <f>A35</f>
        <v>成交单价（元/平方米）</v>
      </c>
      <c r="Q35" s="3627"/>
      <c r="R35" s="3628">
        <f>E35</f>
        <v>0</v>
      </c>
      <c r="S35" s="3628"/>
      <c r="T35" s="3628">
        <f>G35</f>
        <v>0</v>
      </c>
      <c r="U35" s="3628"/>
      <c r="V35" s="3628">
        <f>I35</f>
        <v>0</v>
      </c>
      <c r="W35" s="3628"/>
      <c r="X35" s="694"/>
      <c r="Y35" s="716"/>
      <c r="Z35" s="694"/>
      <c r="AA35" s="694"/>
      <c r="AB35" s="694"/>
      <c r="AC35" s="694"/>
    </row>
    <row r="36" spans="1:30" ht="1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627" t="str">
        <f>A36</f>
        <v>比较价值（元/平方米）</v>
      </c>
      <c r="Q36" s="3627"/>
      <c r="R36" s="3628" t="e">
        <f>IF(F1="售价",ROUND(PRODUCT(R35,AA7:AA34),0),ROUND(PRODUCT(R35,AA7:AA34),1))</f>
        <v>#DIV/0!</v>
      </c>
      <c r="S36" s="3628"/>
      <c r="T36" s="3628" t="e">
        <f>IF(F1="售价",ROUND(PRODUCT(T35,AB7:AB34),0),ROUND(PRODUCT(T35,AB7:AB34),1))</f>
        <v>#DIV/0!</v>
      </c>
      <c r="U36" s="3628"/>
      <c r="V36" s="3628" t="e">
        <f>IF(F1="售价",ROUND(PRODUCT(V35,AC7:AC34),0),ROUND(PRODUCT(V35,AC7:AC34),1))</f>
        <v>#DIV/0!</v>
      </c>
      <c r="W36" s="3628"/>
      <c r="X36" s="694"/>
      <c r="Y36" s="694"/>
      <c r="Z36" s="694"/>
      <c r="AA36" s="694"/>
      <c r="AB36" s="694"/>
      <c r="AC36" s="694"/>
    </row>
    <row r="37" spans="1:30" ht="15" thickBot="1">
      <c r="A37" s="445" t="s">
        <v>2055</v>
      </c>
      <c r="B37" s="446"/>
      <c r="C37" s="1169" t="e">
        <f>R37</f>
        <v>#DIV/0!</v>
      </c>
      <c r="D37" s="1169"/>
      <c r="E37" s="1169"/>
      <c r="F37" s="1169"/>
      <c r="G37" s="1169"/>
      <c r="H37" s="1169"/>
      <c r="I37" s="1169"/>
      <c r="J37" s="1169"/>
      <c r="K37" s="719"/>
      <c r="L37" s="2551"/>
      <c r="M37" s="2552"/>
      <c r="N37" s="2552"/>
      <c r="O37" s="2552"/>
      <c r="P37" s="3624" t="str">
        <f>A37</f>
        <v>估价对象XX用房的比较价值（楼面单价，元/平方米）</v>
      </c>
      <c r="Q37" s="3625"/>
      <c r="R37" s="3654" t="e">
        <f>IF(F1="售价",ROUND(IF(D36="简单平均",AVERAGE(R36:W36),R36*F36+T36*H36+V36*J36),0),ROUND(IF(D36="简单平均",AVERAGE(R36:V36),R36*F36+T36*H36+V36*J36),1))</f>
        <v>#DIV/0!</v>
      </c>
      <c r="S37" s="3654"/>
      <c r="T37" s="3654"/>
      <c r="U37" s="3654"/>
      <c r="V37" s="3654"/>
      <c r="W37" s="3654"/>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2.2"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4.4">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4.4">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4.4"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ht="14.4">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4.4"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9.4"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4.4"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4.4"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4.4"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4.4"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4.4"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4.4"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4.4"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4.4"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9.4"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4.4"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4.4"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4.4"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4.4"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4.4"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4.4"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4.4"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4.4"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4.4"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4.4"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4.4"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4.4"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4.4"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4.4"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4.4"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4.4"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4.4"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4.4"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4.4"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4.4"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4.4"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4.4"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4.4"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59" customWidth="1"/>
    <col min="2" max="2" width="15.77734375" style="359" customWidth="1"/>
    <col min="3" max="3" width="14.33203125" style="359" customWidth="1"/>
    <col min="4" max="4" width="14.1093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4.4">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30">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593"/>
      <c r="AC5" s="3593"/>
    </row>
    <row r="6" spans="1:30" ht="15" thickBot="1">
      <c r="A6" s="362"/>
      <c r="B6" s="363"/>
      <c r="C6" s="3605" t="s">
        <v>1931</v>
      </c>
      <c r="D6" s="3606"/>
      <c r="E6" s="3607" t="s">
        <v>1931</v>
      </c>
      <c r="F6" s="3608"/>
      <c r="G6" s="3605" t="s">
        <v>1931</v>
      </c>
      <c r="H6" s="3606"/>
      <c r="I6" s="3605" t="s">
        <v>1931</v>
      </c>
      <c r="J6" s="3606"/>
      <c r="K6" s="563" t="s">
        <v>1932</v>
      </c>
      <c r="L6" s="2542"/>
      <c r="M6" s="2543"/>
      <c r="N6" s="2543"/>
      <c r="O6" s="2543"/>
      <c r="P6" s="3618"/>
      <c r="Q6" s="3619"/>
      <c r="R6" s="3599"/>
      <c r="S6" s="3600"/>
      <c r="T6" s="3620"/>
      <c r="U6" s="3621"/>
      <c r="V6" s="3622"/>
      <c r="W6" s="3622"/>
      <c r="X6" s="1348"/>
      <c r="Y6" s="3620"/>
      <c r="Z6" s="3621"/>
      <c r="AA6" s="3594"/>
      <c r="AB6" s="3594"/>
      <c r="AC6" s="3594"/>
    </row>
    <row r="7" spans="1:30" s="112" customFormat="1" ht="15" thickBot="1">
      <c r="A7" s="364" t="s">
        <v>1933</v>
      </c>
      <c r="B7" s="365"/>
      <c r="C7" s="366">
        <f>'数据-取费表'!B2</f>
        <v>44680</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595"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708" t="e">
        <f>D7/J7</f>
        <v>#DIV/0!</v>
      </c>
    </row>
    <row r="8" spans="1:30" s="112" customFormat="1" ht="1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45" si="3">D8/F8</f>
        <v>#DIV/0!</v>
      </c>
      <c r="AB8" s="708" t="e">
        <f t="shared" ref="AB8:AB45" si="4">D8/H8</f>
        <v>#DIV/0!</v>
      </c>
      <c r="AC8" s="708" t="e">
        <f t="shared" ref="AC8:AC45" si="5">D8/J8</f>
        <v>#DIV/0!</v>
      </c>
    </row>
    <row r="9" spans="1:30" s="112" customFormat="1" ht="14.4">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627"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30" s="382" customFormat="1" ht="28.8">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627"/>
      <c r="Q10" s="1338" t="str">
        <f t="shared" si="6"/>
        <v>土地使用年限（年）</v>
      </c>
      <c r="R10" s="705" t="s">
        <v>17</v>
      </c>
      <c r="S10" s="706" t="e">
        <f t="shared" si="0"/>
        <v>#DIV/0!</v>
      </c>
      <c r="T10" s="705" t="s">
        <v>17</v>
      </c>
      <c r="U10" s="706" t="e">
        <f t="shared" si="1"/>
        <v>#DIV/0!</v>
      </c>
      <c r="V10" s="705" t="s">
        <v>17</v>
      </c>
      <c r="W10" s="706" t="e">
        <f t="shared" si="2"/>
        <v>#DIV/0!</v>
      </c>
      <c r="X10" s="707"/>
      <c r="Y10" s="3539"/>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627"/>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627"/>
      <c r="Q12" s="1338" t="str">
        <f t="shared" si="6"/>
        <v>配建</v>
      </c>
      <c r="R12" s="705" t="s">
        <v>17</v>
      </c>
      <c r="S12" s="706">
        <f t="shared" si="0"/>
        <v>100</v>
      </c>
      <c r="T12" s="705" t="s">
        <v>17</v>
      </c>
      <c r="U12" s="706">
        <f t="shared" si="1"/>
        <v>100</v>
      </c>
      <c r="V12" s="705" t="s">
        <v>17</v>
      </c>
      <c r="W12" s="706">
        <f t="shared" si="2"/>
        <v>100</v>
      </c>
      <c r="X12" s="707"/>
      <c r="Y12" s="3539"/>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D13/F13</f>
        <v>1</v>
      </c>
      <c r="AB13" s="708">
        <f>D13/H13</f>
        <v>1</v>
      </c>
      <c r="AC13" s="708">
        <f>D13/J13</f>
        <v>1</v>
      </c>
    </row>
    <row r="14" spans="1:30" ht="15.6"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627"/>
      <c r="Q14" s="1338">
        <f t="shared" si="6"/>
        <v>111</v>
      </c>
      <c r="R14" s="705" t="s">
        <v>17</v>
      </c>
      <c r="S14" s="706">
        <f t="shared" si="0"/>
        <v>100</v>
      </c>
      <c r="T14" s="705" t="s">
        <v>17</v>
      </c>
      <c r="U14" s="706">
        <f t="shared" si="1"/>
        <v>100</v>
      </c>
      <c r="V14" s="705" t="s">
        <v>17</v>
      </c>
      <c r="W14" s="706">
        <f t="shared" si="2"/>
        <v>100</v>
      </c>
      <c r="X14" s="707"/>
      <c r="Y14" s="3539"/>
      <c r="Z14" s="54">
        <f t="shared" si="7"/>
        <v>111</v>
      </c>
      <c r="AA14" s="708">
        <f>D14/F14</f>
        <v>1</v>
      </c>
      <c r="AB14" s="708">
        <f>D14/H14</f>
        <v>1</v>
      </c>
      <c r="AC14" s="708">
        <f>D14/J14</f>
        <v>1</v>
      </c>
    </row>
    <row r="15" spans="1:30" ht="96.6">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629" t="s">
        <v>1945</v>
      </c>
      <c r="Q15" s="1345" t="str">
        <f t="shared" si="6"/>
        <v>居住社区成熟度</v>
      </c>
      <c r="R15" s="709" t="s">
        <v>17</v>
      </c>
      <c r="S15" s="710">
        <f t="shared" si="0"/>
        <v>100</v>
      </c>
      <c r="T15" s="709" t="s">
        <v>17</v>
      </c>
      <c r="U15" s="710">
        <f t="shared" si="1"/>
        <v>100</v>
      </c>
      <c r="V15" s="709" t="s">
        <v>17</v>
      </c>
      <c r="W15" s="710">
        <f t="shared" si="2"/>
        <v>100</v>
      </c>
      <c r="X15" s="1348"/>
      <c r="Y15" s="3629"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630"/>
      <c r="Q16" s="1345"/>
      <c r="R16" s="709"/>
      <c r="S16" s="710"/>
      <c r="T16" s="709"/>
      <c r="U16" s="710"/>
      <c r="V16" s="709"/>
      <c r="W16" s="710"/>
      <c r="X16" s="1348"/>
      <c r="Y16" s="3630"/>
      <c r="Z16" s="1349"/>
      <c r="AA16" s="1346">
        <v>1</v>
      </c>
      <c r="AB16" s="1346">
        <v>1</v>
      </c>
      <c r="AC16" s="1346">
        <v>1</v>
      </c>
    </row>
    <row r="17" spans="1:29" ht="82.8">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630"/>
      <c r="Q17" s="1345" t="str">
        <f>B17</f>
        <v>商业繁华度</v>
      </c>
      <c r="R17" s="709" t="s">
        <v>17</v>
      </c>
      <c r="S17" s="710">
        <f>F17</f>
        <v>100</v>
      </c>
      <c r="T17" s="709" t="s">
        <v>17</v>
      </c>
      <c r="U17" s="710">
        <f>H17</f>
        <v>100</v>
      </c>
      <c r="V17" s="709" t="s">
        <v>17</v>
      </c>
      <c r="W17" s="710">
        <f>J17</f>
        <v>100</v>
      </c>
      <c r="X17" s="1348"/>
      <c r="Y17" s="3630"/>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630"/>
      <c r="Q18" s="1345"/>
      <c r="R18" s="709"/>
      <c r="S18" s="710"/>
      <c r="T18" s="709"/>
      <c r="U18" s="710"/>
      <c r="V18" s="709"/>
      <c r="W18" s="710"/>
      <c r="X18" s="1348"/>
      <c r="Y18" s="3630"/>
      <c r="Z18" s="1349"/>
      <c r="AA18" s="1346">
        <v>1</v>
      </c>
      <c r="AB18" s="1346">
        <v>1</v>
      </c>
      <c r="AC18" s="1346">
        <v>1</v>
      </c>
    </row>
    <row r="19" spans="1:29" ht="82.8">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630"/>
      <c r="Q19" s="1345" t="str">
        <f>B19</f>
        <v>办公集聚程度</v>
      </c>
      <c r="R19" s="709" t="s">
        <v>17</v>
      </c>
      <c r="S19" s="710">
        <f>F19</f>
        <v>100</v>
      </c>
      <c r="T19" s="709" t="s">
        <v>17</v>
      </c>
      <c r="U19" s="710">
        <f>H19</f>
        <v>100</v>
      </c>
      <c r="V19" s="709" t="s">
        <v>17</v>
      </c>
      <c r="W19" s="710">
        <f>J19</f>
        <v>100</v>
      </c>
      <c r="X19" s="1348"/>
      <c r="Y19" s="3630"/>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630"/>
      <c r="Q20" s="1345"/>
      <c r="R20" s="709"/>
      <c r="S20" s="710"/>
      <c r="T20" s="709"/>
      <c r="U20" s="710"/>
      <c r="V20" s="709"/>
      <c r="W20" s="710"/>
      <c r="X20" s="1348"/>
      <c r="Y20" s="3630"/>
      <c r="Z20" s="1349"/>
      <c r="AA20" s="1346">
        <v>1</v>
      </c>
      <c r="AB20" s="1346">
        <v>1</v>
      </c>
      <c r="AC20" s="1346">
        <v>1</v>
      </c>
    </row>
    <row r="21" spans="1:29" ht="96.6">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630"/>
      <c r="Q21" s="1345" t="str">
        <f>B21</f>
        <v>交通便捷度</v>
      </c>
      <c r="R21" s="709" t="s">
        <v>17</v>
      </c>
      <c r="S21" s="710">
        <f>F21</f>
        <v>100</v>
      </c>
      <c r="T21" s="709" t="s">
        <v>17</v>
      </c>
      <c r="U21" s="710">
        <f>H21</f>
        <v>100</v>
      </c>
      <c r="V21" s="709" t="s">
        <v>17</v>
      </c>
      <c r="W21" s="710">
        <f>J21</f>
        <v>100</v>
      </c>
      <c r="X21" s="1348"/>
      <c r="Y21" s="3630"/>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630"/>
      <c r="Q22" s="1345"/>
      <c r="R22" s="709"/>
      <c r="S22" s="710"/>
      <c r="T22" s="709"/>
      <c r="U22" s="710"/>
      <c r="V22" s="709"/>
      <c r="W22" s="710"/>
      <c r="X22" s="1348"/>
      <c r="Y22" s="3630"/>
      <c r="Z22" s="1349"/>
      <c r="AA22" s="1346">
        <v>1</v>
      </c>
      <c r="AB22" s="1346">
        <v>1</v>
      </c>
      <c r="AC22" s="1346">
        <v>1</v>
      </c>
    </row>
    <row r="23" spans="1:29" ht="28.8">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630"/>
      <c r="Q23" s="1345" t="str">
        <f t="shared" ref="Q23:Q37" si="8">B23</f>
        <v>区域土地利用方向</v>
      </c>
      <c r="R23" s="709" t="s">
        <v>17</v>
      </c>
      <c r="S23" s="710">
        <f>F23</f>
        <v>100</v>
      </c>
      <c r="T23" s="709" t="s">
        <v>17</v>
      </c>
      <c r="U23" s="710">
        <f>H23</f>
        <v>100</v>
      </c>
      <c r="V23" s="709" t="s">
        <v>17</v>
      </c>
      <c r="W23" s="710">
        <f>J23</f>
        <v>100</v>
      </c>
      <c r="X23" s="1348"/>
      <c r="Y23" s="3630"/>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630"/>
      <c r="Q24" s="1345"/>
      <c r="R24" s="709"/>
      <c r="S24" s="710"/>
      <c r="T24" s="709"/>
      <c r="U24" s="710"/>
      <c r="V24" s="709"/>
      <c r="W24" s="710"/>
      <c r="X24" s="1348"/>
      <c r="Y24" s="3630"/>
      <c r="Z24" s="1349"/>
      <c r="AA24" s="1346"/>
      <c r="AB24" s="1346"/>
      <c r="AC24" s="1346"/>
    </row>
    <row r="25" spans="1:29" ht="55.2">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630"/>
      <c r="Q25" s="1345" t="str">
        <f t="shared" si="8"/>
        <v>自然及人文环境状况</v>
      </c>
      <c r="R25" s="709" t="s">
        <v>17</v>
      </c>
      <c r="S25" s="710">
        <f>F25</f>
        <v>100</v>
      </c>
      <c r="T25" s="709" t="s">
        <v>17</v>
      </c>
      <c r="U25" s="710">
        <f>H25</f>
        <v>100</v>
      </c>
      <c r="V25" s="709" t="s">
        <v>17</v>
      </c>
      <c r="W25" s="710">
        <f>J25</f>
        <v>100</v>
      </c>
      <c r="X25" s="1348"/>
      <c r="Y25" s="3630"/>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630"/>
      <c r="Q26" s="1345"/>
      <c r="R26" s="709"/>
      <c r="S26" s="710"/>
      <c r="T26" s="709"/>
      <c r="U26" s="710"/>
      <c r="V26" s="709"/>
      <c r="W26" s="710"/>
      <c r="X26" s="1348"/>
      <c r="Y26" s="3630"/>
      <c r="Z26" s="1349"/>
      <c r="AA26" s="1346">
        <v>1</v>
      </c>
      <c r="AB26" s="1346">
        <v>1</v>
      </c>
      <c r="AC26" s="1346">
        <v>1</v>
      </c>
    </row>
    <row r="27" spans="1:29" s="112" customFormat="1" ht="41.4">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630"/>
      <c r="Q27" s="1338" t="str">
        <f t="shared" si="8"/>
        <v>公共配套设施</v>
      </c>
      <c r="R27" s="705" t="s">
        <v>17</v>
      </c>
      <c r="S27" s="706">
        <f>F27</f>
        <v>100</v>
      </c>
      <c r="T27" s="705" t="s">
        <v>17</v>
      </c>
      <c r="U27" s="706">
        <f>H27</f>
        <v>100</v>
      </c>
      <c r="V27" s="705" t="s">
        <v>17</v>
      </c>
      <c r="W27" s="706">
        <f>J27</f>
        <v>100</v>
      </c>
      <c r="X27" s="707"/>
      <c r="Y27" s="3630"/>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630"/>
      <c r="Q28" s="1338"/>
      <c r="R28" s="705"/>
      <c r="S28" s="706"/>
      <c r="T28" s="705"/>
      <c r="U28" s="706"/>
      <c r="V28" s="705"/>
      <c r="W28" s="706"/>
      <c r="X28" s="707"/>
      <c r="Y28" s="3630"/>
      <c r="Z28" s="54"/>
      <c r="AA28" s="1346">
        <v>1</v>
      </c>
      <c r="AB28" s="1346">
        <v>1</v>
      </c>
      <c r="AC28" s="1346">
        <v>1</v>
      </c>
    </row>
    <row r="29" spans="1:29" s="112" customFormat="1" ht="41.4">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630"/>
      <c r="Q29" s="1338" t="str">
        <f t="shared" ref="Q29" si="9">B29</f>
        <v>基础设施水平</v>
      </c>
      <c r="R29" s="705" t="s">
        <v>17</v>
      </c>
      <c r="S29" s="706">
        <f>F29</f>
        <v>100</v>
      </c>
      <c r="T29" s="705" t="s">
        <v>17</v>
      </c>
      <c r="U29" s="706">
        <f>H29</f>
        <v>100</v>
      </c>
      <c r="V29" s="705" t="s">
        <v>17</v>
      </c>
      <c r="W29" s="706">
        <f>J29</f>
        <v>100</v>
      </c>
      <c r="X29" s="707"/>
      <c r="Y29" s="3630"/>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630"/>
      <c r="Q30" s="1338"/>
      <c r="R30" s="705"/>
      <c r="S30" s="706"/>
      <c r="T30" s="705"/>
      <c r="U30" s="706"/>
      <c r="V30" s="705"/>
      <c r="W30" s="706"/>
      <c r="X30" s="707"/>
      <c r="Y30" s="3630"/>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630"/>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30"/>
      <c r="Z31" s="1349" t="str">
        <f t="shared" ref="Z31:Z45" si="13">Q31</f>
        <v>临街状况</v>
      </c>
      <c r="AA31" s="1346">
        <f t="shared" si="3"/>
        <v>1</v>
      </c>
      <c r="AB31" s="1346">
        <f t="shared" si="4"/>
        <v>1</v>
      </c>
      <c r="AC31" s="1346">
        <f t="shared" si="5"/>
        <v>1</v>
      </c>
    </row>
    <row r="32" spans="1:29" ht="28.8">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630"/>
      <c r="Q32" s="1345" t="str">
        <f t="shared" si="8"/>
        <v>毗邻道路的类型与等级</v>
      </c>
      <c r="R32" s="709" t="s">
        <v>17</v>
      </c>
      <c r="S32" s="710">
        <f t="shared" si="10"/>
        <v>100</v>
      </c>
      <c r="T32" s="709" t="s">
        <v>17</v>
      </c>
      <c r="U32" s="710">
        <f t="shared" si="11"/>
        <v>100</v>
      </c>
      <c r="V32" s="709" t="s">
        <v>17</v>
      </c>
      <c r="W32" s="710">
        <f t="shared" si="12"/>
        <v>100</v>
      </c>
      <c r="X32" s="1348"/>
      <c r="Y32" s="3630"/>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630"/>
      <c r="Q33" s="1345"/>
      <c r="R33" s="709"/>
      <c r="S33" s="710"/>
      <c r="T33" s="709"/>
      <c r="U33" s="710"/>
      <c r="V33" s="709"/>
      <c r="W33" s="710"/>
      <c r="X33" s="1348"/>
      <c r="Y33" s="3630"/>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630"/>
      <c r="Q34" s="1345" t="str">
        <f t="shared" si="8"/>
        <v>土地级别</v>
      </c>
      <c r="R34" s="709" t="s">
        <v>17</v>
      </c>
      <c r="S34" s="710">
        <f t="shared" si="10"/>
        <v>100</v>
      </c>
      <c r="T34" s="709" t="s">
        <v>17</v>
      </c>
      <c r="U34" s="710">
        <f t="shared" si="11"/>
        <v>100</v>
      </c>
      <c r="V34" s="709" t="s">
        <v>17</v>
      </c>
      <c r="W34" s="710">
        <f t="shared" si="12"/>
        <v>100</v>
      </c>
      <c r="X34" s="1348"/>
      <c r="Y34" s="3630"/>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630"/>
      <c r="Q35" s="1345">
        <f t="shared" si="8"/>
        <v>111</v>
      </c>
      <c r="R35" s="709" t="s">
        <v>17</v>
      </c>
      <c r="S35" s="710">
        <f t="shared" si="10"/>
        <v>100</v>
      </c>
      <c r="T35" s="709" t="s">
        <v>17</v>
      </c>
      <c r="U35" s="710">
        <f t="shared" si="11"/>
        <v>100</v>
      </c>
      <c r="V35" s="709" t="s">
        <v>17</v>
      </c>
      <c r="W35" s="710">
        <f t="shared" si="12"/>
        <v>100</v>
      </c>
      <c r="X35" s="1348"/>
      <c r="Y35" s="3630"/>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3" t="s">
        <v>1950</v>
      </c>
      <c r="Q36" s="1345">
        <f t="shared" si="8"/>
        <v>111</v>
      </c>
      <c r="R36" s="709" t="s">
        <v>17</v>
      </c>
      <c r="S36" s="710">
        <f t="shared" si="10"/>
        <v>100</v>
      </c>
      <c r="T36" s="709" t="s">
        <v>17</v>
      </c>
      <c r="U36" s="710">
        <f t="shared" si="11"/>
        <v>100</v>
      </c>
      <c r="V36" s="709" t="s">
        <v>17</v>
      </c>
      <c r="W36" s="710">
        <f t="shared" si="12"/>
        <v>100</v>
      </c>
      <c r="X36" s="1348"/>
      <c r="Y36" s="3634" t="s">
        <v>1950</v>
      </c>
      <c r="Z36" s="1349">
        <f t="shared" si="13"/>
        <v>111</v>
      </c>
      <c r="AA36" s="1346">
        <f t="shared" si="3"/>
        <v>1</v>
      </c>
      <c r="AB36" s="1346">
        <f t="shared" si="4"/>
        <v>1</v>
      </c>
      <c r="AC36" s="1346">
        <f t="shared" si="5"/>
        <v>1</v>
      </c>
    </row>
    <row r="37" spans="1:29" s="426" customFormat="1" ht="15.6"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34"/>
      <c r="Q37" s="1345">
        <f t="shared" si="8"/>
        <v>111</v>
      </c>
      <c r="R37" s="712" t="s">
        <v>17</v>
      </c>
      <c r="S37" s="713">
        <f t="shared" si="10"/>
        <v>100</v>
      </c>
      <c r="T37" s="712" t="s">
        <v>17</v>
      </c>
      <c r="U37" s="713">
        <f t="shared" si="11"/>
        <v>100</v>
      </c>
      <c r="V37" s="712" t="s">
        <v>17</v>
      </c>
      <c r="W37" s="713">
        <f t="shared" si="12"/>
        <v>100</v>
      </c>
      <c r="X37" s="714"/>
      <c r="Y37" s="3634"/>
      <c r="Z37" s="715">
        <f t="shared" si="13"/>
        <v>111</v>
      </c>
      <c r="AA37" s="1346">
        <f t="shared" si="3"/>
        <v>1</v>
      </c>
      <c r="AB37" s="1346">
        <f t="shared" si="4"/>
        <v>1</v>
      </c>
      <c r="AC37" s="1346">
        <f t="shared" si="5"/>
        <v>1</v>
      </c>
    </row>
    <row r="38" spans="1:29" ht="15.6">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34"/>
      <c r="Q38" s="1345" t="str">
        <f>B38</f>
        <v>宗地面积</v>
      </c>
      <c r="R38" s="709" t="s">
        <v>17</v>
      </c>
      <c r="S38" s="710" t="e">
        <f t="shared" si="10"/>
        <v>#N/A</v>
      </c>
      <c r="T38" s="709" t="s">
        <v>17</v>
      </c>
      <c r="U38" s="710" t="e">
        <f t="shared" si="11"/>
        <v>#N/A</v>
      </c>
      <c r="V38" s="709" t="s">
        <v>17</v>
      </c>
      <c r="W38" s="710" t="e">
        <f t="shared" si="12"/>
        <v>#N/A</v>
      </c>
      <c r="X38" s="1348"/>
      <c r="Y38" s="3634"/>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34"/>
      <c r="Q39" s="1345" t="str">
        <f t="shared" ref="Q39:Q45" si="14">B39</f>
        <v>宗地形状</v>
      </c>
      <c r="R39" s="709" t="s">
        <v>17</v>
      </c>
      <c r="S39" s="710">
        <f t="shared" si="10"/>
        <v>100</v>
      </c>
      <c r="T39" s="709" t="s">
        <v>17</v>
      </c>
      <c r="U39" s="710">
        <f t="shared" si="11"/>
        <v>100</v>
      </c>
      <c r="V39" s="709" t="s">
        <v>17</v>
      </c>
      <c r="W39" s="710">
        <f t="shared" si="12"/>
        <v>100</v>
      </c>
      <c r="X39" s="1348"/>
      <c r="Y39" s="3634"/>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34"/>
      <c r="Q40" s="1345" t="str">
        <f t="shared" si="14"/>
        <v>临街宽度及深度</v>
      </c>
      <c r="R40" s="709" t="s">
        <v>17</v>
      </c>
      <c r="S40" s="710">
        <f t="shared" si="10"/>
        <v>100</v>
      </c>
      <c r="T40" s="709" t="s">
        <v>17</v>
      </c>
      <c r="U40" s="710">
        <f t="shared" si="11"/>
        <v>100</v>
      </c>
      <c r="V40" s="709" t="s">
        <v>17</v>
      </c>
      <c r="W40" s="710">
        <f t="shared" si="12"/>
        <v>100</v>
      </c>
      <c r="X40" s="1348"/>
      <c r="Y40" s="3634"/>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34"/>
      <c r="Q41" s="1345" t="str">
        <f t="shared" si="14"/>
        <v>宗地开发程度</v>
      </c>
      <c r="R41" s="705" t="s">
        <v>17</v>
      </c>
      <c r="S41" s="706">
        <f t="shared" si="10"/>
        <v>100</v>
      </c>
      <c r="T41" s="705" t="s">
        <v>17</v>
      </c>
      <c r="U41" s="706">
        <f t="shared" si="11"/>
        <v>100</v>
      </c>
      <c r="V41" s="705" t="s">
        <v>17</v>
      </c>
      <c r="W41" s="706">
        <f t="shared" si="12"/>
        <v>100</v>
      </c>
      <c r="X41" s="707"/>
      <c r="Y41" s="3634"/>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34" t="s">
        <v>1950</v>
      </c>
      <c r="Q42" s="1345" t="str">
        <f t="shared" si="14"/>
        <v>工程地质条件</v>
      </c>
      <c r="R42" s="709" t="s">
        <v>17</v>
      </c>
      <c r="S42" s="710">
        <f t="shared" si="10"/>
        <v>100</v>
      </c>
      <c r="T42" s="709" t="s">
        <v>17</v>
      </c>
      <c r="U42" s="710">
        <f t="shared" si="11"/>
        <v>100</v>
      </c>
      <c r="V42" s="709" t="s">
        <v>17</v>
      </c>
      <c r="W42" s="710">
        <f t="shared" si="12"/>
        <v>100</v>
      </c>
      <c r="X42" s="1348"/>
      <c r="Y42" s="3634"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34"/>
      <c r="Q43" s="1345">
        <f t="shared" si="14"/>
        <v>111</v>
      </c>
      <c r="R43" s="709" t="s">
        <v>17</v>
      </c>
      <c r="S43" s="710">
        <f t="shared" si="10"/>
        <v>100</v>
      </c>
      <c r="T43" s="709" t="s">
        <v>17</v>
      </c>
      <c r="U43" s="710">
        <f t="shared" si="11"/>
        <v>100</v>
      </c>
      <c r="V43" s="709" t="s">
        <v>17</v>
      </c>
      <c r="W43" s="710">
        <f t="shared" si="12"/>
        <v>100</v>
      </c>
      <c r="X43" s="1348"/>
      <c r="Y43" s="3634"/>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34"/>
      <c r="Q44" s="1345">
        <f t="shared" si="14"/>
        <v>111</v>
      </c>
      <c r="R44" s="709" t="s">
        <v>17</v>
      </c>
      <c r="S44" s="710">
        <f t="shared" si="10"/>
        <v>100</v>
      </c>
      <c r="T44" s="709" t="s">
        <v>17</v>
      </c>
      <c r="U44" s="710">
        <f t="shared" si="11"/>
        <v>100</v>
      </c>
      <c r="V44" s="709" t="s">
        <v>17</v>
      </c>
      <c r="W44" s="710">
        <f t="shared" si="12"/>
        <v>100</v>
      </c>
      <c r="X44" s="1348"/>
      <c r="Y44" s="3634"/>
      <c r="Z44" s="1349">
        <f t="shared" si="13"/>
        <v>111</v>
      </c>
      <c r="AA44" s="1346">
        <f t="shared" si="3"/>
        <v>1</v>
      </c>
      <c r="AB44" s="1346">
        <f t="shared" si="4"/>
        <v>1</v>
      </c>
      <c r="AC44" s="1346">
        <f t="shared" si="5"/>
        <v>1</v>
      </c>
    </row>
    <row r="45" spans="1:29" s="426" customFormat="1" ht="15.6"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34"/>
      <c r="Q45" s="1345">
        <f t="shared" si="14"/>
        <v>111</v>
      </c>
      <c r="R45" s="712" t="s">
        <v>17</v>
      </c>
      <c r="S45" s="713">
        <f t="shared" si="10"/>
        <v>100</v>
      </c>
      <c r="T45" s="712" t="s">
        <v>17</v>
      </c>
      <c r="U45" s="713">
        <f t="shared" si="11"/>
        <v>100</v>
      </c>
      <c r="V45" s="712" t="s">
        <v>17</v>
      </c>
      <c r="W45" s="713">
        <f t="shared" si="12"/>
        <v>100</v>
      </c>
      <c r="X45" s="714"/>
      <c r="Y45" s="3634"/>
      <c r="Z45" s="715">
        <f t="shared" si="13"/>
        <v>111</v>
      </c>
      <c r="AA45" s="1346">
        <f t="shared" si="3"/>
        <v>1</v>
      </c>
      <c r="AB45" s="1346">
        <f t="shared" si="4"/>
        <v>1</v>
      </c>
      <c r="AC45" s="1346">
        <f t="shared" si="5"/>
        <v>1</v>
      </c>
    </row>
    <row r="46" spans="1:29" ht="14.4">
      <c r="A46" s="434" t="s">
        <v>2105</v>
      </c>
      <c r="B46" s="1976" t="s">
        <v>2141</v>
      </c>
      <c r="C46" s="634" t="s">
        <v>1</v>
      </c>
      <c r="D46" s="436"/>
      <c r="E46" s="437"/>
      <c r="F46" s="438"/>
      <c r="G46" s="439"/>
      <c r="H46" s="440"/>
      <c r="I46" s="437"/>
      <c r="J46" s="440"/>
      <c r="K46" s="718"/>
      <c r="L46" s="2551"/>
      <c r="M46" s="2552"/>
      <c r="N46" s="2543"/>
      <c r="O46" s="2552"/>
      <c r="P46" s="3627" t="str">
        <f>A46</f>
        <v>成交单价</v>
      </c>
      <c r="Q46" s="3627"/>
      <c r="R46" s="3622">
        <f>E46</f>
        <v>0</v>
      </c>
      <c r="S46" s="3622"/>
      <c r="T46" s="3622">
        <f>G46</f>
        <v>0</v>
      </c>
      <c r="U46" s="3622"/>
      <c r="V46" s="3622">
        <f>I46</f>
        <v>0</v>
      </c>
      <c r="W46" s="3622"/>
      <c r="X46" s="694"/>
      <c r="Y46" s="716"/>
      <c r="Z46" s="694"/>
      <c r="AA46" s="694"/>
      <c r="AB46" s="694"/>
      <c r="AC46" s="694"/>
    </row>
    <row r="47" spans="1:29" ht="1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627" t="str">
        <f>A47</f>
        <v>比较价值（元/平方米）</v>
      </c>
      <c r="Q47" s="3627"/>
      <c r="R47" s="3655" t="e">
        <f>ROUND(PRODUCT(R46,AA7:AA45),0)</f>
        <v>#DIV/0!</v>
      </c>
      <c r="S47" s="3655"/>
      <c r="T47" s="3655" t="e">
        <f>ROUND(PRODUCT(T46,AB7:AB45),0)</f>
        <v>#DIV/0!</v>
      </c>
      <c r="U47" s="3655"/>
      <c r="V47" s="3655" t="e">
        <f>ROUND(PRODUCT(V46,AC7:AC45),0)</f>
        <v>#DIV/0!</v>
      </c>
      <c r="W47" s="3655"/>
      <c r="X47" s="694"/>
      <c r="Y47" s="694"/>
      <c r="Z47" s="694"/>
      <c r="AA47" s="694"/>
      <c r="AB47" s="694"/>
      <c r="AC47" s="694"/>
    </row>
    <row r="48" spans="1:29" ht="15" thickBot="1">
      <c r="A48" s="445" t="s">
        <v>2142</v>
      </c>
      <c r="B48" s="446"/>
      <c r="C48" s="447" t="e">
        <f>R48</f>
        <v>#DIV/0!</v>
      </c>
      <c r="D48" s="447"/>
      <c r="E48" s="447"/>
      <c r="F48" s="447"/>
      <c r="G48" s="447"/>
      <c r="H48" s="447"/>
      <c r="I48" s="447"/>
      <c r="J48" s="447"/>
      <c r="K48" s="719"/>
      <c r="L48" s="2551"/>
      <c r="M48" s="2552"/>
      <c r="N48" s="2552"/>
      <c r="O48" s="2552"/>
      <c r="P48" s="3624" t="str">
        <f>A48</f>
        <v>估价对象XX用房的比较价值（楼面单价，元/平方米）</v>
      </c>
      <c r="Q48" s="3625"/>
      <c r="R48" s="3656" t="e">
        <f>ROUND(IF(D47="简单平均",AVERAGE(R47:W47),R47*F47+T47*H47+V47*J47),0)</f>
        <v>#DIV/0!</v>
      </c>
      <c r="S48" s="3656"/>
      <c r="T48" s="3656"/>
      <c r="U48" s="3656"/>
      <c r="V48" s="3656"/>
      <c r="W48" s="3656"/>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4.4"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10" t="s">
        <v>2149</v>
      </c>
      <c r="H55" s="3657"/>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9"/>
      <c r="H56" s="3627"/>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8"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8"/>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8"/>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8"/>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4.4"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2.2"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4.4">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4.4">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4.4"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ht="14.4">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4.4"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9.4"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4.4"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4.4"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4.4"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4.4"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4.4"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4.4"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4.4"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4.4"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ht="14.4">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4.4"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4.4"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4.4"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4.4"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29.4"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4.4"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9.4"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4.4"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4.4"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4.4"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4.4"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9.4"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4.4"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4.4"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4.4"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4.4"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4.4"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4.4"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4.4"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4.4"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ht="14.4">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4.4"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4.4"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4.4"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4.4"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4.4"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4.4"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4.4"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4.4"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4.4"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4.4"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4.4"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4.4">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29">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593"/>
      <c r="AC5" s="3593"/>
    </row>
    <row r="6" spans="1:29" ht="15" thickBot="1">
      <c r="A6" s="362"/>
      <c r="B6" s="363"/>
      <c r="C6" s="3659" t="s">
        <v>2182</v>
      </c>
      <c r="D6" s="3660"/>
      <c r="E6" s="3661" t="s">
        <v>2182</v>
      </c>
      <c r="F6" s="3662"/>
      <c r="G6" s="3659" t="s">
        <v>2182</v>
      </c>
      <c r="H6" s="3660"/>
      <c r="I6" s="3659" t="s">
        <v>2182</v>
      </c>
      <c r="J6" s="3660"/>
      <c r="K6" s="563" t="s">
        <v>1932</v>
      </c>
      <c r="L6" s="2542"/>
      <c r="M6" s="2543"/>
      <c r="N6" s="2543"/>
      <c r="O6" s="2543"/>
      <c r="P6" s="3618"/>
      <c r="Q6" s="3619"/>
      <c r="R6" s="3599"/>
      <c r="S6" s="3600"/>
      <c r="T6" s="3620"/>
      <c r="U6" s="3621"/>
      <c r="V6" s="3622"/>
      <c r="W6" s="3622"/>
      <c r="X6" s="1348"/>
      <c r="Y6" s="3620"/>
      <c r="Z6" s="3621"/>
      <c r="AA6" s="3594"/>
      <c r="AB6" s="3594"/>
      <c r="AC6" s="3594"/>
    </row>
    <row r="7" spans="1:29" s="112" customFormat="1" ht="15" thickBot="1">
      <c r="A7" s="364" t="s">
        <v>1933</v>
      </c>
      <c r="B7" s="365"/>
      <c r="C7" s="366">
        <f>'数据-取费表'!B2</f>
        <v>44680</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595"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708" t="e">
        <f>D7/J7</f>
        <v>#DIV/0!</v>
      </c>
    </row>
    <row r="8" spans="1:29" s="112" customFormat="1" ht="1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40" si="3">D8/F8</f>
        <v>#DIV/0!</v>
      </c>
      <c r="AB8" s="708" t="e">
        <f t="shared" ref="AB8:AB40" si="4">D8/H8</f>
        <v>#DIV/0!</v>
      </c>
      <c r="AC8" s="708" t="e">
        <f t="shared" ref="AC8:AC40" si="5">D8/J8</f>
        <v>#DIV/0!</v>
      </c>
    </row>
    <row r="9" spans="1:29" s="112" customFormat="1" ht="14.4">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627"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29" s="382" customFormat="1" ht="28.8">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627"/>
      <c r="Q10" s="1338" t="str">
        <f t="shared" si="6"/>
        <v>土地使用年限（年）</v>
      </c>
      <c r="R10" s="705" t="s">
        <v>17</v>
      </c>
      <c r="S10" s="706" t="e">
        <f t="shared" si="0"/>
        <v>#DIV/0!</v>
      </c>
      <c r="T10" s="705" t="s">
        <v>17</v>
      </c>
      <c r="U10" s="706" t="e">
        <f t="shared" si="1"/>
        <v>#DIV/0!</v>
      </c>
      <c r="V10" s="705" t="s">
        <v>17</v>
      </c>
      <c r="W10" s="706" t="e">
        <f t="shared" si="2"/>
        <v>#DIV/0!</v>
      </c>
      <c r="X10" s="707"/>
      <c r="Y10" s="3539"/>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627"/>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627"/>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15.6"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627"/>
      <c r="Q14" s="1338">
        <f t="shared" si="6"/>
        <v>111</v>
      </c>
      <c r="R14" s="705" t="s">
        <v>17</v>
      </c>
      <c r="S14" s="706">
        <f t="shared" si="0"/>
        <v>100</v>
      </c>
      <c r="T14" s="705" t="s">
        <v>17</v>
      </c>
      <c r="U14" s="706">
        <f t="shared" si="1"/>
        <v>100</v>
      </c>
      <c r="V14" s="705" t="s">
        <v>17</v>
      </c>
      <c r="W14" s="706">
        <f t="shared" si="2"/>
        <v>100</v>
      </c>
      <c r="X14" s="707"/>
      <c r="Y14" s="3539"/>
      <c r="Z14" s="54">
        <f t="shared" si="7"/>
        <v>111</v>
      </c>
      <c r="AA14" s="708">
        <f t="shared" si="3"/>
        <v>1</v>
      </c>
      <c r="AB14" s="708">
        <f t="shared" si="4"/>
        <v>1</v>
      </c>
      <c r="AC14" s="708">
        <f t="shared" si="5"/>
        <v>1</v>
      </c>
    </row>
    <row r="15" spans="1:29" ht="69">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629" t="s">
        <v>1945</v>
      </c>
      <c r="Q15" s="1345" t="str">
        <f t="shared" si="6"/>
        <v>产业集聚程度</v>
      </c>
      <c r="R15" s="709" t="s">
        <v>17</v>
      </c>
      <c r="S15" s="710">
        <f t="shared" si="0"/>
        <v>100</v>
      </c>
      <c r="T15" s="709" t="s">
        <v>17</v>
      </c>
      <c r="U15" s="710">
        <f t="shared" si="1"/>
        <v>100</v>
      </c>
      <c r="V15" s="709" t="s">
        <v>17</v>
      </c>
      <c r="W15" s="710">
        <f t="shared" si="2"/>
        <v>100</v>
      </c>
      <c r="X15" s="1348"/>
      <c r="Y15" s="3629"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630"/>
      <c r="Q16" s="1345"/>
      <c r="R16" s="709"/>
      <c r="S16" s="710"/>
      <c r="T16" s="709"/>
      <c r="U16" s="710"/>
      <c r="V16" s="709"/>
      <c r="W16" s="710"/>
      <c r="X16" s="1348"/>
      <c r="Y16" s="3630"/>
      <c r="Z16" s="1349"/>
      <c r="AA16" s="1346">
        <v>1</v>
      </c>
      <c r="AB16" s="1346">
        <v>1</v>
      </c>
      <c r="AC16" s="1346">
        <v>1</v>
      </c>
    </row>
    <row r="17" spans="1:29" ht="96.6">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630"/>
      <c r="Q17" s="1345" t="str">
        <f>B17</f>
        <v>交通便捷度</v>
      </c>
      <c r="R17" s="709" t="s">
        <v>17</v>
      </c>
      <c r="S17" s="710">
        <f>F17</f>
        <v>100</v>
      </c>
      <c r="T17" s="709" t="s">
        <v>17</v>
      </c>
      <c r="U17" s="710">
        <f>H17</f>
        <v>100</v>
      </c>
      <c r="V17" s="709" t="s">
        <v>17</v>
      </c>
      <c r="W17" s="710">
        <f>J17</f>
        <v>100</v>
      </c>
      <c r="X17" s="1348"/>
      <c r="Y17" s="3630"/>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630"/>
      <c r="Q18" s="1345"/>
      <c r="R18" s="709"/>
      <c r="S18" s="710"/>
      <c r="T18" s="709"/>
      <c r="U18" s="710"/>
      <c r="V18" s="709"/>
      <c r="W18" s="710"/>
      <c r="X18" s="1348"/>
      <c r="Y18" s="3630"/>
      <c r="Z18" s="1349"/>
      <c r="AA18" s="1346">
        <v>1</v>
      </c>
      <c r="AB18" s="1346">
        <v>1</v>
      </c>
      <c r="AC18" s="1346">
        <v>1</v>
      </c>
    </row>
    <row r="19" spans="1:29" ht="28.8">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630"/>
      <c r="Q19" s="1345" t="str">
        <f t="shared" ref="Q19:Q33" si="8">B19</f>
        <v>区域土地利用方向</v>
      </c>
      <c r="R19" s="709" t="s">
        <v>17</v>
      </c>
      <c r="S19" s="710">
        <f>F19</f>
        <v>100</v>
      </c>
      <c r="T19" s="709" t="s">
        <v>17</v>
      </c>
      <c r="U19" s="710">
        <f>H19</f>
        <v>100</v>
      </c>
      <c r="V19" s="709" t="s">
        <v>17</v>
      </c>
      <c r="W19" s="710">
        <f>J19</f>
        <v>100</v>
      </c>
      <c r="X19" s="1348"/>
      <c r="Y19" s="3630"/>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630"/>
      <c r="Q20" s="1345"/>
      <c r="R20" s="709"/>
      <c r="S20" s="710"/>
      <c r="T20" s="709"/>
      <c r="U20" s="710"/>
      <c r="V20" s="709"/>
      <c r="W20" s="710"/>
      <c r="X20" s="1348"/>
      <c r="Y20" s="3630"/>
      <c r="Z20" s="1349"/>
      <c r="AA20" s="1346"/>
      <c r="AB20" s="1346"/>
      <c r="AC20" s="1346"/>
    </row>
    <row r="21" spans="1:29" ht="82.8">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630"/>
      <c r="Q21" s="1345" t="str">
        <f t="shared" si="8"/>
        <v>环境状况</v>
      </c>
      <c r="R21" s="709" t="s">
        <v>17</v>
      </c>
      <c r="S21" s="710">
        <f>F21</f>
        <v>100</v>
      </c>
      <c r="T21" s="709" t="s">
        <v>17</v>
      </c>
      <c r="U21" s="710">
        <f>H21</f>
        <v>100</v>
      </c>
      <c r="V21" s="709" t="s">
        <v>17</v>
      </c>
      <c r="W21" s="710">
        <f>J21</f>
        <v>100</v>
      </c>
      <c r="X21" s="1348"/>
      <c r="Y21" s="3630"/>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630"/>
      <c r="Q22" s="1345"/>
      <c r="R22" s="709"/>
      <c r="S22" s="710"/>
      <c r="T22" s="709"/>
      <c r="U22" s="710"/>
      <c r="V22" s="709"/>
      <c r="W22" s="710"/>
      <c r="X22" s="1348"/>
      <c r="Y22" s="3630"/>
      <c r="Z22" s="1349"/>
      <c r="AA22" s="1346">
        <v>1</v>
      </c>
      <c r="AB22" s="1346">
        <v>1</v>
      </c>
      <c r="AC22" s="1346">
        <v>1</v>
      </c>
    </row>
    <row r="23" spans="1:29" s="112" customFormat="1" ht="41.4">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630"/>
      <c r="Q23" s="1338" t="str">
        <f t="shared" si="8"/>
        <v>公共配套设施</v>
      </c>
      <c r="R23" s="705" t="s">
        <v>17</v>
      </c>
      <c r="S23" s="706">
        <f>F23</f>
        <v>100</v>
      </c>
      <c r="T23" s="705" t="s">
        <v>17</v>
      </c>
      <c r="U23" s="706">
        <f>H23</f>
        <v>100</v>
      </c>
      <c r="V23" s="705" t="s">
        <v>17</v>
      </c>
      <c r="W23" s="706">
        <f>J23</f>
        <v>100</v>
      </c>
      <c r="X23" s="707"/>
      <c r="Y23" s="3630"/>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630"/>
      <c r="Q24" s="1338"/>
      <c r="R24" s="705"/>
      <c r="S24" s="706"/>
      <c r="T24" s="705"/>
      <c r="U24" s="706"/>
      <c r="V24" s="705"/>
      <c r="W24" s="706"/>
      <c r="X24" s="707"/>
      <c r="Y24" s="3630"/>
      <c r="Z24" s="54"/>
      <c r="AA24" s="708">
        <v>1</v>
      </c>
      <c r="AB24" s="708">
        <v>1</v>
      </c>
      <c r="AC24" s="708">
        <v>1</v>
      </c>
    </row>
    <row r="25" spans="1:29" s="112" customFormat="1" ht="41.4">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630"/>
      <c r="Q25" s="1338" t="str">
        <f t="shared" ref="Q25" si="9">B25</f>
        <v>基础设施水平</v>
      </c>
      <c r="R25" s="705" t="s">
        <v>17</v>
      </c>
      <c r="S25" s="706">
        <f>F25</f>
        <v>100</v>
      </c>
      <c r="T25" s="705" t="s">
        <v>17</v>
      </c>
      <c r="U25" s="706">
        <f>H25</f>
        <v>100</v>
      </c>
      <c r="V25" s="705" t="s">
        <v>17</v>
      </c>
      <c r="W25" s="706">
        <f>J25</f>
        <v>100</v>
      </c>
      <c r="X25" s="707"/>
      <c r="Y25" s="3630"/>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630"/>
      <c r="Q26" s="1338"/>
      <c r="R26" s="705"/>
      <c r="S26" s="706"/>
      <c r="T26" s="705"/>
      <c r="U26" s="706"/>
      <c r="V26" s="705"/>
      <c r="W26" s="706"/>
      <c r="X26" s="707"/>
      <c r="Y26" s="3630"/>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630"/>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30"/>
      <c r="Z27" s="1349" t="str">
        <f t="shared" ref="Z27:Z40" si="13">Q27</f>
        <v>临街状况</v>
      </c>
      <c r="AA27" s="1346">
        <f t="shared" si="3"/>
        <v>1</v>
      </c>
      <c r="AB27" s="1346">
        <f t="shared" si="4"/>
        <v>1</v>
      </c>
      <c r="AC27" s="1346">
        <f t="shared" si="5"/>
        <v>1</v>
      </c>
    </row>
    <row r="28" spans="1:29" ht="28.8">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630"/>
      <c r="Q28" s="1345" t="str">
        <f t="shared" si="8"/>
        <v>毗邻道路的类型与等级</v>
      </c>
      <c r="R28" s="709" t="s">
        <v>17</v>
      </c>
      <c r="S28" s="710">
        <f t="shared" si="10"/>
        <v>100</v>
      </c>
      <c r="T28" s="709" t="s">
        <v>17</v>
      </c>
      <c r="U28" s="710">
        <f t="shared" si="11"/>
        <v>100</v>
      </c>
      <c r="V28" s="709" t="s">
        <v>17</v>
      </c>
      <c r="W28" s="710">
        <f t="shared" si="12"/>
        <v>100</v>
      </c>
      <c r="X28" s="1348"/>
      <c r="Y28" s="3630"/>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630"/>
      <c r="Q29" s="1345"/>
      <c r="R29" s="709"/>
      <c r="S29" s="710"/>
      <c r="T29" s="709"/>
      <c r="U29" s="710"/>
      <c r="V29" s="709"/>
      <c r="W29" s="710"/>
      <c r="X29" s="1348"/>
      <c r="Y29" s="3630"/>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630"/>
      <c r="Q30" s="1345" t="str">
        <f t="shared" si="8"/>
        <v>土地级别</v>
      </c>
      <c r="R30" s="709" t="s">
        <v>17</v>
      </c>
      <c r="S30" s="710">
        <f t="shared" si="10"/>
        <v>100</v>
      </c>
      <c r="T30" s="709" t="s">
        <v>17</v>
      </c>
      <c r="U30" s="710">
        <f t="shared" si="11"/>
        <v>100</v>
      </c>
      <c r="V30" s="709" t="s">
        <v>17</v>
      </c>
      <c r="W30" s="710">
        <f t="shared" si="12"/>
        <v>100</v>
      </c>
      <c r="X30" s="1348"/>
      <c r="Y30" s="3630"/>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630"/>
      <c r="Q31" s="1345">
        <f t="shared" si="8"/>
        <v>111</v>
      </c>
      <c r="R31" s="709" t="s">
        <v>17</v>
      </c>
      <c r="S31" s="710">
        <f t="shared" si="10"/>
        <v>100</v>
      </c>
      <c r="T31" s="709" t="s">
        <v>17</v>
      </c>
      <c r="U31" s="710">
        <f t="shared" si="11"/>
        <v>100</v>
      </c>
      <c r="V31" s="709" t="s">
        <v>17</v>
      </c>
      <c r="W31" s="710">
        <f t="shared" si="12"/>
        <v>100</v>
      </c>
      <c r="X31" s="1348"/>
      <c r="Y31" s="3630"/>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3" t="s">
        <v>1950</v>
      </c>
      <c r="Q32" s="1345">
        <f t="shared" si="8"/>
        <v>111</v>
      </c>
      <c r="R32" s="709" t="s">
        <v>17</v>
      </c>
      <c r="S32" s="710">
        <f t="shared" si="10"/>
        <v>100</v>
      </c>
      <c r="T32" s="709" t="s">
        <v>17</v>
      </c>
      <c r="U32" s="710">
        <f t="shared" si="11"/>
        <v>100</v>
      </c>
      <c r="V32" s="709" t="s">
        <v>17</v>
      </c>
      <c r="W32" s="710">
        <f t="shared" si="12"/>
        <v>100</v>
      </c>
      <c r="X32" s="1348"/>
      <c r="Y32" s="3634" t="s">
        <v>1950</v>
      </c>
      <c r="Z32" s="1349">
        <f t="shared" si="13"/>
        <v>111</v>
      </c>
      <c r="AA32" s="1346">
        <f t="shared" si="3"/>
        <v>1</v>
      </c>
      <c r="AB32" s="1346">
        <f t="shared" si="4"/>
        <v>1</v>
      </c>
      <c r="AC32" s="1346">
        <f t="shared" si="5"/>
        <v>1</v>
      </c>
    </row>
    <row r="33" spans="1:31" s="426" customFormat="1" ht="15.6"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34"/>
      <c r="Q33" s="1345">
        <f t="shared" si="8"/>
        <v>111</v>
      </c>
      <c r="R33" s="712" t="s">
        <v>17</v>
      </c>
      <c r="S33" s="713">
        <f t="shared" si="10"/>
        <v>100</v>
      </c>
      <c r="T33" s="712" t="s">
        <v>17</v>
      </c>
      <c r="U33" s="713">
        <f t="shared" si="11"/>
        <v>100</v>
      </c>
      <c r="V33" s="712" t="s">
        <v>17</v>
      </c>
      <c r="W33" s="713">
        <f t="shared" si="12"/>
        <v>100</v>
      </c>
      <c r="X33" s="714"/>
      <c r="Y33" s="3634"/>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34"/>
      <c r="Q34" s="1345" t="str">
        <f>B34</f>
        <v>宗地面积</v>
      </c>
      <c r="R34" s="709" t="s">
        <v>17</v>
      </c>
      <c r="S34" s="710" t="e">
        <f t="shared" si="10"/>
        <v>#N/A</v>
      </c>
      <c r="T34" s="709" t="s">
        <v>17</v>
      </c>
      <c r="U34" s="710" t="e">
        <f t="shared" si="11"/>
        <v>#N/A</v>
      </c>
      <c r="V34" s="709" t="s">
        <v>17</v>
      </c>
      <c r="W34" s="710" t="e">
        <f t="shared" si="12"/>
        <v>#N/A</v>
      </c>
      <c r="X34" s="1348"/>
      <c r="Y34" s="3634"/>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34"/>
      <c r="Q35" s="1345" t="str">
        <f t="shared" ref="Q35:Q40" si="14">B35</f>
        <v>宗地形状</v>
      </c>
      <c r="R35" s="709" t="s">
        <v>17</v>
      </c>
      <c r="S35" s="710">
        <f t="shared" si="10"/>
        <v>100</v>
      </c>
      <c r="T35" s="709" t="s">
        <v>17</v>
      </c>
      <c r="U35" s="710">
        <f t="shared" si="11"/>
        <v>100</v>
      </c>
      <c r="V35" s="709" t="s">
        <v>17</v>
      </c>
      <c r="W35" s="710">
        <f t="shared" si="12"/>
        <v>100</v>
      </c>
      <c r="X35" s="1348"/>
      <c r="Y35" s="3634"/>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34"/>
      <c r="Q36" s="1345" t="str">
        <f t="shared" si="14"/>
        <v>宗地开发程度</v>
      </c>
      <c r="R36" s="705" t="s">
        <v>17</v>
      </c>
      <c r="S36" s="706">
        <f t="shared" si="10"/>
        <v>100</v>
      </c>
      <c r="T36" s="705" t="s">
        <v>17</v>
      </c>
      <c r="U36" s="706">
        <f t="shared" si="11"/>
        <v>100</v>
      </c>
      <c r="V36" s="705" t="s">
        <v>17</v>
      </c>
      <c r="W36" s="706">
        <f t="shared" si="12"/>
        <v>100</v>
      </c>
      <c r="X36" s="707"/>
      <c r="Y36" s="3634"/>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34" t="s">
        <v>1950</v>
      </c>
      <c r="Q37" s="1345" t="str">
        <f t="shared" si="14"/>
        <v>工程地质条件</v>
      </c>
      <c r="R37" s="709" t="s">
        <v>17</v>
      </c>
      <c r="S37" s="710">
        <f t="shared" si="10"/>
        <v>100</v>
      </c>
      <c r="T37" s="709" t="s">
        <v>17</v>
      </c>
      <c r="U37" s="710">
        <f t="shared" si="11"/>
        <v>100</v>
      </c>
      <c r="V37" s="709" t="s">
        <v>17</v>
      </c>
      <c r="W37" s="710">
        <f t="shared" si="12"/>
        <v>100</v>
      </c>
      <c r="X37" s="1348"/>
      <c r="Y37" s="3634"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34"/>
      <c r="Q38" s="1345">
        <f t="shared" si="14"/>
        <v>111</v>
      </c>
      <c r="R38" s="709" t="s">
        <v>17</v>
      </c>
      <c r="S38" s="710">
        <f t="shared" si="10"/>
        <v>100</v>
      </c>
      <c r="T38" s="709" t="s">
        <v>17</v>
      </c>
      <c r="U38" s="710">
        <f t="shared" si="11"/>
        <v>100</v>
      </c>
      <c r="V38" s="709" t="s">
        <v>17</v>
      </c>
      <c r="W38" s="710">
        <f t="shared" si="12"/>
        <v>100</v>
      </c>
      <c r="X38" s="1348"/>
      <c r="Y38" s="3634"/>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34"/>
      <c r="Q39" s="1345">
        <f t="shared" si="14"/>
        <v>111</v>
      </c>
      <c r="R39" s="709" t="s">
        <v>17</v>
      </c>
      <c r="S39" s="710">
        <f t="shared" si="10"/>
        <v>100</v>
      </c>
      <c r="T39" s="709" t="s">
        <v>17</v>
      </c>
      <c r="U39" s="710">
        <f t="shared" si="11"/>
        <v>100</v>
      </c>
      <c r="V39" s="709" t="s">
        <v>17</v>
      </c>
      <c r="W39" s="710">
        <f t="shared" si="12"/>
        <v>100</v>
      </c>
      <c r="X39" s="1348"/>
      <c r="Y39" s="3634"/>
      <c r="Z39" s="1349">
        <f t="shared" si="13"/>
        <v>111</v>
      </c>
      <c r="AA39" s="1346">
        <f t="shared" si="3"/>
        <v>1</v>
      </c>
      <c r="AB39" s="1346">
        <f t="shared" si="4"/>
        <v>1</v>
      </c>
      <c r="AC39" s="1346">
        <f t="shared" si="5"/>
        <v>1</v>
      </c>
    </row>
    <row r="40" spans="1:31" s="426" customFormat="1" ht="15.6"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34"/>
      <c r="Q40" s="1345">
        <f t="shared" si="14"/>
        <v>111</v>
      </c>
      <c r="R40" s="712" t="s">
        <v>17</v>
      </c>
      <c r="S40" s="713">
        <f t="shared" si="10"/>
        <v>100</v>
      </c>
      <c r="T40" s="712" t="s">
        <v>17</v>
      </c>
      <c r="U40" s="713">
        <f t="shared" si="11"/>
        <v>100</v>
      </c>
      <c r="V40" s="712" t="s">
        <v>17</v>
      </c>
      <c r="W40" s="713">
        <f t="shared" si="12"/>
        <v>100</v>
      </c>
      <c r="X40" s="714"/>
      <c r="Y40" s="3634"/>
      <c r="Z40" s="715">
        <f t="shared" si="13"/>
        <v>111</v>
      </c>
      <c r="AA40" s="1346">
        <f t="shared" si="3"/>
        <v>1</v>
      </c>
      <c r="AB40" s="1346">
        <f t="shared" si="4"/>
        <v>1</v>
      </c>
      <c r="AC40" s="1346">
        <f t="shared" si="5"/>
        <v>1</v>
      </c>
    </row>
    <row r="41" spans="1:31" ht="14.4">
      <c r="A41" s="434" t="s">
        <v>2105</v>
      </c>
      <c r="B41" s="1976" t="s">
        <v>2185</v>
      </c>
      <c r="C41" s="634" t="s">
        <v>1</v>
      </c>
      <c r="D41" s="436"/>
      <c r="E41" s="437"/>
      <c r="F41" s="438"/>
      <c r="G41" s="439"/>
      <c r="H41" s="440"/>
      <c r="I41" s="437"/>
      <c r="J41" s="440"/>
      <c r="K41" s="718"/>
      <c r="L41" s="2551"/>
      <c r="M41" s="2543"/>
      <c r="N41" s="2543"/>
      <c r="O41" s="2552"/>
      <c r="P41" s="3627" t="str">
        <f>A41</f>
        <v>成交单价</v>
      </c>
      <c r="Q41" s="3627"/>
      <c r="R41" s="3622">
        <f>E41</f>
        <v>0</v>
      </c>
      <c r="S41" s="3622"/>
      <c r="T41" s="3622">
        <f>G41</f>
        <v>0</v>
      </c>
      <c r="U41" s="3622"/>
      <c r="V41" s="3622">
        <f>I41</f>
        <v>0</v>
      </c>
      <c r="W41" s="3622"/>
      <c r="X41" s="694"/>
      <c r="Y41" s="716"/>
      <c r="Z41" s="694"/>
      <c r="AA41" s="694"/>
      <c r="AB41" s="694"/>
      <c r="AC41" s="694"/>
    </row>
    <row r="42" spans="1:31" ht="1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627" t="str">
        <f>A42</f>
        <v>比较价值（元/平方米）</v>
      </c>
      <c r="Q42" s="3627"/>
      <c r="R42" s="3655" t="e">
        <f>ROUND(PRODUCT(R41,AA7:AA40),0)</f>
        <v>#DIV/0!</v>
      </c>
      <c r="S42" s="3655"/>
      <c r="T42" s="3655" t="e">
        <f>ROUND(PRODUCT(T41,AB7:AB40),0)</f>
        <v>#DIV/0!</v>
      </c>
      <c r="U42" s="3655"/>
      <c r="V42" s="3655" t="e">
        <f>ROUND(PRODUCT(V41,AC7:AC40),0)</f>
        <v>#DIV/0!</v>
      </c>
      <c r="W42" s="3655"/>
      <c r="X42" s="694"/>
      <c r="Y42" s="694"/>
      <c r="Z42" s="694"/>
      <c r="AA42" s="694"/>
      <c r="AB42" s="694"/>
      <c r="AC42" s="694"/>
    </row>
    <row r="43" spans="1:31" ht="15" thickBot="1">
      <c r="A43" s="445" t="s">
        <v>2055</v>
      </c>
      <c r="B43" s="446"/>
      <c r="C43" s="447" t="e">
        <f>R43</f>
        <v>#DIV/0!</v>
      </c>
      <c r="D43" s="447"/>
      <c r="E43" s="447"/>
      <c r="F43" s="447"/>
      <c r="G43" s="447"/>
      <c r="H43" s="447"/>
      <c r="I43" s="447"/>
      <c r="J43" s="447"/>
      <c r="K43" s="719"/>
      <c r="L43" s="2551"/>
      <c r="M43" s="2543"/>
      <c r="N43" s="2543"/>
      <c r="O43" s="2552"/>
      <c r="P43" s="3624" t="str">
        <f>A43</f>
        <v>估价对象XX用房的比较价值（楼面单价，元/平方米）</v>
      </c>
      <c r="Q43" s="3625"/>
      <c r="R43" s="3656" t="e">
        <f>ROUND(IF(D42="简单平均",AVERAGE(R42:W42),R42*F42+T42*H42+V42*J42),0)</f>
        <v>#DIV/0!</v>
      </c>
      <c r="S43" s="3656"/>
      <c r="T43" s="3656"/>
      <c r="U43" s="3656"/>
      <c r="V43" s="3656"/>
      <c r="W43" s="3656"/>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4.4"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8.8">
      <c r="A50" s="636" t="s">
        <v>2143</v>
      </c>
      <c r="B50" s="637" t="s">
        <v>2144</v>
      </c>
      <c r="C50" s="1977" t="s">
        <v>2145</v>
      </c>
      <c r="D50" s="1978" t="s">
        <v>2146</v>
      </c>
      <c r="E50" s="638" t="s">
        <v>2147</v>
      </c>
      <c r="F50" s="639" t="s">
        <v>2148</v>
      </c>
      <c r="G50" s="3610" t="s">
        <v>2149</v>
      </c>
      <c r="H50" s="3657"/>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9"/>
      <c r="H51" s="3627"/>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8"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8"/>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8"/>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8"/>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4.4"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4.4"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2.2"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4.4">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4.4">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4.4"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ht="14.4">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4.4"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9.4"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4.4"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4.4"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4.4"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4.4"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4.4"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4.4"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4.4"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4.4"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ht="14.4">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4.4"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4.4"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29.4"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4.4"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9.4"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4.4"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4.4"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4.4"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4.4"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9.4"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4.4"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4.4"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4.4"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4.4"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4.4"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4.4"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4.4"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4.4"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ht="14.4">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4.4"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4.4"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4.4"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4.4"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4.4"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4.4"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4.4"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4.4"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4.4"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4.4"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zoomScale="115" zoomScaleNormal="80" zoomScaleSheetLayoutView="115" workbookViewId="0">
      <selection activeCell="E12" sqref="E12"/>
    </sheetView>
  </sheetViews>
  <sheetFormatPr defaultColWidth="9" defaultRowHeight="13.2"/>
  <cols>
    <col min="1" max="1" width="9.77734375" style="2012" customWidth="1"/>
    <col min="2" max="2" width="23.88671875" style="2869" customWidth="1"/>
    <col min="3" max="3" width="12" style="1989"/>
    <col min="4" max="4" width="12.6640625" style="1989" bestFit="1" customWidth="1"/>
    <col min="5" max="5" width="14.6640625" style="1989" customWidth="1"/>
    <col min="6" max="6" width="12.77734375" style="1989" customWidth="1"/>
    <col min="7" max="8" width="12" style="1989"/>
    <col min="9" max="9" width="12.21875" style="1989" bestFit="1" customWidth="1"/>
    <col min="10" max="10" width="12" style="1989"/>
    <col min="11" max="11" width="8.109375" style="1126" customWidth="1"/>
    <col min="12" max="12" width="16.88671875" style="1989" customWidth="1"/>
    <col min="13" max="13" width="8.44140625" style="1989" customWidth="1"/>
    <col min="14" max="14" width="9.77734375" style="1989" customWidth="1"/>
    <col min="15" max="25" width="12" style="1989"/>
    <col min="26" max="26" width="9.33203125" style="2012" customWidth="1"/>
    <col min="27" max="32" width="9.33203125" style="1127" customWidth="1"/>
    <col min="33" max="36" width="9.33203125" style="2012" customWidth="1"/>
    <col min="37" max="38" width="9.33203125" style="1989" customWidth="1"/>
    <col min="39" max="16384" width="9" style="1989"/>
  </cols>
  <sheetData>
    <row r="1" spans="1:36" ht="31.2">
      <c r="A1" s="198" t="s">
        <v>2189</v>
      </c>
      <c r="B1" s="199"/>
      <c r="C1" s="203" t="s">
        <v>2190</v>
      </c>
      <c r="D1" s="344">
        <f>SUM(D33:D34,D37:D42)</f>
        <v>23937.22</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6">
      <c r="A2" s="203" t="s">
        <v>2197</v>
      </c>
      <c r="B2" s="206">
        <f>C30</f>
        <v>3302</v>
      </c>
      <c r="C2" s="2913" t="s">
        <v>2198</v>
      </c>
      <c r="D2" s="2914" t="s">
        <v>2199</v>
      </c>
      <c r="E2" s="1990" t="s">
        <v>6</v>
      </c>
      <c r="F2" s="2914" t="s">
        <v>2200</v>
      </c>
      <c r="G2" s="2915" t="str">
        <f>IF(E2="商业",项目基本情况!B37,IF(E2="办公",项目基本情况!C37,IF(E2="住宅",项目基本情况!D37,IF(E2="工业",项目基本情况!E37,项目基本情况!F37))))</f>
        <v>六级</v>
      </c>
      <c r="H2" s="2914" t="s">
        <v>2201</v>
      </c>
      <c r="I2" s="2915" t="str">
        <f>IF(E2="商业",项目基本情况!B38,IF(E2="办公",项目基本情况!C38,IF(E2="住宅",项目基本情况!D38,IF(E2="工业",项目基本情况!E38,项目基本情况!F38))))</f>
        <v>Ⅵ-BDA核心</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1.5019</v>
      </c>
      <c r="T2" s="3146">
        <f t="shared" ref="T2:T16" si="0">ROUND($C$5*$C$22*$C$23*$C$24*S2*$C$28,0)</f>
        <v>2979</v>
      </c>
      <c r="U2" s="1216">
        <f>'[2]数据-基础表'!$I$13</f>
        <v>11810.92</v>
      </c>
      <c r="V2" s="3146">
        <f>ROUND(T2*U2/10000,0)</f>
        <v>3518</v>
      </c>
      <c r="W2" s="1217"/>
      <c r="X2" s="1217"/>
      <c r="Y2" s="1217"/>
      <c r="Z2" s="1217"/>
      <c r="AA2" s="1217"/>
      <c r="AB2" s="1217"/>
      <c r="AC2" s="1218"/>
      <c r="AD2" s="2614"/>
      <c r="AE2" s="2614"/>
      <c r="AF2" s="2614"/>
      <c r="AG2" s="2614"/>
      <c r="AH2" s="2614"/>
      <c r="AI2" s="2614"/>
      <c r="AJ2" s="2615"/>
    </row>
    <row r="3" spans="1:36" ht="15.6">
      <c r="A3" s="205" t="s">
        <v>2203</v>
      </c>
      <c r="B3" s="206">
        <f>ROUND(B2*10000/D1,0)</f>
        <v>1379</v>
      </c>
      <c r="C3" s="2913" t="s">
        <v>2204</v>
      </c>
      <c r="D3" s="2914" t="s">
        <v>2205</v>
      </c>
      <c r="E3" s="1991" t="s">
        <v>2896</v>
      </c>
      <c r="F3" s="1992" t="s">
        <v>3121</v>
      </c>
      <c r="G3" s="2878">
        <v>2.15</v>
      </c>
      <c r="H3" s="174" t="s">
        <v>2206</v>
      </c>
      <c r="I3" s="789"/>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1.1838</v>
      </c>
      <c r="T3" s="3146">
        <f t="shared" si="0"/>
        <v>2348</v>
      </c>
      <c r="U3" s="1216">
        <f>'[2]数据-基础表'!$I$14</f>
        <v>12045.64</v>
      </c>
      <c r="V3" s="3146">
        <f t="shared" ref="V3:V16" si="1">ROUND(T3*U3/10000,0)</f>
        <v>2828</v>
      </c>
      <c r="W3" s="1217"/>
      <c r="X3" s="1217"/>
      <c r="Y3" s="1217"/>
      <c r="Z3" s="1217"/>
      <c r="AA3" s="1217"/>
      <c r="AB3" s="1217"/>
      <c r="AC3" s="1218"/>
      <c r="AD3" s="2614"/>
      <c r="AE3" s="2614"/>
      <c r="AF3" s="2614"/>
      <c r="AG3" s="2614"/>
      <c r="AH3" s="2614"/>
      <c r="AI3" s="2614"/>
      <c r="AJ3" s="2615"/>
    </row>
    <row r="4" spans="1:36" ht="15.6">
      <c r="A4" s="3675"/>
      <c r="B4" s="3676"/>
      <c r="C4" s="3676"/>
      <c r="D4" s="3677"/>
      <c r="E4" s="3677"/>
      <c r="F4" s="3677"/>
      <c r="G4" s="3677"/>
      <c r="H4" s="3677"/>
      <c r="I4" s="3677"/>
      <c r="J4" s="3678"/>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1.0004999999999999</v>
      </c>
      <c r="T4" s="3146">
        <f t="shared" si="0"/>
        <v>1985</v>
      </c>
      <c r="U4" s="1216">
        <f>'[2]数据-基础表'!$I$15</f>
        <v>12019.87</v>
      </c>
      <c r="V4" s="3146">
        <f t="shared" si="1"/>
        <v>2386</v>
      </c>
      <c r="W4" s="1217"/>
      <c r="X4" s="1217"/>
      <c r="Y4" s="1217"/>
      <c r="Z4" s="1217"/>
      <c r="AA4" s="1217"/>
      <c r="AB4" s="1217"/>
      <c r="AC4" s="1218"/>
      <c r="AD4" s="2614"/>
      <c r="AE4" s="2614"/>
      <c r="AF4" s="2614"/>
      <c r="AG4" s="2614"/>
      <c r="AH4" s="2614"/>
      <c r="AI4" s="2614"/>
      <c r="AJ4" s="2615"/>
    </row>
    <row r="5" spans="1:36" s="2613" customFormat="1" ht="15.6" thickBot="1">
      <c r="A5" s="2923" t="s">
        <v>595</v>
      </c>
      <c r="B5" s="2924" t="s">
        <v>2210</v>
      </c>
      <c r="C5" s="3154">
        <f>ROUND(IF(E2="商业",C6*C7*C17+C20,(IF(E2="住宅",C6*C13*C17+C20,IF(E2="办公",C6*C12*C17+C20,C6+C20)))),0)</f>
        <v>2298</v>
      </c>
      <c r="D5" s="3209">
        <f>ROUND(C6+C20,0)</f>
        <v>2298</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0.88239999999999996</v>
      </c>
      <c r="T5" s="3146">
        <f t="shared" si="0"/>
        <v>1750</v>
      </c>
      <c r="U5" s="1216">
        <f>'[2]数据-基础表'!$I$16</f>
        <v>2751.25</v>
      </c>
      <c r="V5" s="3146">
        <f t="shared" si="1"/>
        <v>481</v>
      </c>
      <c r="W5" s="1217"/>
      <c r="X5" s="1217"/>
      <c r="Y5" s="1217"/>
      <c r="Z5" s="1217"/>
      <c r="AA5" s="1217"/>
      <c r="AB5" s="1217"/>
      <c r="AC5" s="1994"/>
      <c r="AD5" s="2843"/>
      <c r="AE5" s="2843"/>
      <c r="AF5" s="2843"/>
      <c r="AG5" s="2843"/>
      <c r="AH5" s="2843"/>
      <c r="AI5" s="2843"/>
      <c r="AJ5" s="2844"/>
    </row>
    <row r="6" spans="1:36" ht="15.6" thickBot="1">
      <c r="A6" s="2925" t="s">
        <v>2212</v>
      </c>
      <c r="B6" s="2926" t="s">
        <v>2213</v>
      </c>
      <c r="C6" s="3155">
        <f>SUMIF(L1:L15,G2,M1:M15)</f>
        <v>2340</v>
      </c>
      <c r="D6" s="2969" t="s">
        <v>2214</v>
      </c>
      <c r="E6" s="2970"/>
      <c r="F6" s="2970"/>
      <c r="G6" s="2971"/>
      <c r="H6" s="2971"/>
      <c r="I6" s="2971"/>
      <c r="J6" s="2972"/>
      <c r="K6" s="1376"/>
      <c r="L6" s="2919" t="s">
        <v>2215</v>
      </c>
      <c r="M6" s="2920">
        <f>SUMPRODUCT((区片价!B127:B189=I2)*(区片价!C3:G3=E2)*(区片价!C127:G189))</f>
        <v>2340</v>
      </c>
      <c r="N6" s="2918">
        <f>SUMPRODUCT((因素修正幅度!B127:B189=I2)*(因素修正幅度!C3:G3=E2)*(因素修正幅度!C127:G189))</f>
        <v>0.05</v>
      </c>
      <c r="O6" s="1126"/>
      <c r="P6" s="1126"/>
      <c r="Q6" s="1126"/>
      <c r="R6" s="3146">
        <v>5</v>
      </c>
      <c r="S6" s="3146">
        <f>ROUND(IF(R6&lt;6,SUMPRODUCT((B107:B111=R6)*(C106:N106=G2)*(C107:N111)),SUMIF(C106:N106,G2,C113:N113)),4)</f>
        <v>0.84799999999999998</v>
      </c>
      <c r="T6" s="3146">
        <f t="shared" si="0"/>
        <v>1682</v>
      </c>
      <c r="U6" s="1216"/>
      <c r="V6" s="3146">
        <f t="shared" si="1"/>
        <v>0</v>
      </c>
      <c r="W6" s="1217"/>
      <c r="X6" s="1217"/>
      <c r="Y6" s="1217"/>
      <c r="Z6" s="1217"/>
      <c r="AA6" s="1217"/>
      <c r="AB6" s="1217"/>
      <c r="AC6" s="1994"/>
      <c r="AD6" s="2843"/>
      <c r="AE6" s="2843"/>
      <c r="AF6" s="2843"/>
      <c r="AG6" s="2843"/>
      <c r="AH6" s="2843"/>
      <c r="AI6" s="2843"/>
      <c r="AJ6" s="2844"/>
    </row>
    <row r="7" spans="1:36" ht="24">
      <c r="A7" s="3679" t="str">
        <f>IF(E2="商业",IF(C8="不临58条商业街","",2),"")</f>
        <v/>
      </c>
      <c r="B7" s="2905" t="s">
        <v>2216</v>
      </c>
      <c r="C7" s="2973">
        <f>IF(C8="不临65条商业街",1,ROUND(1+(1.6*E8+1.2*E9+0.8*E10+0.4*E11)*C9,4))</f>
        <v>1</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六级</v>
      </c>
      <c r="Y7" s="3148" t="s">
        <v>2220</v>
      </c>
      <c r="Z7" s="3149">
        <f>G3</f>
        <v>2.15</v>
      </c>
      <c r="AA7" s="1217"/>
      <c r="AB7" s="1217"/>
      <c r="AC7" s="1218"/>
      <c r="AD7" s="2614"/>
      <c r="AE7" s="2614"/>
      <c r="AF7" s="2614"/>
      <c r="AG7" s="2614"/>
      <c r="AH7" s="2614"/>
      <c r="AI7" s="2614"/>
      <c r="AJ7" s="2615"/>
    </row>
    <row r="8" spans="1:36" ht="26.4">
      <c r="A8" s="3680"/>
      <c r="B8" s="174" t="s">
        <v>2221</v>
      </c>
      <c r="C8" s="1996" t="s">
        <v>3122</v>
      </c>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72" t="s">
        <v>2224</v>
      </c>
      <c r="X8" s="3673"/>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
      <c r="A9" s="3680"/>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74"/>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
      <c r="A10" s="3680"/>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0</v>
      </c>
      <c r="N10" s="2918">
        <f>SUMPRODUCT((因素修正幅度!B327:B357=I2)*(因素修正幅度!C3:G3=E2)*(因素修正幅度!C327:G357))</f>
        <v>0</v>
      </c>
      <c r="O10" s="1126"/>
      <c r="P10" s="1126"/>
      <c r="Q10" s="1126"/>
      <c r="R10" s="3146">
        <v>9</v>
      </c>
      <c r="S10" s="1216"/>
      <c r="T10" s="3146">
        <f t="shared" si="0"/>
        <v>0</v>
      </c>
      <c r="U10" s="1216"/>
      <c r="V10" s="3146">
        <f t="shared" si="1"/>
        <v>0</v>
      </c>
      <c r="W10" s="3674"/>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5.6" thickBot="1">
      <c r="A11" s="3680"/>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5.8"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24">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24">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
      <c r="A15" s="2931"/>
      <c r="B15" s="2907"/>
      <c r="C15" s="2000"/>
      <c r="D15" s="2001"/>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5.6"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4">
      <c r="A17" s="2933" t="s">
        <v>2741</v>
      </c>
      <c r="B17" s="2934" t="s">
        <v>2852</v>
      </c>
      <c r="C17" s="3215">
        <v>1</v>
      </c>
      <c r="D17" s="2999" t="s">
        <v>3074</v>
      </c>
      <c r="E17" s="3000"/>
      <c r="F17" s="3000"/>
      <c r="G17" s="2900" t="s">
        <v>2850</v>
      </c>
      <c r="H17" s="3218">
        <v>0.8</v>
      </c>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3.8">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4.4" thickBot="1">
      <c r="A19" s="2937"/>
      <c r="B19" s="2938"/>
      <c r="C19" s="3211"/>
      <c r="D19" s="2902">
        <v>1</v>
      </c>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3.8">
      <c r="A20" s="3681" t="s">
        <v>2849</v>
      </c>
      <c r="B20" s="171" t="s">
        <v>2259</v>
      </c>
      <c r="C20" s="3003">
        <f>ROUND(IF(F21="与级别开发程度一致",0,(G21-E21)/C21),0)</f>
        <v>-42</v>
      </c>
      <c r="D20" s="3683" t="s">
        <v>2263</v>
      </c>
      <c r="E20" s="3684"/>
      <c r="F20" s="3683" t="s">
        <v>2260</v>
      </c>
      <c r="G20" s="3684"/>
      <c r="H20" s="2898" t="s">
        <v>3116</v>
      </c>
      <c r="I20" s="2898" t="s">
        <v>3117</v>
      </c>
      <c r="J20" s="2899" t="s">
        <v>3118</v>
      </c>
      <c r="K20" s="2003" t="s">
        <v>3119</v>
      </c>
      <c r="L20" s="2003" t="s">
        <v>3120</v>
      </c>
      <c r="M20" s="2003" t="s">
        <v>3124</v>
      </c>
      <c r="N20" s="2003" t="s">
        <v>3126</v>
      </c>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7" thickBot="1">
      <c r="A21" s="3682"/>
      <c r="B21" s="2939" t="s">
        <v>2262</v>
      </c>
      <c r="C21" s="3004">
        <f>SUMPRODUCT((修正!A2:A7=E2)*(修正!B1:M1=G2)*(修正!B2:M7))</f>
        <v>1.2</v>
      </c>
      <c r="D21" s="3009" t="str">
        <f>IF(OR(G2="八级",G2="九级",G2="十级",G2="十一级",G2="十二级"),"五通一平","七通一平")</f>
        <v>七通一平</v>
      </c>
      <c r="E21" s="3010">
        <f>SUMPRODUCT((修正!B1:M1=G2)*(修正!B17:M17))</f>
        <v>315</v>
      </c>
      <c r="F21" s="2022" t="s">
        <v>3123</v>
      </c>
      <c r="G21" s="3021">
        <f>SUM(H21:O21)</f>
        <v>265</v>
      </c>
      <c r="H21" s="3004">
        <f>SUMPRODUCT((七通一平=H20)*(修正!B1:M1=G2)*(修正!B8:M16))</f>
        <v>70</v>
      </c>
      <c r="I21" s="3004">
        <f>SUMPRODUCT((七通一平=I20)*(修正!B1:M1=G2)*(修正!B8:M16))</f>
        <v>60</v>
      </c>
      <c r="J21" s="3022">
        <f>SUMPRODUCT((七通一平=J20)*(修正!B1:M1=G2)*(修正!B8:M16))</f>
        <v>15</v>
      </c>
      <c r="K21" s="3004">
        <f>SUMPRODUCT((七通一平=K20)*(修正!B1:M1=G2)*(修正!B8:M16))</f>
        <v>25</v>
      </c>
      <c r="L21" s="3004">
        <f>SUMPRODUCT((七通一平=L20)*(修正!B1:M1=G2)*(修正!B8:M16))</f>
        <v>40</v>
      </c>
      <c r="M21" s="3004">
        <f>SUMPRODUCT((七通一平=M20)*(修正!B1:M1=G2)*(修正!B8:M16))</f>
        <v>15</v>
      </c>
      <c r="N21" s="3004">
        <f>SUMPRODUCT((七通一平=N20)*(修正!B1:M1=G2)*(修正!B8:M16))</f>
        <v>40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8.2" thickBot="1">
      <c r="A23" s="2942" t="s">
        <v>597</v>
      </c>
      <c r="B23" s="2943" t="s">
        <v>2266</v>
      </c>
      <c r="C23" s="3006">
        <f>ROUND(IF(H23="按公示增长率计算",SUMPRODUCT((地价!A3:A13=YEAR(G23)&amp;"-"&amp;ROUNDUP(MONTH(G23)/3,0))*(地价!Y2:AD2=E2)*(地价!Y3:AD13)),IF(H23="地价指数",M24/M23,(1+I23)^O23)),4)</f>
        <v>1.0205</v>
      </c>
      <c r="D23" s="3013" t="s">
        <v>2267</v>
      </c>
      <c r="E23" s="3014">
        <v>44197</v>
      </c>
      <c r="F23" s="3013" t="s">
        <v>2268</v>
      </c>
      <c r="G23" s="3348">
        <f>项目基本情况!D3</f>
        <v>44680</v>
      </c>
      <c r="H23" s="2005" t="s">
        <v>3108</v>
      </c>
      <c r="I23" s="3029" t="str">
        <f>IF(H23="季度增幅（自定义）",SUMIF(N25:N28,E2,O25:O28),"")</f>
        <v/>
      </c>
      <c r="J23" s="3030"/>
      <c r="K23" s="1131"/>
      <c r="L23" s="3055" t="s">
        <v>2269</v>
      </c>
      <c r="M23" s="3056">
        <f>ROUND(SUMIF(地价!B2:G2,E2,地价!B13:G13),0)</f>
        <v>329</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6" thickBot="1">
      <c r="A24" s="2944" t="s">
        <v>598</v>
      </c>
      <c r="B24" s="2945" t="s">
        <v>2271</v>
      </c>
      <c r="C24" s="3007">
        <f>ROUND(POWER(1+G24,J24-I24)*(POWER(1+G24,I24)-1)/(POWER(1+G24,J24)-1),4)</f>
        <v>0.82479999999999998</v>
      </c>
      <c r="D24" s="3015" t="s">
        <v>2272</v>
      </c>
      <c r="E24" s="3016">
        <v>3.6999999999999998E-2</v>
      </c>
      <c r="F24" s="3015" t="s">
        <v>2264</v>
      </c>
      <c r="G24" s="3026">
        <f>SUMIF(M30:Q30,E2,M33:Q33)</f>
        <v>0.05</v>
      </c>
      <c r="H24" s="3015" t="s">
        <v>2273</v>
      </c>
      <c r="I24" s="2879">
        <f>[3]项目基本情况!$I$15</f>
        <v>28.65</v>
      </c>
      <c r="J24" s="3031">
        <f>IF(E2="住宅",70,IF(E2="商业",40,50))</f>
        <v>50</v>
      </c>
      <c r="K24" s="1131"/>
      <c r="L24" s="3057" t="s">
        <v>2274</v>
      </c>
      <c r="M24" s="3058">
        <f>ROUND(SUMPRODUCT((地价!A4:A13=YEAR(G23)&amp;"-"&amp;ROUNDUP(MONTH(G23)/3,0))*(地价!B2:G2=E2)*(地价!B4:G13)),0)</f>
        <v>336</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4.4">
      <c r="A25" s="2964" t="s">
        <v>599</v>
      </c>
      <c r="B25" s="2904" t="s">
        <v>3127</v>
      </c>
      <c r="C25" s="2909">
        <f>IF(B25="容积率修正",IF(G3&lt;10,D26,J26),C27)</f>
        <v>0.79800000000000004</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4">
      <c r="A26" s="1949" t="s">
        <v>2279</v>
      </c>
      <c r="B26" s="2946" t="s">
        <v>2280</v>
      </c>
      <c r="C26" s="2908" t="s">
        <v>2929</v>
      </c>
      <c r="D26" s="2908">
        <f>IF(E26=G26,F26,IF(G3&lt;=10,ROUND(F26+(H26-F26)*(G3-E26)/(G26-E26),4),"——"))</f>
        <v>0.79800000000000004</v>
      </c>
      <c r="E26" s="3018">
        <f>ROUNDDOWN(G3,1)</f>
        <v>2.1</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3018">
        <f>ROUNDUP(G3,1)</f>
        <v>2.2000000000000002</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2908" t="s">
        <v>2930</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 thickBot="1">
      <c r="A27" s="1949" t="s">
        <v>2282</v>
      </c>
      <c r="B27" s="2947" t="s">
        <v>2283</v>
      </c>
      <c r="C27" s="3008">
        <f>ROUND(IF(G3&gt;1,IF(I3&lt;7,SUMPRODUCT((B107:B111=I3)*(C106:N106=G2)*(C107:N111)),SUMIF(C106:N106,G2,C113:N113)),IF(I3&lt;7,SUMPRODUCT((#REF!=I3)*(C106:N106=G2)*(#REF!)),SUMIF(C106:N106,G2,#REF!))),4)</f>
        <v>0</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 thickBot="1">
      <c r="A28" s="2944" t="s">
        <v>600</v>
      </c>
      <c r="B28" s="2943" t="s">
        <v>2285</v>
      </c>
      <c r="C28" s="3006">
        <f>SUMIF(A48:A102,E2,B48:B102)</f>
        <v>1.0255000000000001</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4.4">
      <c r="A30" s="2949"/>
      <c r="B30" s="2946" t="s">
        <v>2288</v>
      </c>
      <c r="C30" s="3037">
        <f>IF(B25="容积率修正",E33+SUM(E37:E42),SUM(V2:V16)+SUM(E37:E42))</f>
        <v>3302</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 thickBot="1">
      <c r="A31" s="2949"/>
      <c r="B31" s="2950" t="s">
        <v>2289</v>
      </c>
      <c r="C31" s="3038">
        <f>E34+SUM(I37:I42)</f>
        <v>17</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3.8">
      <c r="A33" s="2953"/>
      <c r="B33" s="2954" t="s">
        <v>2294</v>
      </c>
      <c r="C33" s="3040">
        <f>ROUND(C5*C22*C23*C24*C25*C28,0)</f>
        <v>1583</v>
      </c>
      <c r="D33" s="2006">
        <f>'[3]数据-基础表'!$I$5+'[3]数据-基础表'!$G$15</f>
        <v>20146.400000000001</v>
      </c>
      <c r="E33" s="787">
        <f>ROUND(C33*D33/10000,0)</f>
        <v>3189</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25.8" thickBot="1">
      <c r="A34" s="2955"/>
      <c r="B34" s="2956" t="s">
        <v>2296</v>
      </c>
      <c r="C34" s="3009">
        <f>ROUND(IF(E2="工业",C33*M42,C33*M41),0)</f>
        <v>237</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4.6"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4.6" thickBot="1">
      <c r="A37" s="3666"/>
      <c r="B37" s="2960" t="s">
        <v>2301</v>
      </c>
      <c r="C37" s="3040">
        <f>ROUND(D5*C22*C23*C24*C28*F37,0)</f>
        <v>1190</v>
      </c>
      <c r="D37" s="2006"/>
      <c r="E37" s="175">
        <f>ROUND(C37*D37/10000,0)</f>
        <v>0</v>
      </c>
      <c r="F37" s="175">
        <f>SUMIF(修正!A57:A68,G2,修正!B57:B68)</f>
        <v>0.6</v>
      </c>
      <c r="G37" s="175">
        <f>ROUND(IF(E2="工业",C37*$M$42,C37*$M$41),0)</f>
        <v>179</v>
      </c>
      <c r="H37" s="175">
        <f>D37</f>
        <v>0</v>
      </c>
      <c r="I37" s="175">
        <f>ROUND(G37*H37/10000,0)</f>
        <v>0</v>
      </c>
      <c r="J37" s="3668"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c r="A38" s="3667"/>
      <c r="B38" s="2961" t="s">
        <v>2302</v>
      </c>
      <c r="C38" s="3040">
        <f>ROUND(D5*C22*C23*C24*C28*F38,0)</f>
        <v>595</v>
      </c>
      <c r="D38" s="2006"/>
      <c r="E38" s="175">
        <f t="shared" ref="E38:E42" si="4">ROUND(C38*D38/10000,0)</f>
        <v>0</v>
      </c>
      <c r="F38" s="175">
        <f>SUMIF(修正!A57:A68,G2,修正!C57:C68)</f>
        <v>0.3</v>
      </c>
      <c r="G38" s="175">
        <f>ROUND(IF(E2="工业",C38*$M$42,C38*$M$41),0)</f>
        <v>89</v>
      </c>
      <c r="H38" s="175">
        <f t="shared" ref="H38:H42" si="5">D38</f>
        <v>0</v>
      </c>
      <c r="I38" s="175">
        <f t="shared" ref="I38:I42" si="6">ROUND(G38*H38/10000,0)</f>
        <v>0</v>
      </c>
      <c r="J38" s="3667"/>
      <c r="K38" s="2836">
        <v>5.0000000000000001E-3</v>
      </c>
      <c r="L38" s="1126"/>
      <c r="M38" s="1126"/>
      <c r="N38" s="1126"/>
      <c r="O38" s="1129"/>
      <c r="P38" s="1129"/>
      <c r="Q38" s="1130"/>
      <c r="R38" s="1126"/>
      <c r="S38" s="1126"/>
      <c r="T38" s="1126"/>
      <c r="U38" s="1126"/>
      <c r="V38" s="1126"/>
      <c r="W38" s="1126"/>
      <c r="X38" s="1126"/>
      <c r="Y38" s="1126"/>
      <c r="Z38" s="1127"/>
    </row>
    <row r="39" spans="1:37" ht="13.8" thickBot="1">
      <c r="A39" s="3667"/>
      <c r="B39" s="2961" t="s">
        <v>2970</v>
      </c>
      <c r="C39" s="3040">
        <f>ROUND(D5*C22*C23*C24*C28*F39,0)</f>
        <v>496</v>
      </c>
      <c r="D39" s="2006"/>
      <c r="E39" s="175">
        <f t="shared" si="4"/>
        <v>0</v>
      </c>
      <c r="F39" s="175">
        <f>SUMIF(修正!A57:A68,G2,修正!D57:D68)</f>
        <v>0.25</v>
      </c>
      <c r="G39" s="175">
        <f>ROUND(IF(E2="工业",C39*$M$42,C39*$M$41),0)</f>
        <v>74</v>
      </c>
      <c r="H39" s="175">
        <f t="shared" si="5"/>
        <v>0</v>
      </c>
      <c r="I39" s="175">
        <f t="shared" si="6"/>
        <v>0</v>
      </c>
      <c r="J39" s="3667"/>
      <c r="L39" s="1126"/>
      <c r="M39" s="1126"/>
      <c r="N39" s="1126"/>
      <c r="O39" s="1126"/>
      <c r="P39" s="1126"/>
      <c r="Q39" s="1126"/>
      <c r="R39" s="1126"/>
      <c r="S39" s="1126"/>
      <c r="T39" s="1126"/>
      <c r="U39" s="1126"/>
      <c r="V39" s="1126"/>
      <c r="W39" s="1126"/>
      <c r="X39" s="1126"/>
      <c r="Y39" s="1126"/>
      <c r="Z39" s="1127"/>
    </row>
    <row r="40" spans="1:37" s="1126" customFormat="1">
      <c r="A40" s="2962"/>
      <c r="B40" s="2961" t="s">
        <v>2303</v>
      </c>
      <c r="C40" s="2848">
        <f>ROUND(C5*C22*C23*C24*C28*F40,0)</f>
        <v>496</v>
      </c>
      <c r="D40" s="2006"/>
      <c r="E40" s="175">
        <f t="shared" si="4"/>
        <v>0</v>
      </c>
      <c r="F40" s="3040">
        <f>SUMIF(修正!A57:A68,G2,修正!E57:E68)</f>
        <v>0.25</v>
      </c>
      <c r="G40" s="175">
        <f>ROUND(IF(E2="工业",C40*$M$42,C40*$M$41),0)</f>
        <v>74</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c r="A41" s="2962"/>
      <c r="B41" s="2961" t="s">
        <v>2305</v>
      </c>
      <c r="C41" s="2848">
        <f>ROUND(C5*C22*C23*C44*C28*F41,0)</f>
        <v>496</v>
      </c>
      <c r="D41" s="2006"/>
      <c r="E41" s="175">
        <f t="shared" si="4"/>
        <v>0</v>
      </c>
      <c r="F41" s="3040">
        <f>SUMIF(修正!A57:A68,G2,修正!F57:F68)</f>
        <v>0.25</v>
      </c>
      <c r="G41" s="175">
        <f>ROUND(IF(E2="工业",C41*$M$42,C41*$M$41),0)</f>
        <v>74</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8" thickBot="1">
      <c r="A42" s="2955"/>
      <c r="B42" s="2963" t="s">
        <v>2306</v>
      </c>
      <c r="C42" s="2851">
        <f>ROUND(C5*C22*C23*C44*C28*F42,0)</f>
        <v>298</v>
      </c>
      <c r="D42" s="2007">
        <f>'[4]数据-基础表'!$K$13</f>
        <v>3790.82</v>
      </c>
      <c r="E42" s="3009">
        <f t="shared" si="4"/>
        <v>113</v>
      </c>
      <c r="F42" s="3052">
        <f>SUMIF(修正!A57:A68,G2,修正!G57:G68)</f>
        <v>0.15</v>
      </c>
      <c r="G42" s="3009">
        <f>ROUND(IF(E2="工业",C42*$M$42,C42*$M$41),0)</f>
        <v>45</v>
      </c>
      <c r="H42" s="3009">
        <f t="shared" si="5"/>
        <v>3790.82</v>
      </c>
      <c r="I42" s="3009">
        <f t="shared" si="6"/>
        <v>17</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2" t="s">
        <v>2405</v>
      </c>
      <c r="C44" s="344">
        <f>ROUND(POWER(1+E44,H44-G44)*(POWER(1+E44,G44)-1)/(POWER(1+E44,H44)-1),4)</f>
        <v>0.82479999999999998</v>
      </c>
      <c r="D44" s="175" t="s">
        <v>2264</v>
      </c>
      <c r="E44" s="3054">
        <f>G24</f>
        <v>0.05</v>
      </c>
      <c r="F44" s="175" t="s">
        <v>2273</v>
      </c>
      <c r="G44" s="186">
        <f>项目基本情况!I15</f>
        <v>28.65</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4.4">
      <c r="A49" s="3087" t="s">
        <v>2308</v>
      </c>
      <c r="B49" s="3088">
        <f>1+E51</f>
        <v>1</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5.2">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9.6">
      <c r="A51" s="3092" t="s">
        <v>2317</v>
      </c>
      <c r="B51" s="3095" t="str">
        <f>估价对象房地状况!C4</f>
        <v>估价对象位于XX商圈，周边商业氛围成熟，人流量大，商业繁华度好</v>
      </c>
      <c r="C51" s="2001"/>
      <c r="D51" s="3101">
        <f t="shared" ref="D51:D59" si="7">SUMIF($J$50:$N$50,C51,J51:N51)</f>
        <v>0</v>
      </c>
      <c r="E51" s="3102">
        <f>ROUND(SUM(D51:D59),4)</f>
        <v>0</v>
      </c>
      <c r="F51" s="1808" t="str">
        <f>IF(E2="商业",SUMIF(L1:L12,G2,N1:N12),"——")</f>
        <v>——</v>
      </c>
      <c r="G51" s="1073"/>
      <c r="H51" s="3156" t="str">
        <f t="shared" ref="H51:H59" si="8">IFERROR(ROUNDDOWN($F$51*I51/2,4),"——")</f>
        <v>——</v>
      </c>
      <c r="I51" s="3107">
        <v>0.3</v>
      </c>
      <c r="J51" s="3108">
        <f t="shared" ref="J51:J59" si="9">K51+$G51</f>
        <v>0</v>
      </c>
      <c r="K51" s="3108">
        <f t="shared" ref="K51:K59" si="10">$L51+$G51</f>
        <v>0</v>
      </c>
      <c r="L51" s="3108">
        <v>0</v>
      </c>
      <c r="M51" s="3108">
        <f t="shared" ref="M51:N59" si="11">L51-$G51</f>
        <v>0</v>
      </c>
      <c r="N51" s="3108">
        <f t="shared" si="11"/>
        <v>0</v>
      </c>
      <c r="AA51" s="1127"/>
      <c r="AB51" s="1127"/>
      <c r="AC51" s="1127"/>
      <c r="AD51" s="1127"/>
      <c r="AE51" s="1127"/>
      <c r="AF51" s="1127"/>
      <c r="AG51" s="1127"/>
      <c r="AH51" s="1127"/>
      <c r="AI51" s="1127"/>
      <c r="AJ51" s="1127"/>
      <c r="AK51" s="1127"/>
    </row>
    <row r="52" spans="1:37" s="1126" customFormat="1" ht="52.8">
      <c r="A52" s="3092" t="s">
        <v>2318</v>
      </c>
      <c r="B52" s="3096" t="str">
        <f>估价对象房地状况!C18</f>
        <v>估价对象周边道路状况、公共交通通达情况、停车便捷程度，综合评价交通便捷度较好</v>
      </c>
      <c r="C52" s="2001"/>
      <c r="D52" s="3101">
        <f t="shared" si="7"/>
        <v>0</v>
      </c>
      <c r="E52" s="3103"/>
      <c r="F52" s="2868"/>
      <c r="G52" s="1073"/>
      <c r="H52" s="3156" t="str">
        <f t="shared" si="8"/>
        <v>——</v>
      </c>
      <c r="I52" s="3107">
        <v>0.22</v>
      </c>
      <c r="J52" s="3108">
        <f t="shared" si="9"/>
        <v>0</v>
      </c>
      <c r="K52" s="3108">
        <f t="shared" si="10"/>
        <v>0</v>
      </c>
      <c r="L52" s="3108">
        <v>0</v>
      </c>
      <c r="M52" s="3108">
        <f t="shared" si="11"/>
        <v>0</v>
      </c>
      <c r="N52" s="3108">
        <f t="shared" si="11"/>
        <v>0</v>
      </c>
      <c r="AA52" s="1127"/>
      <c r="AB52" s="1127"/>
      <c r="AC52" s="1127"/>
      <c r="AD52" s="1127"/>
      <c r="AE52" s="1127"/>
      <c r="AF52" s="1127"/>
      <c r="AG52" s="1127"/>
      <c r="AH52" s="1127"/>
      <c r="AI52" s="1127"/>
      <c r="AJ52" s="1127"/>
      <c r="AK52" s="1127"/>
    </row>
    <row r="53" spans="1:37" s="1126" customFormat="1" ht="48">
      <c r="A53" s="3097" t="s">
        <v>2844</v>
      </c>
      <c r="B53" s="3096">
        <f>估价对象房地状况!C19</f>
        <v>0</v>
      </c>
      <c r="C53" s="2001"/>
      <c r="D53" s="3101">
        <f t="shared" si="7"/>
        <v>0</v>
      </c>
      <c r="E53" s="3103"/>
      <c r="F53" s="2868"/>
      <c r="G53" s="1073"/>
      <c r="H53" s="3156" t="str">
        <f t="shared" si="8"/>
        <v>——</v>
      </c>
      <c r="I53" s="3107">
        <v>0.12</v>
      </c>
      <c r="J53" s="3108">
        <f t="shared" si="9"/>
        <v>0</v>
      </c>
      <c r="K53" s="3108">
        <f t="shared" si="10"/>
        <v>0</v>
      </c>
      <c r="L53" s="3108">
        <v>0</v>
      </c>
      <c r="M53" s="3108">
        <f t="shared" si="11"/>
        <v>0</v>
      </c>
      <c r="N53" s="3108">
        <f t="shared" si="11"/>
        <v>0</v>
      </c>
      <c r="AA53" s="1127"/>
      <c r="AB53" s="1127"/>
      <c r="AC53" s="1127"/>
      <c r="AD53" s="1127"/>
      <c r="AE53" s="1127"/>
      <c r="AF53" s="1127"/>
      <c r="AG53" s="1127"/>
      <c r="AH53" s="1127"/>
      <c r="AI53" s="1127"/>
      <c r="AJ53" s="1127"/>
      <c r="AK53" s="1127"/>
    </row>
    <row r="54" spans="1:37" s="1126" customFormat="1" ht="37.200000000000003">
      <c r="A54" s="3092" t="s">
        <v>2319</v>
      </c>
      <c r="B54" s="2010" t="s">
        <v>2320</v>
      </c>
      <c r="C54" s="2001"/>
      <c r="D54" s="3101">
        <f t="shared" si="7"/>
        <v>0</v>
      </c>
      <c r="E54" s="3103"/>
      <c r="F54" s="2868"/>
      <c r="G54" s="1073"/>
      <c r="H54" s="3156" t="str">
        <f t="shared" si="8"/>
        <v>——</v>
      </c>
      <c r="I54" s="3107">
        <v>0.05</v>
      </c>
      <c r="J54" s="3108">
        <f t="shared" si="9"/>
        <v>0</v>
      </c>
      <c r="K54" s="3108">
        <f t="shared" si="10"/>
        <v>0</v>
      </c>
      <c r="L54" s="3108">
        <v>0</v>
      </c>
      <c r="M54" s="3108">
        <f t="shared" si="11"/>
        <v>0</v>
      </c>
      <c r="N54" s="3108">
        <f t="shared" si="11"/>
        <v>0</v>
      </c>
      <c r="AA54" s="1127"/>
      <c r="AB54" s="1127"/>
      <c r="AC54" s="1127"/>
      <c r="AD54" s="1127"/>
      <c r="AE54" s="1127"/>
      <c r="AF54" s="1127"/>
      <c r="AG54" s="1127"/>
      <c r="AH54" s="1127"/>
      <c r="AI54" s="1127"/>
      <c r="AJ54" s="1127"/>
      <c r="AK54" s="1127"/>
    </row>
    <row r="55" spans="1:37" s="1126" customFormat="1" ht="24">
      <c r="A55" s="3092" t="s">
        <v>2321</v>
      </c>
      <c r="B55" s="3096">
        <f>估价对象房地状况!C24</f>
        <v>0</v>
      </c>
      <c r="C55" s="2001"/>
      <c r="D55" s="3101">
        <f t="shared" si="7"/>
        <v>0</v>
      </c>
      <c r="E55" s="3103"/>
      <c r="F55" s="2868"/>
      <c r="G55" s="1073"/>
      <c r="H55" s="3156" t="str">
        <f t="shared" si="8"/>
        <v>——</v>
      </c>
      <c r="I55" s="3107">
        <v>0.08</v>
      </c>
      <c r="J55" s="3108">
        <f t="shared" si="9"/>
        <v>0</v>
      </c>
      <c r="K55" s="3108">
        <f t="shared" si="10"/>
        <v>0</v>
      </c>
      <c r="L55" s="3108">
        <v>0</v>
      </c>
      <c r="M55" s="3108">
        <f t="shared" si="11"/>
        <v>0</v>
      </c>
      <c r="N55" s="3108">
        <f t="shared" si="11"/>
        <v>0</v>
      </c>
      <c r="AA55" s="1127"/>
      <c r="AB55" s="1127"/>
      <c r="AC55" s="1127"/>
      <c r="AD55" s="1127"/>
      <c r="AE55" s="1127"/>
      <c r="AF55" s="1127"/>
      <c r="AG55" s="1127"/>
      <c r="AH55" s="1127"/>
      <c r="AI55" s="1127"/>
      <c r="AJ55" s="1127"/>
      <c r="AK55" s="1127"/>
    </row>
    <row r="56" spans="1:37" s="1126" customFormat="1" ht="36">
      <c r="A56" s="3092" t="s">
        <v>2322</v>
      </c>
      <c r="B56" s="2011" t="s">
        <v>2323</v>
      </c>
      <c r="C56" s="2001"/>
      <c r="D56" s="3101">
        <f t="shared" si="7"/>
        <v>0</v>
      </c>
      <c r="E56" s="3103"/>
      <c r="F56" s="2868"/>
      <c r="G56" s="1073"/>
      <c r="H56" s="3156" t="str">
        <f t="shared" si="8"/>
        <v>——</v>
      </c>
      <c r="I56" s="3107">
        <v>0.05</v>
      </c>
      <c r="J56" s="3108">
        <f t="shared" si="9"/>
        <v>0</v>
      </c>
      <c r="K56" s="3108">
        <f t="shared" si="10"/>
        <v>0</v>
      </c>
      <c r="L56" s="3108">
        <v>0</v>
      </c>
      <c r="M56" s="3108">
        <f t="shared" si="11"/>
        <v>0</v>
      </c>
      <c r="N56" s="3108">
        <f t="shared" si="11"/>
        <v>0</v>
      </c>
      <c r="AA56" s="1127"/>
      <c r="AB56" s="1127"/>
      <c r="AC56" s="1127"/>
      <c r="AD56" s="1127"/>
      <c r="AE56" s="1127"/>
      <c r="AF56" s="1127"/>
      <c r="AG56" s="1127"/>
      <c r="AH56" s="1127"/>
      <c r="AI56" s="1127"/>
      <c r="AJ56" s="1127"/>
      <c r="AK56" s="1127"/>
    </row>
    <row r="57" spans="1:37" s="1126" customFormat="1" ht="26.4">
      <c r="A57" s="3098" t="s">
        <v>2324</v>
      </c>
      <c r="B57" s="1324" t="str">
        <f>估价对象房地状况!C21</f>
        <v>估价对象所在区域公共配套设施齐备情况</v>
      </c>
      <c r="C57" s="2001"/>
      <c r="D57" s="3101">
        <f t="shared" si="7"/>
        <v>0</v>
      </c>
      <c r="E57" s="3103"/>
      <c r="F57" s="2868"/>
      <c r="G57" s="1073"/>
      <c r="H57" s="3156" t="str">
        <f t="shared" si="8"/>
        <v>——</v>
      </c>
      <c r="I57" s="3107">
        <v>0.05</v>
      </c>
      <c r="J57" s="3108">
        <f t="shared" si="9"/>
        <v>0</v>
      </c>
      <c r="K57" s="3108">
        <f t="shared" si="10"/>
        <v>0</v>
      </c>
      <c r="L57" s="3108">
        <v>0</v>
      </c>
      <c r="M57" s="3108">
        <f t="shared" si="11"/>
        <v>0</v>
      </c>
      <c r="N57" s="3108">
        <f t="shared" si="11"/>
        <v>0</v>
      </c>
      <c r="AA57" s="1127"/>
      <c r="AB57" s="1127"/>
      <c r="AC57" s="1127"/>
      <c r="AD57" s="1127"/>
      <c r="AE57" s="1127"/>
      <c r="AF57" s="1127"/>
      <c r="AG57" s="1127"/>
      <c r="AH57" s="1127"/>
      <c r="AI57" s="1127"/>
      <c r="AJ57" s="1127"/>
      <c r="AK57" s="1127"/>
    </row>
    <row r="58" spans="1:37" s="1126" customFormat="1" ht="26.4">
      <c r="A58" s="3098" t="s">
        <v>2325</v>
      </c>
      <c r="B58" s="3096" t="str">
        <f>估价对象房地状况!C22</f>
        <v>估价对象所在区域基础设施水平</v>
      </c>
      <c r="C58" s="2001"/>
      <c r="D58" s="3101">
        <f t="shared" si="7"/>
        <v>0</v>
      </c>
      <c r="E58" s="3103"/>
      <c r="F58" s="2868"/>
      <c r="G58" s="1073"/>
      <c r="H58" s="3156" t="str">
        <f t="shared" si="8"/>
        <v>——</v>
      </c>
      <c r="I58" s="3107">
        <v>0.08</v>
      </c>
      <c r="J58" s="3108">
        <f t="shared" si="9"/>
        <v>0</v>
      </c>
      <c r="K58" s="3108">
        <f t="shared" si="10"/>
        <v>0</v>
      </c>
      <c r="L58" s="3108">
        <v>0</v>
      </c>
      <c r="M58" s="3108">
        <f t="shared" si="11"/>
        <v>0</v>
      </c>
      <c r="N58" s="3108">
        <f t="shared" si="11"/>
        <v>0</v>
      </c>
      <c r="AA58" s="1127"/>
      <c r="AB58" s="1127"/>
      <c r="AC58" s="1127"/>
      <c r="AD58" s="1127"/>
      <c r="AE58" s="1127"/>
      <c r="AF58" s="1127"/>
      <c r="AG58" s="1127"/>
      <c r="AH58" s="1127"/>
      <c r="AI58" s="1127"/>
      <c r="AJ58" s="1127"/>
      <c r="AK58" s="1127"/>
    </row>
    <row r="59" spans="1:37" s="1126" customFormat="1" ht="36.6" thickBot="1">
      <c r="A59" s="3099" t="s">
        <v>2326</v>
      </c>
      <c r="B59" s="3100" t="str">
        <f>估价对象房地状况!C20</f>
        <v>区域自然环境：；人文环境；综合评价环境状况一般</v>
      </c>
      <c r="C59" s="2001"/>
      <c r="D59" s="3101">
        <f t="shared" si="7"/>
        <v>0</v>
      </c>
      <c r="E59" s="3104"/>
      <c r="F59" s="2868"/>
      <c r="G59" s="1073"/>
      <c r="H59" s="3156" t="str">
        <f t="shared" si="8"/>
        <v>——</v>
      </c>
      <c r="I59" s="3109">
        <v>0.05</v>
      </c>
      <c r="J59" s="3108">
        <f t="shared" si="9"/>
        <v>0</v>
      </c>
      <c r="K59" s="3108">
        <f t="shared" si="10"/>
        <v>0</v>
      </c>
      <c r="L59" s="3108">
        <v>0</v>
      </c>
      <c r="M59" s="3108">
        <f t="shared" si="11"/>
        <v>0</v>
      </c>
      <c r="N59" s="3108">
        <f t="shared" si="11"/>
        <v>0</v>
      </c>
      <c r="AA59" s="1127"/>
      <c r="AB59" s="1127"/>
      <c r="AC59" s="1127"/>
      <c r="AD59" s="1127"/>
      <c r="AE59" s="1127"/>
      <c r="AF59" s="1127"/>
      <c r="AG59" s="1127"/>
      <c r="AH59" s="1127"/>
      <c r="AI59" s="1127"/>
      <c r="AJ59" s="1127"/>
      <c r="AK59" s="1127"/>
    </row>
    <row r="60" spans="1:37" s="1126" customFormat="1" ht="14.4">
      <c r="A60" s="3087" t="s">
        <v>2327</v>
      </c>
      <c r="B60" s="3088">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5.2">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9.6">
      <c r="A62" s="3092" t="s">
        <v>2329</v>
      </c>
      <c r="B62" s="3095" t="str">
        <f>估价对象房地状况!C17</f>
        <v>估价对象位于XX商圈，周边办公楼项目较多，入驻率高，办公集聚程度较好</v>
      </c>
      <c r="C62" s="2001"/>
      <c r="D62" s="3101">
        <f>SUMIF($J$61:$N$61,C62,J62:N62)</f>
        <v>0</v>
      </c>
      <c r="E62" s="3102">
        <f>ROUND(SUM(D62:D70),4)</f>
        <v>0</v>
      </c>
      <c r="F62" s="1808" t="str">
        <f>IF(E2="办公",SUMIF(L1:L12,G2,N1:N12),"——")</f>
        <v>——</v>
      </c>
      <c r="G62" s="1073"/>
      <c r="H62" s="3156" t="str">
        <f t="shared" ref="H62:H70" si="12">IFERROR(ROUNDDOWN($F$62*I62/2,4),"——")</f>
        <v>——</v>
      </c>
      <c r="I62" s="3107">
        <v>0.25</v>
      </c>
      <c r="J62" s="3108">
        <f t="shared" ref="J62:J70" si="13">K62+$G62</f>
        <v>0</v>
      </c>
      <c r="K62" s="3108">
        <f t="shared" ref="K62:K70" si="14">$L62+$G62</f>
        <v>0</v>
      </c>
      <c r="L62" s="3108">
        <v>0</v>
      </c>
      <c r="M62" s="3108">
        <f t="shared" ref="M62:N70" si="15">L62-$G62</f>
        <v>0</v>
      </c>
      <c r="N62" s="3108">
        <f t="shared" si="15"/>
        <v>0</v>
      </c>
      <c r="AA62" s="1127"/>
      <c r="AB62" s="1127"/>
      <c r="AC62" s="1127"/>
      <c r="AD62" s="1127"/>
      <c r="AE62" s="1127"/>
      <c r="AF62" s="1127"/>
      <c r="AG62" s="1127"/>
      <c r="AH62" s="1127"/>
      <c r="AI62" s="1127"/>
      <c r="AJ62" s="1127"/>
      <c r="AK62" s="1127"/>
    </row>
    <row r="63" spans="1:37" s="1126" customFormat="1" ht="52.8">
      <c r="A63" s="3092" t="s">
        <v>2318</v>
      </c>
      <c r="B63" s="3096" t="str">
        <f>估价对象房地状况!C18</f>
        <v>估价对象周边道路状况、公共交通通达情况、停车便捷程度，综合评价交通便捷度较好</v>
      </c>
      <c r="C63" s="2001"/>
      <c r="D63" s="3101">
        <f t="shared" ref="D63:D70" si="16">SUMIF($J$61:$N$61,C63,J63:N63)</f>
        <v>0</v>
      </c>
      <c r="E63" s="3103"/>
      <c r="F63" s="2868"/>
      <c r="G63" s="1073"/>
      <c r="H63" s="3156" t="str">
        <f t="shared" si="12"/>
        <v>——</v>
      </c>
      <c r="I63" s="3107">
        <v>0.26</v>
      </c>
      <c r="J63" s="3108">
        <f t="shared" si="13"/>
        <v>0</v>
      </c>
      <c r="K63" s="3108">
        <f t="shared" si="14"/>
        <v>0</v>
      </c>
      <c r="L63" s="3108">
        <v>0</v>
      </c>
      <c r="M63" s="3108">
        <f t="shared" si="15"/>
        <v>0</v>
      </c>
      <c r="N63" s="3108">
        <f t="shared" si="15"/>
        <v>0</v>
      </c>
      <c r="AA63" s="1127"/>
      <c r="AB63" s="1127"/>
      <c r="AC63" s="1127"/>
      <c r="AD63" s="1127"/>
      <c r="AE63" s="1127"/>
      <c r="AF63" s="1127"/>
      <c r="AG63" s="1127"/>
      <c r="AH63" s="1127"/>
      <c r="AI63" s="1127"/>
      <c r="AJ63" s="1127"/>
      <c r="AK63" s="1127"/>
    </row>
    <row r="64" spans="1:37" s="1126" customFormat="1" ht="48">
      <c r="A64" s="3097" t="s">
        <v>2845</v>
      </c>
      <c r="B64" s="3096">
        <f>估价对象房地状况!C19</f>
        <v>0</v>
      </c>
      <c r="C64" s="2001"/>
      <c r="D64" s="3101">
        <f t="shared" si="16"/>
        <v>0</v>
      </c>
      <c r="E64" s="3103"/>
      <c r="F64" s="2868"/>
      <c r="G64" s="1073"/>
      <c r="H64" s="3156" t="str">
        <f t="shared" si="12"/>
        <v>——</v>
      </c>
      <c r="I64" s="3107">
        <v>0.11</v>
      </c>
      <c r="J64" s="3108">
        <f t="shared" si="13"/>
        <v>0</v>
      </c>
      <c r="K64" s="3108">
        <f t="shared" si="14"/>
        <v>0</v>
      </c>
      <c r="L64" s="3108">
        <v>0</v>
      </c>
      <c r="M64" s="3108">
        <f t="shared" si="15"/>
        <v>0</v>
      </c>
      <c r="N64" s="3108">
        <f t="shared" si="15"/>
        <v>0</v>
      </c>
      <c r="AA64" s="1127"/>
      <c r="AB64" s="1127"/>
      <c r="AC64" s="1127"/>
      <c r="AD64" s="1127"/>
      <c r="AE64" s="1127"/>
      <c r="AF64" s="1127"/>
      <c r="AG64" s="1127"/>
      <c r="AH64" s="1127"/>
      <c r="AI64" s="1127"/>
      <c r="AJ64" s="1127"/>
      <c r="AK64" s="1127"/>
    </row>
    <row r="65" spans="1:37" s="1126" customFormat="1" ht="37.200000000000003">
      <c r="A65" s="3092" t="s">
        <v>2319</v>
      </c>
      <c r="B65" s="2010" t="s">
        <v>2320</v>
      </c>
      <c r="C65" s="2001"/>
      <c r="D65" s="3101">
        <f t="shared" si="16"/>
        <v>0</v>
      </c>
      <c r="E65" s="3103"/>
      <c r="F65" s="2868"/>
      <c r="G65" s="1073"/>
      <c r="H65" s="3156" t="str">
        <f t="shared" si="12"/>
        <v>——</v>
      </c>
      <c r="I65" s="3107">
        <v>0.05</v>
      </c>
      <c r="J65" s="3108">
        <f t="shared" si="13"/>
        <v>0</v>
      </c>
      <c r="K65" s="3108">
        <f t="shared" si="14"/>
        <v>0</v>
      </c>
      <c r="L65" s="3108">
        <v>0</v>
      </c>
      <c r="M65" s="3108">
        <f t="shared" si="15"/>
        <v>0</v>
      </c>
      <c r="N65" s="3108">
        <f t="shared" si="15"/>
        <v>0</v>
      </c>
      <c r="AA65" s="1127"/>
      <c r="AB65" s="1127"/>
      <c r="AC65" s="1127"/>
      <c r="AD65" s="1127"/>
      <c r="AE65" s="1127"/>
      <c r="AF65" s="1127"/>
      <c r="AG65" s="1127"/>
      <c r="AH65" s="1127"/>
      <c r="AI65" s="1127"/>
      <c r="AJ65" s="1127"/>
      <c r="AK65" s="1127"/>
    </row>
    <row r="66" spans="1:37" s="1126" customFormat="1" ht="24">
      <c r="A66" s="3092" t="s">
        <v>2321</v>
      </c>
      <c r="B66" s="3096">
        <f>估价对象房地状况!C24</f>
        <v>0</v>
      </c>
      <c r="C66" s="2001"/>
      <c r="D66" s="3101">
        <f t="shared" si="16"/>
        <v>0</v>
      </c>
      <c r="E66" s="3103"/>
      <c r="F66" s="2868"/>
      <c r="G66" s="1073"/>
      <c r="H66" s="3156" t="str">
        <f t="shared" si="12"/>
        <v>——</v>
      </c>
      <c r="I66" s="3107">
        <v>0.05</v>
      </c>
      <c r="J66" s="3108">
        <f t="shared" si="13"/>
        <v>0</v>
      </c>
      <c r="K66" s="3108">
        <f t="shared" si="14"/>
        <v>0</v>
      </c>
      <c r="L66" s="3108">
        <v>0</v>
      </c>
      <c r="M66" s="3108">
        <f t="shared" si="15"/>
        <v>0</v>
      </c>
      <c r="N66" s="3108">
        <f t="shared" si="15"/>
        <v>0</v>
      </c>
      <c r="AA66" s="1127"/>
      <c r="AB66" s="1127"/>
      <c r="AC66" s="1127"/>
      <c r="AD66" s="1127"/>
      <c r="AE66" s="1127"/>
      <c r="AF66" s="1127"/>
      <c r="AG66" s="1127"/>
      <c r="AH66" s="1127"/>
      <c r="AI66" s="1127"/>
      <c r="AJ66" s="1127"/>
      <c r="AK66" s="1127"/>
    </row>
    <row r="67" spans="1:37" s="1126" customFormat="1" ht="36">
      <c r="A67" s="3092" t="s">
        <v>2322</v>
      </c>
      <c r="B67" s="2011" t="s">
        <v>2323</v>
      </c>
      <c r="C67" s="2001"/>
      <c r="D67" s="3101">
        <f t="shared" si="16"/>
        <v>0</v>
      </c>
      <c r="E67" s="3103"/>
      <c r="F67" s="2868"/>
      <c r="G67" s="1073"/>
      <c r="H67" s="3156" t="str">
        <f t="shared" si="12"/>
        <v>——</v>
      </c>
      <c r="I67" s="3107">
        <v>0.06</v>
      </c>
      <c r="J67" s="3108">
        <f t="shared" si="13"/>
        <v>0</v>
      </c>
      <c r="K67" s="3108">
        <f t="shared" si="14"/>
        <v>0</v>
      </c>
      <c r="L67" s="3108">
        <v>0</v>
      </c>
      <c r="M67" s="3108">
        <f t="shared" si="15"/>
        <v>0</v>
      </c>
      <c r="N67" s="3108">
        <f t="shared" si="15"/>
        <v>0</v>
      </c>
      <c r="AA67" s="1127"/>
      <c r="AB67" s="1127"/>
      <c r="AC67" s="1127"/>
      <c r="AD67" s="1127"/>
      <c r="AE67" s="1127"/>
      <c r="AF67" s="1127"/>
      <c r="AG67" s="1127"/>
      <c r="AH67" s="1127"/>
      <c r="AI67" s="1127"/>
      <c r="AJ67" s="1127"/>
      <c r="AK67" s="1127"/>
    </row>
    <row r="68" spans="1:37" s="1126" customFormat="1" ht="26.4">
      <c r="A68" s="3092" t="s">
        <v>2324</v>
      </c>
      <c r="B68" s="1324" t="str">
        <f>估价对象房地状况!C21</f>
        <v>估价对象所在区域公共配套设施齐备情况</v>
      </c>
      <c r="C68" s="2001"/>
      <c r="D68" s="3101">
        <f t="shared" si="16"/>
        <v>0</v>
      </c>
      <c r="E68" s="3103"/>
      <c r="F68" s="2868"/>
      <c r="G68" s="1073"/>
      <c r="H68" s="3156" t="str">
        <f t="shared" si="12"/>
        <v>——</v>
      </c>
      <c r="I68" s="3107">
        <v>0.06</v>
      </c>
      <c r="J68" s="3108">
        <f t="shared" si="13"/>
        <v>0</v>
      </c>
      <c r="K68" s="3108">
        <f t="shared" si="14"/>
        <v>0</v>
      </c>
      <c r="L68" s="3108">
        <v>0</v>
      </c>
      <c r="M68" s="3108">
        <f t="shared" si="15"/>
        <v>0</v>
      </c>
      <c r="N68" s="3108">
        <f t="shared" si="15"/>
        <v>0</v>
      </c>
      <c r="AA68" s="1127"/>
      <c r="AB68" s="1127"/>
      <c r="AC68" s="1127"/>
      <c r="AD68" s="1127"/>
      <c r="AE68" s="1127"/>
      <c r="AF68" s="1127"/>
      <c r="AG68" s="1127"/>
      <c r="AH68" s="1127"/>
      <c r="AI68" s="1127"/>
      <c r="AJ68" s="1127"/>
      <c r="AK68" s="1127"/>
    </row>
    <row r="69" spans="1:37" s="1126" customFormat="1" ht="26.4">
      <c r="A69" s="3092" t="s">
        <v>2325</v>
      </c>
      <c r="B69" s="1324" t="str">
        <f>估价对象房地状况!C22</f>
        <v>估价对象所在区域基础设施水平</v>
      </c>
      <c r="C69" s="2001"/>
      <c r="D69" s="3101">
        <f t="shared" si="16"/>
        <v>0</v>
      </c>
      <c r="E69" s="3103"/>
      <c r="F69" s="2868"/>
      <c r="G69" s="1073"/>
      <c r="H69" s="3156" t="str">
        <f t="shared" si="12"/>
        <v>——</v>
      </c>
      <c r="I69" s="3107">
        <v>0.09</v>
      </c>
      <c r="J69" s="3108">
        <f t="shared" si="13"/>
        <v>0</v>
      </c>
      <c r="K69" s="3108">
        <f t="shared" si="14"/>
        <v>0</v>
      </c>
      <c r="L69" s="3108">
        <v>0</v>
      </c>
      <c r="M69" s="3108">
        <f t="shared" si="15"/>
        <v>0</v>
      </c>
      <c r="N69" s="3108">
        <f t="shared" si="15"/>
        <v>0</v>
      </c>
      <c r="AA69" s="1127"/>
      <c r="AB69" s="1127"/>
      <c r="AC69" s="1127"/>
      <c r="AD69" s="1127"/>
      <c r="AE69" s="1127"/>
      <c r="AF69" s="1127"/>
      <c r="AG69" s="1127"/>
      <c r="AH69" s="1127"/>
      <c r="AI69" s="1127"/>
      <c r="AJ69" s="1127"/>
      <c r="AK69" s="1127"/>
    </row>
    <row r="70" spans="1:37" s="1126" customFormat="1" ht="36.6" thickBot="1">
      <c r="A70" s="3099" t="s">
        <v>2326</v>
      </c>
      <c r="B70" s="3110" t="str">
        <f>估价对象房地状况!C20</f>
        <v>区域自然环境：；人文环境；综合评价环境状况一般</v>
      </c>
      <c r="C70" s="2001"/>
      <c r="D70" s="3101">
        <f t="shared" si="16"/>
        <v>0</v>
      </c>
      <c r="E70" s="3104"/>
      <c r="F70" s="2868"/>
      <c r="G70" s="1073"/>
      <c r="H70" s="3156" t="str">
        <f t="shared" si="12"/>
        <v>——</v>
      </c>
      <c r="I70" s="3109">
        <v>7.0000000000000007E-2</v>
      </c>
      <c r="J70" s="3108">
        <f t="shared" si="13"/>
        <v>0</v>
      </c>
      <c r="K70" s="3108">
        <f t="shared" si="14"/>
        <v>0</v>
      </c>
      <c r="L70" s="3108">
        <v>0</v>
      </c>
      <c r="M70" s="3108">
        <f t="shared" si="15"/>
        <v>0</v>
      </c>
      <c r="N70" s="3108">
        <f t="shared" si="15"/>
        <v>0</v>
      </c>
      <c r="AA70" s="1127"/>
      <c r="AB70" s="1127"/>
      <c r="AC70" s="1127"/>
      <c r="AD70" s="1127"/>
      <c r="AE70" s="1127"/>
      <c r="AF70" s="1127"/>
      <c r="AG70" s="1127"/>
      <c r="AH70" s="1127"/>
      <c r="AI70" s="1127"/>
      <c r="AJ70" s="1127"/>
      <c r="AK70" s="1127"/>
    </row>
    <row r="71" spans="1:37" s="1126" customFormat="1" ht="14.4">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5.2">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2.8">
      <c r="A73" s="3097" t="s">
        <v>2846</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c r="H73" s="3156" t="str">
        <f t="shared" ref="H73:H81" si="18">IFERROR(ROUNDDOWN($F$73*I73/2,4),"——")</f>
        <v>——</v>
      </c>
      <c r="I73" s="3107">
        <v>0.2</v>
      </c>
      <c r="J73" s="3108">
        <f t="shared" ref="J73:J81" si="19">K73+$G73</f>
        <v>0</v>
      </c>
      <c r="K73" s="3108">
        <f t="shared" ref="K73:K81" si="20">$L73+$G73</f>
        <v>0</v>
      </c>
      <c r="L73" s="3108">
        <v>0</v>
      </c>
      <c r="M73" s="3108">
        <f t="shared" ref="M73:N81" si="21">L73-$G73</f>
        <v>0</v>
      </c>
      <c r="N73" s="3108">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52.8">
      <c r="A74" s="3092" t="s">
        <v>2318</v>
      </c>
      <c r="B74" s="3096" t="str">
        <f>估价对象房地状况!C18</f>
        <v>估价对象周边道路状况、公共交通通达情况、停车便捷程度，综合评价交通便捷度较好</v>
      </c>
      <c r="C74" s="2001"/>
      <c r="D74" s="3101">
        <f t="shared" si="17"/>
        <v>0</v>
      </c>
      <c r="E74" s="3112"/>
      <c r="F74" s="1808"/>
      <c r="G74" s="1073"/>
      <c r="H74" s="3156" t="str">
        <f t="shared" si="18"/>
        <v>——</v>
      </c>
      <c r="I74" s="3107">
        <v>0.26</v>
      </c>
      <c r="J74" s="3108">
        <f t="shared" si="19"/>
        <v>0</v>
      </c>
      <c r="K74" s="3108">
        <f t="shared" si="20"/>
        <v>0</v>
      </c>
      <c r="L74" s="3108">
        <v>0</v>
      </c>
      <c r="M74" s="3108">
        <f t="shared" si="21"/>
        <v>0</v>
      </c>
      <c r="N74" s="3108">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48">
      <c r="A75" s="3097" t="s">
        <v>2845</v>
      </c>
      <c r="B75" s="3096">
        <f>估价对象房地状况!C19</f>
        <v>0</v>
      </c>
      <c r="C75" s="2001"/>
      <c r="D75" s="3101">
        <f t="shared" si="17"/>
        <v>0</v>
      </c>
      <c r="E75" s="3112"/>
      <c r="F75" s="1808"/>
      <c r="G75" s="1073"/>
      <c r="H75" s="3156" t="str">
        <f t="shared" si="18"/>
        <v>——</v>
      </c>
      <c r="I75" s="3107">
        <v>0.1</v>
      </c>
      <c r="J75" s="3108">
        <f t="shared" si="19"/>
        <v>0</v>
      </c>
      <c r="K75" s="3108">
        <f t="shared" si="20"/>
        <v>0</v>
      </c>
      <c r="L75" s="3108">
        <v>0</v>
      </c>
      <c r="M75" s="3108">
        <f t="shared" si="21"/>
        <v>0</v>
      </c>
      <c r="N75" s="3108">
        <f t="shared" si="21"/>
        <v>0</v>
      </c>
      <c r="O75" s="1126"/>
      <c r="P75" s="1126"/>
      <c r="Q75" s="1126"/>
      <c r="Z75" s="1989"/>
      <c r="AA75" s="2012"/>
      <c r="AG75" s="1127"/>
      <c r="AK75" s="2012"/>
    </row>
    <row r="76" spans="1:37" ht="13.8">
      <c r="A76" s="3092" t="s">
        <v>2331</v>
      </c>
      <c r="B76" s="3096">
        <f>估价对象房地状况!C24</f>
        <v>0</v>
      </c>
      <c r="C76" s="2001"/>
      <c r="D76" s="3101">
        <f t="shared" si="17"/>
        <v>0</v>
      </c>
      <c r="E76" s="3112"/>
      <c r="F76" s="1808"/>
      <c r="G76" s="1073"/>
      <c r="H76" s="3156" t="str">
        <f t="shared" si="18"/>
        <v>——</v>
      </c>
      <c r="I76" s="3107">
        <v>0.05</v>
      </c>
      <c r="J76" s="3108">
        <f t="shared" si="19"/>
        <v>0</v>
      </c>
      <c r="K76" s="3108">
        <f t="shared" si="20"/>
        <v>0</v>
      </c>
      <c r="L76" s="3108">
        <v>0</v>
      </c>
      <c r="M76" s="3108">
        <f t="shared" si="21"/>
        <v>0</v>
      </c>
      <c r="N76" s="3108">
        <f t="shared" si="21"/>
        <v>0</v>
      </c>
      <c r="O76" s="1126"/>
      <c r="P76" s="1126"/>
      <c r="Q76" s="1126"/>
      <c r="Z76" s="1989"/>
      <c r="AA76" s="2012"/>
      <c r="AG76" s="1127"/>
      <c r="AK76" s="2012"/>
    </row>
    <row r="77" spans="1:37" ht="26.4">
      <c r="A77" s="3092" t="s">
        <v>2324</v>
      </c>
      <c r="B77" s="1324" t="str">
        <f>估价对象房地状况!C21</f>
        <v>估价对象所在区域公共配套设施齐备情况</v>
      </c>
      <c r="C77" s="2001"/>
      <c r="D77" s="3101">
        <f t="shared" si="17"/>
        <v>0</v>
      </c>
      <c r="E77" s="3112"/>
      <c r="F77" s="1808"/>
      <c r="G77" s="1073"/>
      <c r="H77" s="3156" t="str">
        <f t="shared" si="18"/>
        <v>——</v>
      </c>
      <c r="I77" s="3107">
        <v>0.08</v>
      </c>
      <c r="J77" s="3108">
        <f t="shared" si="19"/>
        <v>0</v>
      </c>
      <c r="K77" s="3108">
        <f t="shared" si="20"/>
        <v>0</v>
      </c>
      <c r="L77" s="3108">
        <v>0</v>
      </c>
      <c r="M77" s="3108">
        <f t="shared" si="21"/>
        <v>0</v>
      </c>
      <c r="N77" s="3108">
        <f t="shared" si="21"/>
        <v>0</v>
      </c>
      <c r="O77" s="1126"/>
      <c r="P77" s="1126"/>
      <c r="Q77" s="1126"/>
      <c r="Z77" s="1989"/>
      <c r="AA77" s="2012"/>
      <c r="AG77" s="1127"/>
      <c r="AK77" s="2012"/>
    </row>
    <row r="78" spans="1:37" ht="26.4">
      <c r="A78" s="3092" t="s">
        <v>2325</v>
      </c>
      <c r="B78" s="1324" t="str">
        <f>估价对象房地状况!C22</f>
        <v>估价对象所在区域基础设施水平</v>
      </c>
      <c r="C78" s="2001"/>
      <c r="D78" s="3101">
        <f t="shared" si="17"/>
        <v>0</v>
      </c>
      <c r="E78" s="3112"/>
      <c r="F78" s="1808"/>
      <c r="G78" s="1073"/>
      <c r="H78" s="3156" t="str">
        <f t="shared" si="18"/>
        <v>——</v>
      </c>
      <c r="I78" s="3107">
        <v>0.09</v>
      </c>
      <c r="J78" s="3108">
        <f t="shared" si="19"/>
        <v>0</v>
      </c>
      <c r="K78" s="3108">
        <f t="shared" si="20"/>
        <v>0</v>
      </c>
      <c r="L78" s="3108">
        <v>0</v>
      </c>
      <c r="M78" s="3108">
        <f t="shared" si="21"/>
        <v>0</v>
      </c>
      <c r="N78" s="3108">
        <f t="shared" si="21"/>
        <v>0</v>
      </c>
      <c r="O78" s="1126"/>
      <c r="P78" s="1126"/>
      <c r="Q78" s="1126"/>
      <c r="Z78" s="1989"/>
      <c r="AA78" s="2012"/>
      <c r="AG78" s="1127"/>
      <c r="AK78" s="2012"/>
    </row>
    <row r="79" spans="1:37" ht="36">
      <c r="A79" s="3092" t="s">
        <v>2322</v>
      </c>
      <c r="B79" s="2011" t="s">
        <v>2323</v>
      </c>
      <c r="C79" s="2001"/>
      <c r="D79" s="3101">
        <f t="shared" si="17"/>
        <v>0</v>
      </c>
      <c r="E79" s="3112"/>
      <c r="F79" s="1808"/>
      <c r="G79" s="1073"/>
      <c r="H79" s="3156" t="str">
        <f t="shared" si="18"/>
        <v>——</v>
      </c>
      <c r="I79" s="3107">
        <v>0.05</v>
      </c>
      <c r="J79" s="3108">
        <f t="shared" si="19"/>
        <v>0</v>
      </c>
      <c r="K79" s="3108">
        <f t="shared" si="20"/>
        <v>0</v>
      </c>
      <c r="L79" s="3108">
        <v>0</v>
      </c>
      <c r="M79" s="3108">
        <f t="shared" si="21"/>
        <v>0</v>
      </c>
      <c r="N79" s="3108">
        <f t="shared" si="21"/>
        <v>0</v>
      </c>
      <c r="Z79" s="1989"/>
      <c r="AA79" s="2012"/>
      <c r="AG79" s="1127"/>
      <c r="AK79" s="2012"/>
    </row>
    <row r="80" spans="1:37" ht="36">
      <c r="A80" s="3092" t="s">
        <v>2326</v>
      </c>
      <c r="B80" s="3095" t="str">
        <f>估价对象房地状况!C20</f>
        <v>区域自然环境：；人文环境；综合评价环境状况一般</v>
      </c>
      <c r="C80" s="2001"/>
      <c r="D80" s="3101">
        <f t="shared" si="17"/>
        <v>0</v>
      </c>
      <c r="E80" s="3112"/>
      <c r="F80" s="1808"/>
      <c r="G80" s="1073"/>
      <c r="H80" s="3156" t="str">
        <f t="shared" si="18"/>
        <v>——</v>
      </c>
      <c r="I80" s="3107">
        <v>0.12</v>
      </c>
      <c r="J80" s="3108">
        <f t="shared" si="19"/>
        <v>0</v>
      </c>
      <c r="K80" s="3108">
        <f t="shared" si="20"/>
        <v>0</v>
      </c>
      <c r="L80" s="3108">
        <v>0</v>
      </c>
      <c r="M80" s="3108">
        <f t="shared" si="21"/>
        <v>0</v>
      </c>
      <c r="N80" s="3108">
        <f t="shared" si="21"/>
        <v>0</v>
      </c>
      <c r="Z80" s="1989"/>
      <c r="AA80" s="2012"/>
      <c r="AG80" s="1127"/>
      <c r="AK80" s="2012"/>
    </row>
    <row r="81" spans="1:37" ht="36.6" thickBot="1">
      <c r="A81" s="3099" t="s">
        <v>2332</v>
      </c>
      <c r="B81" s="2013"/>
      <c r="C81" s="2001"/>
      <c r="D81" s="3101">
        <f t="shared" si="17"/>
        <v>0</v>
      </c>
      <c r="E81" s="3113"/>
      <c r="F81" s="1808"/>
      <c r="G81" s="1073"/>
      <c r="H81" s="3156" t="str">
        <f t="shared" si="18"/>
        <v>——</v>
      </c>
      <c r="I81" s="3109">
        <v>0.05</v>
      </c>
      <c r="J81" s="3108">
        <f t="shared" si="19"/>
        <v>0</v>
      </c>
      <c r="K81" s="3108">
        <f t="shared" si="20"/>
        <v>0</v>
      </c>
      <c r="L81" s="3108">
        <v>0</v>
      </c>
      <c r="M81" s="3108">
        <f t="shared" si="21"/>
        <v>0</v>
      </c>
      <c r="N81" s="3108">
        <f t="shared" si="21"/>
        <v>0</v>
      </c>
      <c r="Z81" s="1989"/>
      <c r="AA81" s="2012"/>
      <c r="AG81" s="1127"/>
      <c r="AK81" s="2012"/>
    </row>
    <row r="82" spans="1:37" ht="14.4">
      <c r="A82" s="3087" t="s">
        <v>2333</v>
      </c>
      <c r="B82" s="3088">
        <f>1+E84</f>
        <v>1.0255000000000001</v>
      </c>
      <c r="C82" s="3090"/>
      <c r="D82" s="3090"/>
      <c r="E82" s="3091"/>
      <c r="F82" s="3111"/>
      <c r="G82" s="2863"/>
      <c r="H82" s="2863"/>
      <c r="I82" s="2863"/>
      <c r="J82" s="1815"/>
      <c r="K82" s="1815"/>
      <c r="L82" s="1815"/>
      <c r="M82" s="1815"/>
      <c r="N82" s="1815"/>
      <c r="Z82" s="1989"/>
      <c r="AA82" s="2012"/>
      <c r="AG82" s="1127"/>
      <c r="AK82" s="2012"/>
    </row>
    <row r="83" spans="1:37" ht="25.2">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39.6">
      <c r="A84" s="3092" t="s">
        <v>2334</v>
      </c>
      <c r="B84" s="3096" t="str">
        <f>估价对象房地状况!G15</f>
        <v>估价对象位于XX开发区，园区建设成熟度XX，产业集聚程度XX</v>
      </c>
      <c r="C84" s="3372" t="s">
        <v>3125</v>
      </c>
      <c r="D84" s="3101">
        <f t="shared" ref="D84:D91" si="22">SUMIF($J$83:$N$83,C84,J84:N84)</f>
        <v>6.4999999999999997E-3</v>
      </c>
      <c r="E84" s="3102">
        <f>ROUND(SUM(D84:D91),4)</f>
        <v>2.5499999999999998E-2</v>
      </c>
      <c r="F84" s="1808">
        <f>IF(E2="工业",SUMIF(L1:L12,G2,N1:N12),"——")</f>
        <v>0.05</v>
      </c>
      <c r="G84" s="1073">
        <v>6.4999999999999997E-3</v>
      </c>
      <c r="H84" s="3156">
        <f t="shared" ref="H84:H91" si="23">IFERROR(ROUNDDOWN($F$84*I84/2,4),"——")</f>
        <v>6.4999999999999997E-3</v>
      </c>
      <c r="I84" s="3107">
        <v>0.26</v>
      </c>
      <c r="J84" s="3108">
        <f t="shared" ref="J84:J91" si="24">K84+$G84</f>
        <v>1.2999999999999999E-2</v>
      </c>
      <c r="K84" s="3108">
        <f t="shared" ref="K84:K91" si="25">$L84+$G84</f>
        <v>6.4999999999999997E-3</v>
      </c>
      <c r="L84" s="3108">
        <v>0</v>
      </c>
      <c r="M84" s="3108">
        <f t="shared" ref="M84:N91" si="26">L84-$G84</f>
        <v>-6.4999999999999997E-3</v>
      </c>
      <c r="N84" s="3108">
        <f t="shared" si="26"/>
        <v>-1.2999999999999999E-2</v>
      </c>
      <c r="Z84" s="1989"/>
      <c r="AA84" s="2012"/>
      <c r="AG84" s="1127"/>
      <c r="AK84" s="2012"/>
    </row>
    <row r="85" spans="1:37" ht="52.8">
      <c r="A85" s="3092" t="s">
        <v>2318</v>
      </c>
      <c r="B85" s="3096" t="str">
        <f>估价对象房地状况!G16</f>
        <v>估价对象周边道路状况、公共交通通达情况、停车便捷程度，综合评价交通便捷度较好</v>
      </c>
      <c r="C85" s="3372" t="s">
        <v>3125</v>
      </c>
      <c r="D85" s="3101">
        <f t="shared" si="22"/>
        <v>7.4999999999999997E-3</v>
      </c>
      <c r="E85" s="3112"/>
      <c r="F85" s="1808"/>
      <c r="G85" s="1073">
        <v>7.4999999999999997E-3</v>
      </c>
      <c r="H85" s="3156">
        <f t="shared" si="23"/>
        <v>7.4999999999999997E-3</v>
      </c>
      <c r="I85" s="3107">
        <v>0.3</v>
      </c>
      <c r="J85" s="3108">
        <f t="shared" si="24"/>
        <v>1.4999999999999999E-2</v>
      </c>
      <c r="K85" s="3108">
        <f t="shared" si="25"/>
        <v>7.4999999999999997E-3</v>
      </c>
      <c r="L85" s="3108">
        <v>0</v>
      </c>
      <c r="M85" s="3108">
        <f t="shared" si="26"/>
        <v>-7.4999999999999997E-3</v>
      </c>
      <c r="N85" s="3108">
        <f t="shared" si="26"/>
        <v>-1.4999999999999999E-2</v>
      </c>
      <c r="Z85" s="1989"/>
      <c r="AA85" s="2012"/>
      <c r="AG85" s="1127"/>
      <c r="AK85" s="2012"/>
    </row>
    <row r="86" spans="1:37" ht="48">
      <c r="A86" s="3097" t="s">
        <v>2845</v>
      </c>
      <c r="B86" s="3096">
        <f>估价对象房地状况!G17</f>
        <v>0</v>
      </c>
      <c r="C86" s="3372" t="s">
        <v>3125</v>
      </c>
      <c r="D86" s="3101">
        <f t="shared" si="22"/>
        <v>2.5000000000000001E-3</v>
      </c>
      <c r="E86" s="3112"/>
      <c r="F86" s="1808"/>
      <c r="G86" s="1073">
        <v>2.5000000000000001E-3</v>
      </c>
      <c r="H86" s="3156">
        <f t="shared" si="23"/>
        <v>2.5000000000000001E-3</v>
      </c>
      <c r="I86" s="3107">
        <v>0.1</v>
      </c>
      <c r="J86" s="3108">
        <f t="shared" si="24"/>
        <v>5.0000000000000001E-3</v>
      </c>
      <c r="K86" s="3108">
        <f t="shared" si="25"/>
        <v>2.5000000000000001E-3</v>
      </c>
      <c r="L86" s="3108">
        <v>0</v>
      </c>
      <c r="M86" s="3108">
        <f t="shared" si="26"/>
        <v>-2.5000000000000001E-3</v>
      </c>
      <c r="N86" s="3108">
        <f t="shared" si="26"/>
        <v>-5.0000000000000001E-3</v>
      </c>
      <c r="Z86" s="1989"/>
      <c r="AA86" s="2012"/>
      <c r="AG86" s="1127"/>
      <c r="AK86" s="2012"/>
    </row>
    <row r="87" spans="1:37" ht="13.8">
      <c r="A87" s="3092" t="s">
        <v>2331</v>
      </c>
      <c r="B87" s="3096">
        <f>估价对象房地状况!G22</f>
        <v>0</v>
      </c>
      <c r="C87" s="3373" t="s">
        <v>3130</v>
      </c>
      <c r="D87" s="3101">
        <f t="shared" si="22"/>
        <v>-1.1999999999999999E-3</v>
      </c>
      <c r="E87" s="3112"/>
      <c r="F87" s="1808"/>
      <c r="G87" s="1073">
        <v>1.1999999999999999E-3</v>
      </c>
      <c r="H87" s="3156">
        <f t="shared" si="23"/>
        <v>1.1999999999999999E-3</v>
      </c>
      <c r="I87" s="3107">
        <v>0.05</v>
      </c>
      <c r="J87" s="3108">
        <f t="shared" si="24"/>
        <v>2.3999999999999998E-3</v>
      </c>
      <c r="K87" s="3108">
        <f t="shared" si="25"/>
        <v>1.1999999999999999E-3</v>
      </c>
      <c r="L87" s="3108">
        <v>0</v>
      </c>
      <c r="M87" s="3108">
        <f t="shared" si="26"/>
        <v>-1.1999999999999999E-3</v>
      </c>
      <c r="N87" s="3108">
        <f t="shared" si="26"/>
        <v>-2.3999999999999998E-3</v>
      </c>
      <c r="Z87" s="1989"/>
      <c r="AA87" s="2012"/>
      <c r="AG87" s="1127"/>
      <c r="AK87" s="2012"/>
    </row>
    <row r="88" spans="1:37" ht="26.4">
      <c r="A88" s="3092" t="s">
        <v>2324</v>
      </c>
      <c r="B88" s="1324" t="str">
        <f>估价对象房地状况!G19</f>
        <v>估价对象所在区域公共配套设施齐备情况</v>
      </c>
      <c r="C88" s="3372" t="s">
        <v>3125</v>
      </c>
      <c r="D88" s="3101">
        <f t="shared" si="22"/>
        <v>1.5E-3</v>
      </c>
      <c r="E88" s="3112"/>
      <c r="F88" s="1808"/>
      <c r="G88" s="1073">
        <v>1.5E-3</v>
      </c>
      <c r="H88" s="3156">
        <f t="shared" si="23"/>
        <v>1.5E-3</v>
      </c>
      <c r="I88" s="3107">
        <v>0.06</v>
      </c>
      <c r="J88" s="3108">
        <f t="shared" si="24"/>
        <v>3.0000000000000001E-3</v>
      </c>
      <c r="K88" s="3108">
        <f t="shared" si="25"/>
        <v>1.5E-3</v>
      </c>
      <c r="L88" s="3108">
        <v>0</v>
      </c>
      <c r="M88" s="3108">
        <f t="shared" si="26"/>
        <v>-1.5E-3</v>
      </c>
      <c r="N88" s="3108">
        <f t="shared" si="26"/>
        <v>-3.0000000000000001E-3</v>
      </c>
    </row>
    <row r="89" spans="1:37" ht="26.4">
      <c r="A89" s="3092" t="s">
        <v>2325</v>
      </c>
      <c r="B89" s="1324" t="str">
        <f>估价对象房地状况!G20</f>
        <v>估价对象所在区域基础设施水平</v>
      </c>
      <c r="C89" s="3373" t="s">
        <v>3131</v>
      </c>
      <c r="D89" s="3101">
        <f t="shared" si="22"/>
        <v>6.0000000000000001E-3</v>
      </c>
      <c r="E89" s="3112"/>
      <c r="F89" s="1808"/>
      <c r="G89" s="1073">
        <v>3.0000000000000001E-3</v>
      </c>
      <c r="H89" s="3156">
        <f t="shared" si="23"/>
        <v>3.0000000000000001E-3</v>
      </c>
      <c r="I89" s="3107">
        <v>0.12</v>
      </c>
      <c r="J89" s="3108">
        <f t="shared" si="24"/>
        <v>6.0000000000000001E-3</v>
      </c>
      <c r="K89" s="3108">
        <f t="shared" si="25"/>
        <v>3.0000000000000001E-3</v>
      </c>
      <c r="L89" s="3108">
        <v>0</v>
      </c>
      <c r="M89" s="3108">
        <f t="shared" si="26"/>
        <v>-3.0000000000000001E-3</v>
      </c>
      <c r="N89" s="3108">
        <f t="shared" si="26"/>
        <v>-6.0000000000000001E-3</v>
      </c>
    </row>
    <row r="90" spans="1:37" ht="36">
      <c r="A90" s="3092" t="s">
        <v>2322</v>
      </c>
      <c r="B90" s="2011" t="s">
        <v>2335</v>
      </c>
      <c r="C90" s="3372" t="s">
        <v>3125</v>
      </c>
      <c r="D90" s="3101">
        <f t="shared" si="22"/>
        <v>1.5E-3</v>
      </c>
      <c r="E90" s="3112"/>
      <c r="F90" s="1808"/>
      <c r="G90" s="1073">
        <v>1.5E-3</v>
      </c>
      <c r="H90" s="3156">
        <f t="shared" si="23"/>
        <v>1.5E-3</v>
      </c>
      <c r="I90" s="3107">
        <v>0.06</v>
      </c>
      <c r="J90" s="3108">
        <f t="shared" si="24"/>
        <v>3.0000000000000001E-3</v>
      </c>
      <c r="K90" s="3108">
        <f t="shared" si="25"/>
        <v>1.5E-3</v>
      </c>
      <c r="L90" s="3108">
        <v>0</v>
      </c>
      <c r="M90" s="3108">
        <f t="shared" si="26"/>
        <v>-1.5E-3</v>
      </c>
      <c r="N90" s="3108">
        <f t="shared" si="26"/>
        <v>-3.0000000000000001E-3</v>
      </c>
    </row>
    <row r="91" spans="1:37" ht="40.200000000000003" thickBot="1">
      <c r="A91" s="3099" t="s">
        <v>2336</v>
      </c>
      <c r="B91" s="3114" t="str">
        <f>估价对象房地状况!G18</f>
        <v>该园区内是否有污染型企业，绿化情况，卫生条件，整体环境状况判断</v>
      </c>
      <c r="C91" s="3372" t="s">
        <v>3125</v>
      </c>
      <c r="D91" s="3101">
        <f t="shared" si="22"/>
        <v>1.1999999999999999E-3</v>
      </c>
      <c r="E91" s="3113"/>
      <c r="F91" s="1808"/>
      <c r="G91" s="1073">
        <v>1.1999999999999999E-3</v>
      </c>
      <c r="H91" s="3156">
        <f t="shared" si="23"/>
        <v>1.1999999999999999E-3</v>
      </c>
      <c r="I91" s="3109">
        <v>0.05</v>
      </c>
      <c r="J91" s="3108">
        <f t="shared" si="24"/>
        <v>2.3999999999999998E-3</v>
      </c>
      <c r="K91" s="3108">
        <f t="shared" si="25"/>
        <v>1.1999999999999999E-3</v>
      </c>
      <c r="L91" s="3108">
        <v>0</v>
      </c>
      <c r="M91" s="3108">
        <f t="shared" si="26"/>
        <v>-1.1999999999999999E-3</v>
      </c>
      <c r="N91" s="3108">
        <f t="shared" si="26"/>
        <v>-2.3999999999999998E-3</v>
      </c>
      <c r="S91" s="1126"/>
      <c r="T91" s="1126"/>
      <c r="U91" s="1126"/>
      <c r="V91" s="1126"/>
      <c r="W91" s="1126"/>
      <c r="X91" s="1126"/>
      <c r="Y91" s="1126"/>
    </row>
    <row r="92" spans="1:37" ht="13.8">
      <c r="A92" s="3087" t="s">
        <v>2847</v>
      </c>
      <c r="B92" s="3088">
        <f>1+E94</f>
        <v>1</v>
      </c>
      <c r="C92" s="3116"/>
      <c r="D92" s="3116"/>
      <c r="E92" s="3116"/>
      <c r="F92" s="3116"/>
      <c r="S92" s="1126"/>
      <c r="T92" s="1126"/>
      <c r="U92" s="1126"/>
      <c r="V92" s="1126"/>
      <c r="W92" s="1126"/>
      <c r="X92" s="1126"/>
      <c r="Y92" s="1126"/>
    </row>
    <row r="93" spans="1:37" s="1126" customFormat="1" ht="25.2">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7" t="s">
        <v>2848</v>
      </c>
      <c r="B94" s="2870">
        <f>估价对象房地状况!C49</f>
        <v>0</v>
      </c>
      <c r="C94" s="2001"/>
      <c r="D94" s="3101">
        <f>SUMIF($J$93:$N$93,C94,J94:N94)</f>
        <v>0</v>
      </c>
      <c r="E94" s="3102">
        <f>ROUND(SUM(D94:D102),4)</f>
        <v>0</v>
      </c>
      <c r="F94" s="1808" t="str">
        <f>IF(E2="公共服务",SUMIF(L1:L12,G2,N1:N12),"——")</f>
        <v>——</v>
      </c>
      <c r="G94" s="1073"/>
      <c r="H94" s="3156" t="str">
        <f t="shared" ref="H94:H102" si="27">IFERROR(ROUNDDOWN($F$62*I94/2,4),"——")</f>
        <v>——</v>
      </c>
      <c r="I94" s="3107">
        <v>0.25</v>
      </c>
      <c r="J94" s="3108">
        <f t="shared" ref="J94:J102" si="28">K94+$G94</f>
        <v>0</v>
      </c>
      <c r="K94" s="3108">
        <f t="shared" ref="K94:K102" si="29">$L94+$G94</f>
        <v>0</v>
      </c>
      <c r="L94" s="3108">
        <v>0</v>
      </c>
      <c r="M94" s="3108">
        <f t="shared" ref="M94:M102" si="30">L94-$G94</f>
        <v>0</v>
      </c>
      <c r="N94" s="3108">
        <f t="shared" ref="N94:N102" si="31">M94-$G94</f>
        <v>0</v>
      </c>
      <c r="AA94" s="1127"/>
      <c r="AB94" s="1127"/>
      <c r="AC94" s="1127"/>
      <c r="AD94" s="1127"/>
      <c r="AE94" s="1127"/>
      <c r="AF94" s="1127"/>
      <c r="AG94" s="1127"/>
      <c r="AH94" s="1127"/>
      <c r="AI94" s="1127"/>
      <c r="AJ94" s="1127"/>
      <c r="AK94" s="1127"/>
    </row>
    <row r="95" spans="1:37" s="1126" customFormat="1" ht="52.8">
      <c r="A95" s="3092" t="s">
        <v>2318</v>
      </c>
      <c r="B95" s="3096" t="str">
        <f>估价对象房地状况!C18</f>
        <v>估价对象周边道路状况、公共交通通达情况、停车便捷程度，综合评价交通便捷度较好</v>
      </c>
      <c r="C95" s="2001"/>
      <c r="D95" s="3101">
        <f t="shared" ref="D95:D102" si="32">SUMIF($J$61:$N$61,C95,J95:N95)</f>
        <v>0</v>
      </c>
      <c r="E95" s="3103"/>
      <c r="F95" s="1808"/>
      <c r="G95" s="1073"/>
      <c r="H95" s="3156" t="str">
        <f t="shared" si="27"/>
        <v>——</v>
      </c>
      <c r="I95" s="3107">
        <v>0.26</v>
      </c>
      <c r="J95" s="3108">
        <f t="shared" si="28"/>
        <v>0</v>
      </c>
      <c r="K95" s="3108">
        <f t="shared" si="29"/>
        <v>0</v>
      </c>
      <c r="L95" s="3108">
        <v>0</v>
      </c>
      <c r="M95" s="3108">
        <f t="shared" si="30"/>
        <v>0</v>
      </c>
      <c r="N95" s="3108">
        <f t="shared" si="31"/>
        <v>0</v>
      </c>
      <c r="AA95" s="1127"/>
      <c r="AB95" s="1127"/>
      <c r="AC95" s="1127"/>
      <c r="AD95" s="1127"/>
      <c r="AE95" s="1127"/>
      <c r="AF95" s="1127"/>
      <c r="AG95" s="1127"/>
      <c r="AH95" s="1127"/>
      <c r="AI95" s="1127"/>
      <c r="AJ95" s="1127"/>
      <c r="AK95" s="1127"/>
    </row>
    <row r="96" spans="1:37" s="1126" customFormat="1" ht="48">
      <c r="A96" s="3097" t="s">
        <v>2845</v>
      </c>
      <c r="B96" s="3096">
        <f>估价对象房地状况!C19</f>
        <v>0</v>
      </c>
      <c r="C96" s="2001"/>
      <c r="D96" s="3101">
        <f t="shared" si="32"/>
        <v>0</v>
      </c>
      <c r="E96" s="3103"/>
      <c r="F96" s="1808"/>
      <c r="G96" s="1073"/>
      <c r="H96" s="3156" t="str">
        <f t="shared" si="27"/>
        <v>——</v>
      </c>
      <c r="I96" s="3107">
        <v>0.11</v>
      </c>
      <c r="J96" s="3108">
        <f t="shared" si="28"/>
        <v>0</v>
      </c>
      <c r="K96" s="3108">
        <f t="shared" si="29"/>
        <v>0</v>
      </c>
      <c r="L96" s="3108">
        <v>0</v>
      </c>
      <c r="M96" s="3108">
        <f t="shared" si="30"/>
        <v>0</v>
      </c>
      <c r="N96" s="3108">
        <f t="shared" si="31"/>
        <v>0</v>
      </c>
      <c r="AA96" s="1127"/>
      <c r="AB96" s="1127"/>
      <c r="AC96" s="1127"/>
      <c r="AD96" s="1127"/>
      <c r="AE96" s="1127"/>
      <c r="AF96" s="1127"/>
      <c r="AG96" s="1127"/>
      <c r="AH96" s="1127"/>
      <c r="AI96" s="1127"/>
      <c r="AJ96" s="1127"/>
      <c r="AK96" s="1127"/>
    </row>
    <row r="97" spans="1:37" s="1126" customFormat="1" ht="37.200000000000003">
      <c r="A97" s="3092" t="s">
        <v>2319</v>
      </c>
      <c r="B97" s="2010" t="s">
        <v>2320</v>
      </c>
      <c r="C97" s="2001"/>
      <c r="D97" s="3101">
        <f t="shared" si="32"/>
        <v>0</v>
      </c>
      <c r="E97" s="3103"/>
      <c r="F97" s="1808"/>
      <c r="G97" s="1073"/>
      <c r="H97" s="3156" t="str">
        <f t="shared" si="27"/>
        <v>——</v>
      </c>
      <c r="I97" s="3107">
        <v>0.05</v>
      </c>
      <c r="J97" s="3108">
        <f t="shared" si="28"/>
        <v>0</v>
      </c>
      <c r="K97" s="3108">
        <f t="shared" si="29"/>
        <v>0</v>
      </c>
      <c r="L97" s="3108">
        <v>0</v>
      </c>
      <c r="M97" s="3108">
        <f t="shared" si="30"/>
        <v>0</v>
      </c>
      <c r="N97" s="3108">
        <f t="shared" si="31"/>
        <v>0</v>
      </c>
      <c r="AA97" s="1127"/>
      <c r="AB97" s="1127"/>
      <c r="AC97" s="1127"/>
      <c r="AD97" s="1127"/>
      <c r="AE97" s="1127"/>
      <c r="AF97" s="1127"/>
      <c r="AG97" s="1127"/>
      <c r="AH97" s="1127"/>
      <c r="AI97" s="1127"/>
      <c r="AJ97" s="1127"/>
      <c r="AK97" s="1127"/>
    </row>
    <row r="98" spans="1:37" s="1126" customFormat="1" ht="24">
      <c r="A98" s="3092" t="s">
        <v>2321</v>
      </c>
      <c r="B98" s="3096">
        <f>估价对象房地状况!C24</f>
        <v>0</v>
      </c>
      <c r="C98" s="2001"/>
      <c r="D98" s="3101">
        <f t="shared" si="32"/>
        <v>0</v>
      </c>
      <c r="E98" s="3103"/>
      <c r="F98" s="1808"/>
      <c r="G98" s="1073"/>
      <c r="H98" s="3156" t="str">
        <f t="shared" si="27"/>
        <v>——</v>
      </c>
      <c r="I98" s="3107">
        <v>0.05</v>
      </c>
      <c r="J98" s="3108">
        <f t="shared" si="28"/>
        <v>0</v>
      </c>
      <c r="K98" s="3108">
        <f t="shared" si="29"/>
        <v>0</v>
      </c>
      <c r="L98" s="3108">
        <v>0</v>
      </c>
      <c r="M98" s="3108">
        <f t="shared" si="30"/>
        <v>0</v>
      </c>
      <c r="N98" s="3108">
        <f t="shared" si="31"/>
        <v>0</v>
      </c>
      <c r="AA98" s="1127"/>
      <c r="AB98" s="1127"/>
      <c r="AC98" s="1127"/>
      <c r="AD98" s="1127"/>
      <c r="AE98" s="1127"/>
      <c r="AF98" s="1127"/>
      <c r="AG98" s="1127"/>
      <c r="AH98" s="1127"/>
      <c r="AI98" s="1127"/>
      <c r="AJ98" s="1127"/>
      <c r="AK98" s="1127"/>
    </row>
    <row r="99" spans="1:37" s="1126" customFormat="1" ht="36">
      <c r="A99" s="3092" t="s">
        <v>2322</v>
      </c>
      <c r="B99" s="2011" t="s">
        <v>2323</v>
      </c>
      <c r="C99" s="2001"/>
      <c r="D99" s="3101">
        <f t="shared" si="32"/>
        <v>0</v>
      </c>
      <c r="E99" s="3103"/>
      <c r="F99" s="1808"/>
      <c r="G99" s="1073"/>
      <c r="H99" s="3156" t="str">
        <f t="shared" si="27"/>
        <v>——</v>
      </c>
      <c r="I99" s="3107">
        <v>0.06</v>
      </c>
      <c r="J99" s="3108">
        <f t="shared" si="28"/>
        <v>0</v>
      </c>
      <c r="K99" s="3108">
        <f t="shared" si="29"/>
        <v>0</v>
      </c>
      <c r="L99" s="3108">
        <v>0</v>
      </c>
      <c r="M99" s="3108">
        <f t="shared" si="30"/>
        <v>0</v>
      </c>
      <c r="N99" s="3108">
        <f t="shared" si="31"/>
        <v>0</v>
      </c>
      <c r="AA99" s="1127"/>
      <c r="AB99" s="1127"/>
      <c r="AC99" s="1127"/>
      <c r="AD99" s="1127"/>
      <c r="AE99" s="1127"/>
      <c r="AF99" s="1127"/>
      <c r="AG99" s="1127"/>
      <c r="AH99" s="1127"/>
      <c r="AI99" s="1127"/>
      <c r="AJ99" s="1127"/>
      <c r="AK99" s="1127"/>
    </row>
    <row r="100" spans="1:37" s="1126" customFormat="1" ht="26.4">
      <c r="A100" s="3092" t="s">
        <v>2324</v>
      </c>
      <c r="B100" s="1324" t="str">
        <f>估价对象房地状况!C21</f>
        <v>估价对象所在区域公共配套设施齐备情况</v>
      </c>
      <c r="C100" s="2001"/>
      <c r="D100" s="3101">
        <f t="shared" si="32"/>
        <v>0</v>
      </c>
      <c r="E100" s="3103"/>
      <c r="F100" s="1808"/>
      <c r="G100" s="1073"/>
      <c r="H100" s="3156" t="str">
        <f t="shared" si="27"/>
        <v>——</v>
      </c>
      <c r="I100" s="3107">
        <v>0.06</v>
      </c>
      <c r="J100" s="3108">
        <f t="shared" si="28"/>
        <v>0</v>
      </c>
      <c r="K100" s="3108">
        <f t="shared" si="29"/>
        <v>0</v>
      </c>
      <c r="L100" s="3108">
        <v>0</v>
      </c>
      <c r="M100" s="3108">
        <f t="shared" si="30"/>
        <v>0</v>
      </c>
      <c r="N100" s="3108">
        <f t="shared" si="31"/>
        <v>0</v>
      </c>
      <c r="AA100" s="1127"/>
      <c r="AB100" s="1127"/>
      <c r="AC100" s="1127"/>
      <c r="AD100" s="1127"/>
      <c r="AE100" s="1127"/>
      <c r="AF100" s="1127"/>
      <c r="AG100" s="1127"/>
      <c r="AH100" s="1127"/>
      <c r="AI100" s="1127"/>
      <c r="AJ100" s="1127"/>
      <c r="AK100" s="1127"/>
    </row>
    <row r="101" spans="1:37" s="1126" customFormat="1" ht="26.4">
      <c r="A101" s="3092" t="s">
        <v>2325</v>
      </c>
      <c r="B101" s="1324" t="str">
        <f>估价对象房地状况!C22</f>
        <v>估价对象所在区域基础设施水平</v>
      </c>
      <c r="C101" s="2001"/>
      <c r="D101" s="3101">
        <f t="shared" si="32"/>
        <v>0</v>
      </c>
      <c r="E101" s="3103"/>
      <c r="F101" s="1808"/>
      <c r="G101" s="1073"/>
      <c r="H101" s="3156" t="str">
        <f t="shared" si="27"/>
        <v>——</v>
      </c>
      <c r="I101" s="3107">
        <v>0.09</v>
      </c>
      <c r="J101" s="3108">
        <f t="shared" si="28"/>
        <v>0</v>
      </c>
      <c r="K101" s="3108">
        <f t="shared" si="29"/>
        <v>0</v>
      </c>
      <c r="L101" s="3108">
        <v>0</v>
      </c>
      <c r="M101" s="3108">
        <f t="shared" si="30"/>
        <v>0</v>
      </c>
      <c r="N101" s="3108">
        <f t="shared" si="31"/>
        <v>0</v>
      </c>
      <c r="AA101" s="1127"/>
      <c r="AB101" s="1127"/>
      <c r="AC101" s="1127"/>
      <c r="AD101" s="1127"/>
      <c r="AE101" s="1127"/>
      <c r="AF101" s="1127"/>
      <c r="AG101" s="1127"/>
      <c r="AH101" s="1127"/>
      <c r="AI101" s="1127"/>
      <c r="AJ101" s="1127"/>
      <c r="AK101" s="1127"/>
    </row>
    <row r="102" spans="1:37" s="1126" customFormat="1" ht="36.6" thickBot="1">
      <c r="A102" s="3099" t="s">
        <v>2326</v>
      </c>
      <c r="B102" s="3110" t="str">
        <f>估价对象房地状况!C20</f>
        <v>区域自然环境：；人文环境；综合评价环境状况一般</v>
      </c>
      <c r="C102" s="2001"/>
      <c r="D102" s="3101">
        <f t="shared" si="32"/>
        <v>0</v>
      </c>
      <c r="E102" s="3104"/>
      <c r="F102" s="1808"/>
      <c r="G102" s="1073"/>
      <c r="H102" s="3156" t="str">
        <f t="shared" si="27"/>
        <v>——</v>
      </c>
      <c r="I102" s="3109">
        <v>7.0000000000000007E-2</v>
      </c>
      <c r="J102" s="3108">
        <f t="shared" si="28"/>
        <v>0</v>
      </c>
      <c r="K102" s="3108">
        <f t="shared" si="29"/>
        <v>0</v>
      </c>
      <c r="L102" s="3108">
        <v>0</v>
      </c>
      <c r="M102" s="3108">
        <f t="shared" si="30"/>
        <v>0</v>
      </c>
      <c r="N102" s="3108">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3.8">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63" t="s">
        <v>2337</v>
      </c>
      <c r="B104" s="3663"/>
      <c r="C104" s="3663"/>
      <c r="D104" s="3663"/>
      <c r="E104" s="3663"/>
      <c r="F104" s="3663"/>
      <c r="G104" s="3663"/>
      <c r="H104" s="3663"/>
      <c r="I104" s="3663"/>
      <c r="J104" s="3663"/>
      <c r="K104" s="3117"/>
      <c r="L104" s="3117"/>
      <c r="M104" s="3117"/>
      <c r="N104" s="3117"/>
    </row>
    <row r="105" spans="1:37">
      <c r="A105" s="3665" t="s">
        <v>2338</v>
      </c>
      <c r="B105" s="3665" t="s">
        <v>2339</v>
      </c>
      <c r="C105" s="3044" t="s">
        <v>2340</v>
      </c>
      <c r="D105" s="3045"/>
      <c r="E105" s="3045"/>
      <c r="F105" s="3045"/>
      <c r="G105" s="3045"/>
      <c r="H105" s="3045"/>
      <c r="I105" s="3045"/>
      <c r="J105" s="3118"/>
      <c r="K105" s="3119"/>
      <c r="L105" s="3119"/>
      <c r="M105" s="3119"/>
      <c r="N105" s="3119"/>
    </row>
    <row r="106" spans="1:37">
      <c r="A106" s="3665"/>
      <c r="B106" s="3665"/>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69"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70"/>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70"/>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70"/>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70"/>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c r="A112" s="3670"/>
      <c r="B112" s="3120" t="s">
        <v>2747</v>
      </c>
      <c r="C112" s="3122">
        <f>$I$3</f>
        <v>0</v>
      </c>
      <c r="D112" s="3122">
        <f t="shared" ref="D112:M112" si="33">$I$3</f>
        <v>0</v>
      </c>
      <c r="E112" s="3122">
        <f t="shared" si="33"/>
        <v>0</v>
      </c>
      <c r="F112" s="3122">
        <f t="shared" si="33"/>
        <v>0</v>
      </c>
      <c r="G112" s="3122">
        <f t="shared" si="33"/>
        <v>0</v>
      </c>
      <c r="H112" s="3122">
        <f t="shared" si="33"/>
        <v>0</v>
      </c>
      <c r="I112" s="3122">
        <f t="shared" si="33"/>
        <v>0</v>
      </c>
      <c r="J112" s="3122">
        <f t="shared" si="33"/>
        <v>0</v>
      </c>
      <c r="K112" s="3122">
        <f t="shared" si="33"/>
        <v>0</v>
      </c>
      <c r="L112" s="3122">
        <f t="shared" si="33"/>
        <v>0</v>
      </c>
      <c r="M112" s="3122">
        <f t="shared" si="33"/>
        <v>0</v>
      </c>
      <c r="N112" s="3122">
        <f>$I$3</f>
        <v>0</v>
      </c>
    </row>
    <row r="113" spans="1:14">
      <c r="A113" s="3671"/>
      <c r="B113" s="3120">
        <v>6</v>
      </c>
      <c r="C113" s="3123">
        <f>(-0.5556*(C112^2)-0.2719*C112+8944)*(10^(-4))</f>
        <v>0.89440000000000008</v>
      </c>
      <c r="D113" s="3123">
        <f>(-0.5556*(D112^2)-0.2719*D112+8944)*(10^(-4))</f>
        <v>0.89440000000000008</v>
      </c>
      <c r="E113" s="3123">
        <f>(-0.7912*(E112^2)-11.3794*E112+8482)*(10^(-4))</f>
        <v>0.84820000000000007</v>
      </c>
      <c r="F113" s="3123">
        <f t="shared" ref="F113:I113" si="34">(-0.7912*(F112^2)-11.3794*F112+8482)*(10^(-4))</f>
        <v>0.84820000000000007</v>
      </c>
      <c r="G113" s="3123">
        <f t="shared" si="34"/>
        <v>0.84820000000000007</v>
      </c>
      <c r="H113" s="3123">
        <f t="shared" si="34"/>
        <v>0.84820000000000007</v>
      </c>
      <c r="I113" s="3123">
        <f t="shared" si="34"/>
        <v>0.84820000000000007</v>
      </c>
      <c r="J113" s="3123">
        <f>(-0.989*(J112^2)-63.78*J112+7771)*(10^(-4))</f>
        <v>0.77710000000000001</v>
      </c>
      <c r="K113" s="3123">
        <f t="shared" ref="K113:N113" si="35">(-0.989*(K112^2)-63.78*K112+7771)*(10^(-4))</f>
        <v>0.77710000000000001</v>
      </c>
      <c r="L113" s="3123">
        <f t="shared" si="35"/>
        <v>0.77710000000000001</v>
      </c>
      <c r="M113" s="3123">
        <f t="shared" si="35"/>
        <v>0.77710000000000001</v>
      </c>
      <c r="N113" s="3123">
        <f t="shared" si="35"/>
        <v>0.77710000000000001</v>
      </c>
    </row>
    <row r="114" spans="1:14">
      <c r="A114" s="3664" t="s">
        <v>2342</v>
      </c>
      <c r="B114" s="3664"/>
      <c r="C114" s="3664"/>
      <c r="D114" s="3664"/>
      <c r="E114" s="3664"/>
      <c r="F114" s="3664"/>
      <c r="G114" s="3664"/>
      <c r="H114" s="3664"/>
      <c r="I114" s="3664"/>
      <c r="J114" s="3664"/>
      <c r="K114" s="3124"/>
      <c r="L114" s="3124"/>
      <c r="M114" s="3124"/>
      <c r="N114" s="3124"/>
    </row>
    <row r="116" spans="1:14" ht="13.8" thickBot="1"/>
    <row r="117" spans="1:14" ht="25.8" thickBot="1">
      <c r="A117" s="3125" t="s">
        <v>2343</v>
      </c>
      <c r="B117" s="3126">
        <f>G3</f>
        <v>2.15</v>
      </c>
      <c r="C117" s="3127" t="s">
        <v>2344</v>
      </c>
      <c r="D117" s="3128">
        <f>SUMPRODUCT((A119:A123=F117)*(B118:M118=H117)*B119:M123)</f>
        <v>0.62250000000000005</v>
      </c>
      <c r="E117" s="2915" t="s">
        <v>2199</v>
      </c>
      <c r="F117" s="3129" t="str">
        <f>E2</f>
        <v>工业</v>
      </c>
      <c r="G117" s="2915" t="s">
        <v>2200</v>
      </c>
      <c r="H117" s="3129" t="str">
        <f>G2</f>
        <v>六级</v>
      </c>
      <c r="I117" s="2915"/>
      <c r="J117" s="3130"/>
      <c r="K117" s="3130"/>
      <c r="L117" s="3130"/>
      <c r="M117" s="3130"/>
    </row>
    <row r="118" spans="1:14">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c r="A119" s="3137" t="s">
        <v>2255</v>
      </c>
      <c r="B119" s="3138">
        <f>ROUND(0.9968-0.011*B117,4)</f>
        <v>0.97319999999999995</v>
      </c>
      <c r="C119" s="3138">
        <f>B119</f>
        <v>0.97319999999999995</v>
      </c>
      <c r="D119" s="3138">
        <f>ROUND(0.949-0.014*B117,4)</f>
        <v>0.91890000000000005</v>
      </c>
      <c r="E119" s="3138">
        <f>D119</f>
        <v>0.91890000000000005</v>
      </c>
      <c r="F119" s="3138">
        <f>E119</f>
        <v>0.91890000000000005</v>
      </c>
      <c r="G119" s="3138">
        <f>F119</f>
        <v>0.91890000000000005</v>
      </c>
      <c r="H119" s="3138">
        <f>G119</f>
        <v>0.91890000000000005</v>
      </c>
      <c r="I119" s="3138">
        <f>ROUND(0.8486-0.018*B117,4)</f>
        <v>0.80989999999999995</v>
      </c>
      <c r="J119" s="3138">
        <f t="shared" ref="J119:M122" si="36">I119</f>
        <v>0.80989999999999995</v>
      </c>
      <c r="K119" s="3138">
        <f t="shared" si="36"/>
        <v>0.80989999999999995</v>
      </c>
      <c r="L119" s="3138">
        <f t="shared" si="36"/>
        <v>0.80989999999999995</v>
      </c>
      <c r="M119" s="3139">
        <f t="shared" si="36"/>
        <v>0.80989999999999995</v>
      </c>
    </row>
    <row r="120" spans="1:14">
      <c r="A120" s="3137" t="s">
        <v>2256</v>
      </c>
      <c r="B120" s="3138">
        <f>ROUND(0.993-0.0112*B117,4)</f>
        <v>0.96889999999999998</v>
      </c>
      <c r="C120" s="3138">
        <f>B120</f>
        <v>0.96889999999999998</v>
      </c>
      <c r="D120" s="3138">
        <f>ROUND(0.9415-0.0142*B117,4)</f>
        <v>0.91100000000000003</v>
      </c>
      <c r="E120" s="3138">
        <f t="shared" ref="E120:H121" si="37">D120</f>
        <v>0.91100000000000003</v>
      </c>
      <c r="F120" s="3138">
        <f t="shared" si="37"/>
        <v>0.91100000000000003</v>
      </c>
      <c r="G120" s="3138">
        <f t="shared" si="37"/>
        <v>0.91100000000000003</v>
      </c>
      <c r="H120" s="3138">
        <f t="shared" si="37"/>
        <v>0.91100000000000003</v>
      </c>
      <c r="I120" s="3138">
        <f>ROUND(0.838-0.0182*B117,4)</f>
        <v>0.79890000000000005</v>
      </c>
      <c r="J120" s="3138">
        <f t="shared" si="36"/>
        <v>0.79890000000000005</v>
      </c>
      <c r="K120" s="3138">
        <f t="shared" si="36"/>
        <v>0.79890000000000005</v>
      </c>
      <c r="L120" s="3138">
        <f t="shared" si="36"/>
        <v>0.79890000000000005</v>
      </c>
      <c r="M120" s="3139">
        <f t="shared" si="36"/>
        <v>0.79890000000000005</v>
      </c>
    </row>
    <row r="121" spans="1:14">
      <c r="A121" s="3137" t="s">
        <v>2257</v>
      </c>
      <c r="B121" s="3138">
        <f>ROUND(0.9448-0.0115*B117,4)</f>
        <v>0.92010000000000003</v>
      </c>
      <c r="C121" s="3138">
        <f>B121</f>
        <v>0.92010000000000003</v>
      </c>
      <c r="D121" s="3138">
        <f>ROUND(0.937-0.0145*B117,4)</f>
        <v>0.90580000000000005</v>
      </c>
      <c r="E121" s="3138">
        <f t="shared" si="37"/>
        <v>0.90580000000000005</v>
      </c>
      <c r="F121" s="3138">
        <f t="shared" si="37"/>
        <v>0.90580000000000005</v>
      </c>
      <c r="G121" s="3138">
        <f t="shared" si="37"/>
        <v>0.90580000000000005</v>
      </c>
      <c r="H121" s="3138">
        <f t="shared" si="37"/>
        <v>0.90580000000000005</v>
      </c>
      <c r="I121" s="3138">
        <f>ROUND(0.7965-0.0185*B117,4)</f>
        <v>0.75670000000000004</v>
      </c>
      <c r="J121" s="3138">
        <f t="shared" si="36"/>
        <v>0.75670000000000004</v>
      </c>
      <c r="K121" s="3138">
        <f t="shared" si="36"/>
        <v>0.75670000000000004</v>
      </c>
      <c r="L121" s="3138">
        <f t="shared" si="36"/>
        <v>0.75670000000000004</v>
      </c>
      <c r="M121" s="3139">
        <f t="shared" si="36"/>
        <v>0.75670000000000004</v>
      </c>
    </row>
    <row r="122" spans="1:14" ht="13.8" thickBot="1">
      <c r="A122" s="3140" t="s">
        <v>2258</v>
      </c>
      <c r="B122" s="3141">
        <f>ROUND(0.7836-0.012*B117,4)</f>
        <v>0.75780000000000003</v>
      </c>
      <c r="C122" s="3141">
        <f>B122</f>
        <v>0.75780000000000003</v>
      </c>
      <c r="D122" s="3141">
        <f>ROUND(0.753-0.015*B117,4)</f>
        <v>0.7208</v>
      </c>
      <c r="E122" s="3141">
        <f>D122</f>
        <v>0.7208</v>
      </c>
      <c r="F122" s="3141">
        <f>E122</f>
        <v>0.7208</v>
      </c>
      <c r="G122" s="3141">
        <f>ROUND(0.6612-0.018*B117,4)</f>
        <v>0.62250000000000005</v>
      </c>
      <c r="H122" s="3141">
        <f>G122</f>
        <v>0.62250000000000005</v>
      </c>
      <c r="I122" s="3141">
        <f>ROUND(0.5905-0.019*B117,4)</f>
        <v>0.54969999999999997</v>
      </c>
      <c r="J122" s="3141">
        <f t="shared" si="36"/>
        <v>0.54969999999999997</v>
      </c>
      <c r="K122" s="3141">
        <f t="shared" si="36"/>
        <v>0.54969999999999997</v>
      </c>
      <c r="L122" s="3141">
        <f t="shared" si="36"/>
        <v>0.54969999999999997</v>
      </c>
      <c r="M122" s="3142">
        <f t="shared" si="36"/>
        <v>0.54969999999999997</v>
      </c>
    </row>
    <row r="123" spans="1:14">
      <c r="A123" s="3143" t="s">
        <v>2931</v>
      </c>
      <c r="B123" s="3138">
        <f>ROUND(0.9404-0.0106*B117,4)</f>
        <v>0.91759999999999997</v>
      </c>
      <c r="C123" s="3138">
        <f>B123</f>
        <v>0.91759999999999997</v>
      </c>
      <c r="D123" s="3138">
        <f>ROUND(0.8955-0.0135*B117,4)</f>
        <v>0.86650000000000005</v>
      </c>
      <c r="E123" s="3138">
        <f t="shared" ref="E123" si="38">D123</f>
        <v>0.86650000000000005</v>
      </c>
      <c r="F123" s="3138">
        <f t="shared" ref="F123" si="39">E123</f>
        <v>0.86650000000000005</v>
      </c>
      <c r="G123" s="3138">
        <f t="shared" ref="G123" si="40">F123</f>
        <v>0.86650000000000005</v>
      </c>
      <c r="H123" s="3138">
        <f t="shared" ref="H123" si="41">G123</f>
        <v>0.86650000000000005</v>
      </c>
      <c r="I123" s="3138">
        <f>ROUND(0.7632-0.0166*B117,4)</f>
        <v>0.72750000000000004</v>
      </c>
      <c r="J123" s="3138">
        <f t="shared" ref="J123" si="42">I123</f>
        <v>0.72750000000000004</v>
      </c>
      <c r="K123" s="3138">
        <f t="shared" ref="K123" si="43">J123</f>
        <v>0.72750000000000004</v>
      </c>
      <c r="L123" s="3138">
        <f t="shared" ref="L123" si="44">K123</f>
        <v>0.72750000000000004</v>
      </c>
      <c r="M123" s="3139">
        <f t="shared" ref="M123" si="45">L123</f>
        <v>0.72750000000000004</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H51" sqref="H51"/>
    </sheetView>
  </sheetViews>
  <sheetFormatPr defaultColWidth="8.21875" defaultRowHeight="14.4"/>
  <cols>
    <col min="1" max="1" width="15.21875" style="747" customWidth="1"/>
    <col min="2" max="9" width="15.21875" style="773" customWidth="1"/>
    <col min="10" max="13" width="15.21875" style="747" customWidth="1"/>
    <col min="14" max="14" width="10" style="747" customWidth="1"/>
    <col min="15" max="16" width="8.21875" style="747"/>
    <col min="17" max="17" width="34.109375" style="747" customWidth="1"/>
    <col min="18" max="18" width="8.21875" style="747" customWidth="1"/>
    <col min="19" max="19" width="8.21875" style="747"/>
    <col min="20" max="20" width="11.6640625" style="747" customWidth="1"/>
    <col min="21" max="16384" width="8.21875" style="747"/>
  </cols>
  <sheetData>
    <row r="1" spans="1:13" ht="1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5.6">
      <c r="A18" s="3253" t="s">
        <v>471</v>
      </c>
      <c r="B18" s="3253"/>
      <c r="C18" s="3254"/>
      <c r="D18" s="3254"/>
      <c r="E18" s="3253"/>
      <c r="F18" s="3254"/>
      <c r="G18" s="3254"/>
      <c r="H18" s="3255"/>
      <c r="I18" s="3255"/>
    </row>
    <row r="19" spans="1:13" ht="15" thickBot="1">
      <c r="A19" s="750" t="s">
        <v>2906</v>
      </c>
      <c r="B19" s="3220" t="s">
        <v>2907</v>
      </c>
      <c r="C19" s="3220" t="s">
        <v>546</v>
      </c>
      <c r="D19" s="3221"/>
      <c r="E19" s="750" t="s">
        <v>3089</v>
      </c>
      <c r="F19" s="775"/>
      <c r="G19" s="775"/>
    </row>
    <row r="20" spans="1:13" s="780" customFormat="1">
      <c r="A20" s="3688" t="s">
        <v>180</v>
      </c>
      <c r="B20" s="3695" t="s">
        <v>2923</v>
      </c>
      <c r="C20" s="3222" t="s">
        <v>2853</v>
      </c>
      <c r="D20" s="3223"/>
      <c r="E20" s="3224">
        <v>1</v>
      </c>
      <c r="F20" s="778" t="s">
        <v>2859</v>
      </c>
      <c r="G20" s="779"/>
      <c r="H20" s="773"/>
      <c r="I20" s="773"/>
    </row>
    <row r="21" spans="1:13" s="780" customFormat="1">
      <c r="A21" s="3689"/>
      <c r="B21" s="3691"/>
      <c r="C21" s="776" t="s">
        <v>2854</v>
      </c>
      <c r="D21" s="777"/>
      <c r="E21" s="3225">
        <v>1</v>
      </c>
      <c r="F21" s="778" t="s">
        <v>2860</v>
      </c>
      <c r="G21" s="779"/>
      <c r="H21" s="773"/>
      <c r="I21" s="773"/>
    </row>
    <row r="22" spans="1:13" s="780" customFormat="1">
      <c r="A22" s="3689"/>
      <c r="B22" s="3691"/>
      <c r="C22" s="776" t="s">
        <v>2855</v>
      </c>
      <c r="D22" s="777"/>
      <c r="E22" s="3225">
        <v>0.9</v>
      </c>
      <c r="F22" s="778" t="s">
        <v>2861</v>
      </c>
      <c r="G22" s="779"/>
      <c r="H22" s="773"/>
      <c r="I22" s="773"/>
    </row>
    <row r="23" spans="1:13" s="780" customFormat="1">
      <c r="A23" s="3689"/>
      <c r="B23" s="3691"/>
      <c r="C23" s="776" t="s">
        <v>2856</v>
      </c>
      <c r="D23" s="777"/>
      <c r="E23" s="3225">
        <v>0.9</v>
      </c>
      <c r="F23" s="778" t="s">
        <v>2862</v>
      </c>
      <c r="G23" s="779"/>
      <c r="H23" s="773"/>
      <c r="I23" s="773"/>
    </row>
    <row r="24" spans="1:13" s="780" customFormat="1">
      <c r="A24" s="3689"/>
      <c r="B24" s="3691"/>
      <c r="C24" s="776" t="s">
        <v>2857</v>
      </c>
      <c r="D24" s="777"/>
      <c r="E24" s="3225">
        <v>0.8</v>
      </c>
      <c r="F24" s="778" t="s">
        <v>2863</v>
      </c>
      <c r="G24" s="779"/>
      <c r="H24" s="773"/>
      <c r="I24" s="773"/>
    </row>
    <row r="25" spans="1:13" s="780" customFormat="1" ht="15" thickBot="1">
      <c r="A25" s="3690"/>
      <c r="B25" s="3696"/>
      <c r="C25" s="3226" t="s">
        <v>2858</v>
      </c>
      <c r="D25" s="3227"/>
      <c r="E25" s="3228">
        <v>0.8</v>
      </c>
      <c r="F25" s="778" t="s">
        <v>2864</v>
      </c>
      <c r="G25" s="779"/>
      <c r="H25" s="773"/>
      <c r="I25" s="773"/>
    </row>
    <row r="26" spans="1:13" s="780" customFormat="1" ht="15" thickBot="1">
      <c r="A26" s="3229" t="s">
        <v>181</v>
      </c>
      <c r="B26" s="3230" t="s">
        <v>2923</v>
      </c>
      <c r="C26" s="3231" t="s">
        <v>2867</v>
      </c>
      <c r="D26" s="3232"/>
      <c r="E26" s="3233">
        <v>1</v>
      </c>
      <c r="F26" s="778" t="s">
        <v>2865</v>
      </c>
      <c r="G26" s="779"/>
      <c r="H26" s="773"/>
      <c r="I26" s="773"/>
    </row>
    <row r="27" spans="1:13" s="780" customFormat="1">
      <c r="A27" s="3692" t="s">
        <v>2866</v>
      </c>
      <c r="B27" s="3695" t="s">
        <v>2866</v>
      </c>
      <c r="C27" s="3222" t="s">
        <v>2868</v>
      </c>
      <c r="D27" s="3223"/>
      <c r="E27" s="3224">
        <v>1</v>
      </c>
      <c r="F27" s="778" t="s">
        <v>2881</v>
      </c>
      <c r="G27" s="779"/>
      <c r="H27" s="773"/>
      <c r="I27" s="773"/>
    </row>
    <row r="28" spans="1:13" s="780" customFormat="1">
      <c r="A28" s="3693"/>
      <c r="B28" s="3691"/>
      <c r="C28" s="776" t="s">
        <v>2869</v>
      </c>
      <c r="D28" s="777"/>
      <c r="E28" s="3225">
        <v>1</v>
      </c>
      <c r="F28" s="778" t="s">
        <v>2882</v>
      </c>
      <c r="G28" s="779"/>
      <c r="H28" s="773"/>
      <c r="I28" s="773"/>
    </row>
    <row r="29" spans="1:13" s="780" customFormat="1">
      <c r="A29" s="3693"/>
      <c r="B29" s="3691"/>
      <c r="C29" s="776" t="s">
        <v>2870</v>
      </c>
      <c r="D29" s="777"/>
      <c r="E29" s="3225">
        <v>0.8</v>
      </c>
      <c r="F29" s="778" t="s">
        <v>2883</v>
      </c>
      <c r="G29" s="779"/>
      <c r="H29" s="773"/>
      <c r="I29" s="773"/>
    </row>
    <row r="30" spans="1:13" s="780" customFormat="1">
      <c r="A30" s="3693"/>
      <c r="B30" s="3691"/>
      <c r="C30" s="776" t="s">
        <v>2871</v>
      </c>
      <c r="D30" s="777"/>
      <c r="E30" s="3225">
        <v>0.8</v>
      </c>
      <c r="F30" s="778" t="s">
        <v>2884</v>
      </c>
      <c r="G30" s="779"/>
      <c r="H30" s="773"/>
      <c r="I30" s="773"/>
    </row>
    <row r="31" spans="1:13" s="780" customFormat="1">
      <c r="A31" s="3693"/>
      <c r="B31" s="3691"/>
      <c r="C31" s="776" t="s">
        <v>2872</v>
      </c>
      <c r="D31" s="777"/>
      <c r="E31" s="3225">
        <v>0.8</v>
      </c>
      <c r="F31" s="778" t="s">
        <v>2885</v>
      </c>
      <c r="G31" s="779"/>
      <c r="H31" s="773"/>
      <c r="I31" s="773"/>
    </row>
    <row r="32" spans="1:13" s="780" customFormat="1">
      <c r="A32" s="3693"/>
      <c r="B32" s="3691"/>
      <c r="C32" s="776" t="s">
        <v>2873</v>
      </c>
      <c r="D32" s="777"/>
      <c r="E32" s="3225">
        <v>0.7</v>
      </c>
      <c r="F32" s="778" t="s">
        <v>2886</v>
      </c>
      <c r="G32" s="779"/>
      <c r="H32" s="773"/>
      <c r="I32" s="773"/>
    </row>
    <row r="33" spans="1:9" s="780" customFormat="1">
      <c r="A33" s="3693"/>
      <c r="B33" s="3691"/>
      <c r="C33" s="776" t="s">
        <v>2874</v>
      </c>
      <c r="D33" s="777"/>
      <c r="E33" s="3225">
        <v>0.8</v>
      </c>
      <c r="F33" s="778" t="s">
        <v>2887</v>
      </c>
      <c r="G33" s="779"/>
      <c r="H33" s="773"/>
      <c r="I33" s="773"/>
    </row>
    <row r="34" spans="1:9" s="780" customFormat="1">
      <c r="A34" s="3693"/>
      <c r="B34" s="3691"/>
      <c r="C34" s="776" t="s">
        <v>2875</v>
      </c>
      <c r="D34" s="777"/>
      <c r="E34" s="3225">
        <v>0.6</v>
      </c>
      <c r="F34" s="778" t="s">
        <v>2888</v>
      </c>
      <c r="G34" s="779"/>
      <c r="H34" s="773"/>
      <c r="I34" s="773"/>
    </row>
    <row r="35" spans="1:9" s="780" customFormat="1">
      <c r="A35" s="3693"/>
      <c r="B35" s="3691"/>
      <c r="C35" s="776" t="s">
        <v>2876</v>
      </c>
      <c r="D35" s="777"/>
      <c r="E35" s="3225">
        <v>0.2</v>
      </c>
      <c r="F35" s="778" t="s">
        <v>2889</v>
      </c>
      <c r="G35" s="779"/>
      <c r="H35" s="773"/>
      <c r="I35" s="773"/>
    </row>
    <row r="36" spans="1:9" s="780" customFormat="1">
      <c r="A36" s="3693"/>
      <c r="B36" s="3691"/>
      <c r="C36" s="776" t="s">
        <v>2877</v>
      </c>
      <c r="D36" s="777"/>
      <c r="E36" s="3225">
        <v>0.2</v>
      </c>
      <c r="F36" s="778" t="s">
        <v>2890</v>
      </c>
      <c r="G36" s="779"/>
      <c r="H36" s="773"/>
      <c r="I36" s="773"/>
    </row>
    <row r="37" spans="1:9" s="780" customFormat="1">
      <c r="A37" s="3693"/>
      <c r="B37" s="3686" t="s">
        <v>2924</v>
      </c>
      <c r="C37" s="776" t="s">
        <v>2878</v>
      </c>
      <c r="D37" s="777"/>
      <c r="E37" s="3225">
        <v>0.6</v>
      </c>
      <c r="F37" s="778" t="s">
        <v>2891</v>
      </c>
      <c r="G37" s="779"/>
      <c r="H37" s="773"/>
      <c r="I37" s="773"/>
    </row>
    <row r="38" spans="1:9" s="780" customFormat="1">
      <c r="A38" s="3693"/>
      <c r="B38" s="3691"/>
      <c r="C38" s="776" t="s">
        <v>2879</v>
      </c>
      <c r="D38" s="777"/>
      <c r="E38" s="3225">
        <v>0.6</v>
      </c>
      <c r="F38" s="778" t="s">
        <v>2892</v>
      </c>
      <c r="G38" s="779"/>
      <c r="H38" s="773"/>
      <c r="I38" s="773"/>
    </row>
    <row r="39" spans="1:9" s="780" customFormat="1" ht="15" thickBot="1">
      <c r="A39" s="3694"/>
      <c r="B39" s="3696"/>
      <c r="C39" s="3226" t="s">
        <v>2880</v>
      </c>
      <c r="D39" s="3227"/>
      <c r="E39" s="3228">
        <v>0.6</v>
      </c>
      <c r="F39" s="778" t="s">
        <v>2893</v>
      </c>
      <c r="G39" s="779"/>
      <c r="H39" s="773"/>
      <c r="I39" s="773"/>
    </row>
    <row r="40" spans="1:9" s="780" customFormat="1" ht="15" thickBot="1">
      <c r="A40" s="3229" t="s">
        <v>539</v>
      </c>
      <c r="B40" s="3230" t="s">
        <v>2925</v>
      </c>
      <c r="C40" s="3231" t="s">
        <v>2894</v>
      </c>
      <c r="D40" s="3232"/>
      <c r="E40" s="3233">
        <v>1</v>
      </c>
      <c r="F40" s="778" t="s">
        <v>2895</v>
      </c>
      <c r="G40" s="779"/>
      <c r="H40" s="773"/>
      <c r="I40" s="773"/>
    </row>
    <row r="41" spans="1:9" s="780" customFormat="1">
      <c r="A41" s="3688" t="s">
        <v>182</v>
      </c>
      <c r="B41" s="3695" t="s">
        <v>2920</v>
      </c>
      <c r="C41" s="3222" t="s">
        <v>2896</v>
      </c>
      <c r="D41" s="3223"/>
      <c r="E41" s="3224">
        <v>1</v>
      </c>
      <c r="F41" s="778" t="s">
        <v>2908</v>
      </c>
      <c r="G41" s="779"/>
      <c r="H41" s="773"/>
      <c r="I41" s="773"/>
    </row>
    <row r="42" spans="1:9" s="780" customFormat="1">
      <c r="A42" s="3689"/>
      <c r="B42" s="3691"/>
      <c r="C42" s="776" t="s">
        <v>2897</v>
      </c>
      <c r="D42" s="777"/>
      <c r="E42" s="3225">
        <v>1</v>
      </c>
      <c r="F42" s="778" t="s">
        <v>2909</v>
      </c>
      <c r="G42" s="779"/>
      <c r="H42" s="773"/>
      <c r="I42" s="773"/>
    </row>
    <row r="43" spans="1:9" s="780" customFormat="1">
      <c r="A43" s="3689"/>
      <c r="B43" s="3687"/>
      <c r="C43" s="776" t="s">
        <v>2898</v>
      </c>
      <c r="D43" s="777"/>
      <c r="E43" s="3225">
        <v>1.5</v>
      </c>
      <c r="F43" s="778" t="s">
        <v>2910</v>
      </c>
      <c r="G43" s="779"/>
      <c r="H43" s="773"/>
      <c r="I43" s="773"/>
    </row>
    <row r="44" spans="1:9" s="780" customFormat="1">
      <c r="A44" s="3689"/>
      <c r="B44" s="3176" t="s">
        <v>2921</v>
      </c>
      <c r="C44" s="776" t="s">
        <v>2919</v>
      </c>
      <c r="D44" s="777"/>
      <c r="E44" s="3225">
        <v>2</v>
      </c>
      <c r="F44" s="778" t="s">
        <v>2911</v>
      </c>
      <c r="G44" s="779"/>
      <c r="H44" s="773"/>
      <c r="I44" s="773"/>
    </row>
    <row r="45" spans="1:9" s="780" customFormat="1">
      <c r="A45" s="3689"/>
      <c r="B45" s="3686" t="s">
        <v>2922</v>
      </c>
      <c r="C45" s="776" t="s">
        <v>2899</v>
      </c>
      <c r="D45" s="777"/>
      <c r="E45" s="3225">
        <v>1</v>
      </c>
      <c r="F45" s="778" t="s">
        <v>2912</v>
      </c>
      <c r="G45" s="779"/>
      <c r="H45" s="773"/>
      <c r="I45" s="773"/>
    </row>
    <row r="46" spans="1:9" s="780" customFormat="1">
      <c r="A46" s="3689"/>
      <c r="B46" s="3691"/>
      <c r="C46" s="776" t="s">
        <v>2900</v>
      </c>
      <c r="D46" s="777"/>
      <c r="E46" s="3225">
        <v>1</v>
      </c>
      <c r="F46" s="778" t="s">
        <v>2913</v>
      </c>
      <c r="G46" s="779"/>
      <c r="H46" s="773"/>
      <c r="I46" s="773"/>
    </row>
    <row r="47" spans="1:9" s="780" customFormat="1">
      <c r="A47" s="3689"/>
      <c r="B47" s="3691"/>
      <c r="C47" s="776" t="s">
        <v>2901</v>
      </c>
      <c r="D47" s="777"/>
      <c r="E47" s="3225">
        <v>1</v>
      </c>
      <c r="F47" s="778" t="s">
        <v>2914</v>
      </c>
      <c r="G47" s="779"/>
      <c r="H47" s="773"/>
      <c r="I47" s="773"/>
    </row>
    <row r="48" spans="1:9" s="780" customFormat="1">
      <c r="A48" s="3689"/>
      <c r="B48" s="3691"/>
      <c r="C48" s="776" t="s">
        <v>2902</v>
      </c>
      <c r="D48" s="777"/>
      <c r="E48" s="3225">
        <v>1</v>
      </c>
      <c r="F48" s="778" t="s">
        <v>2915</v>
      </c>
      <c r="G48" s="779"/>
      <c r="H48" s="773"/>
      <c r="I48" s="773"/>
    </row>
    <row r="49" spans="1:9" s="780" customFormat="1">
      <c r="A49" s="3689"/>
      <c r="B49" s="3691"/>
      <c r="C49" s="776" t="s">
        <v>2903</v>
      </c>
      <c r="D49" s="777"/>
      <c r="E49" s="3225">
        <v>1</v>
      </c>
      <c r="F49" s="778" t="s">
        <v>2916</v>
      </c>
      <c r="G49" s="779"/>
      <c r="H49" s="773"/>
      <c r="I49" s="773"/>
    </row>
    <row r="50" spans="1:9" s="780" customFormat="1">
      <c r="A50" s="3689"/>
      <c r="B50" s="3691"/>
      <c r="C50" s="776" t="s">
        <v>2904</v>
      </c>
      <c r="D50" s="777"/>
      <c r="E50" s="3225">
        <v>1</v>
      </c>
      <c r="F50" s="778" t="s">
        <v>2917</v>
      </c>
      <c r="G50" s="779"/>
      <c r="H50" s="773"/>
      <c r="I50" s="773"/>
    </row>
    <row r="51" spans="1:9" s="780" customFormat="1" ht="15" thickBot="1">
      <c r="A51" s="3690"/>
      <c r="B51" s="3696"/>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6" t="s">
        <v>483</v>
      </c>
      <c r="C73" s="749" t="s">
        <v>484</v>
      </c>
      <c r="D73" s="749" t="s">
        <v>485</v>
      </c>
      <c r="E73" s="786">
        <v>0.2</v>
      </c>
      <c r="F73" s="2910">
        <v>25</v>
      </c>
      <c r="L73" s="747"/>
      <c r="M73" s="747"/>
      <c r="N73" s="747"/>
      <c r="O73" s="747"/>
    </row>
    <row r="74" spans="1:15" s="773" customFormat="1" ht="24">
      <c r="A74" s="2910">
        <v>2</v>
      </c>
      <c r="B74" s="3691"/>
      <c r="C74" s="749" t="s">
        <v>2749</v>
      </c>
      <c r="D74" s="749" t="s">
        <v>2750</v>
      </c>
      <c r="E74" s="786">
        <v>0.2</v>
      </c>
      <c r="F74" s="2910">
        <v>25</v>
      </c>
      <c r="L74" s="747"/>
      <c r="M74" s="747"/>
      <c r="N74" s="747"/>
      <c r="O74" s="747"/>
    </row>
    <row r="75" spans="1:15" s="773" customFormat="1" ht="24">
      <c r="A75" s="2910">
        <v>3</v>
      </c>
      <c r="B75" s="3691"/>
      <c r="C75" s="749" t="s">
        <v>2751</v>
      </c>
      <c r="D75" s="749" t="s">
        <v>2752</v>
      </c>
      <c r="E75" s="786">
        <v>0.2</v>
      </c>
      <c r="F75" s="2910">
        <v>25</v>
      </c>
      <c r="L75" s="747"/>
      <c r="M75" s="747"/>
      <c r="N75" s="747"/>
      <c r="O75" s="747"/>
    </row>
    <row r="76" spans="1:15" s="773" customFormat="1">
      <c r="A76" s="2910">
        <v>4</v>
      </c>
      <c r="B76" s="3691"/>
      <c r="C76" s="749" t="s">
        <v>2753</v>
      </c>
      <c r="D76" s="749" t="s">
        <v>2754</v>
      </c>
      <c r="E76" s="786">
        <v>0.15</v>
      </c>
      <c r="F76" s="2910">
        <v>20</v>
      </c>
      <c r="L76" s="747"/>
      <c r="M76" s="747"/>
      <c r="N76" s="747"/>
      <c r="O76" s="747"/>
    </row>
    <row r="77" spans="1:15" s="773" customFormat="1" ht="24">
      <c r="A77" s="2910">
        <v>5</v>
      </c>
      <c r="B77" s="3691"/>
      <c r="C77" s="749" t="s">
        <v>2755</v>
      </c>
      <c r="D77" s="749" t="s">
        <v>2756</v>
      </c>
      <c r="E77" s="786">
        <v>0.15</v>
      </c>
      <c r="F77" s="2910">
        <v>20</v>
      </c>
      <c r="L77" s="747"/>
      <c r="M77" s="747"/>
      <c r="N77" s="747"/>
      <c r="O77" s="747"/>
    </row>
    <row r="78" spans="1:15" s="773" customFormat="1" ht="24">
      <c r="A78" s="2910">
        <v>6</v>
      </c>
      <c r="B78" s="3691"/>
      <c r="C78" s="749" t="s">
        <v>2757</v>
      </c>
      <c r="D78" s="749" t="s">
        <v>2758</v>
      </c>
      <c r="E78" s="786">
        <v>0.15</v>
      </c>
      <c r="F78" s="2910">
        <v>20</v>
      </c>
      <c r="L78" s="747"/>
      <c r="M78" s="747"/>
      <c r="N78" s="747"/>
      <c r="O78" s="747"/>
    </row>
    <row r="79" spans="1:15" s="773" customFormat="1" ht="24">
      <c r="A79" s="2910">
        <v>7</v>
      </c>
      <c r="B79" s="3691"/>
      <c r="C79" s="749" t="s">
        <v>2759</v>
      </c>
      <c r="D79" s="749" t="s">
        <v>2760</v>
      </c>
      <c r="E79" s="786">
        <v>0.15</v>
      </c>
      <c r="F79" s="2910">
        <v>20</v>
      </c>
      <c r="L79" s="747"/>
      <c r="M79" s="747"/>
      <c r="N79" s="747"/>
      <c r="O79" s="747"/>
    </row>
    <row r="80" spans="1:15" s="773" customFormat="1" ht="24">
      <c r="A80" s="2910">
        <v>8</v>
      </c>
      <c r="B80" s="3691"/>
      <c r="C80" s="749" t="s">
        <v>2761</v>
      </c>
      <c r="D80" s="749" t="s">
        <v>2762</v>
      </c>
      <c r="E80" s="786">
        <v>0.1</v>
      </c>
      <c r="F80" s="2910">
        <v>15</v>
      </c>
      <c r="L80" s="747"/>
      <c r="M80" s="747"/>
      <c r="N80" s="747"/>
      <c r="O80" s="747"/>
    </row>
    <row r="81" spans="1:15" s="773" customFormat="1" ht="24">
      <c r="A81" s="2910">
        <v>9</v>
      </c>
      <c r="B81" s="3691"/>
      <c r="C81" s="749" t="s">
        <v>2763</v>
      </c>
      <c r="D81" s="749" t="s">
        <v>2764</v>
      </c>
      <c r="E81" s="786">
        <v>0.1</v>
      </c>
      <c r="F81" s="2910">
        <v>15</v>
      </c>
      <c r="L81" s="747"/>
      <c r="M81" s="747"/>
      <c r="N81" s="747"/>
      <c r="O81" s="747"/>
    </row>
    <row r="82" spans="1:15" s="773" customFormat="1" ht="24">
      <c r="A82" s="2910">
        <v>10</v>
      </c>
      <c r="B82" s="3691"/>
      <c r="C82" s="749" t="s">
        <v>2765</v>
      </c>
      <c r="D82" s="749" t="s">
        <v>2766</v>
      </c>
      <c r="E82" s="786">
        <v>0.1</v>
      </c>
      <c r="F82" s="2910">
        <v>15</v>
      </c>
      <c r="L82" s="747"/>
      <c r="M82" s="747"/>
      <c r="N82" s="747"/>
      <c r="O82" s="747"/>
    </row>
    <row r="83" spans="1:15" s="773" customFormat="1" ht="24">
      <c r="A83" s="2910">
        <v>11</v>
      </c>
      <c r="B83" s="3691"/>
      <c r="C83" s="749" t="s">
        <v>2767</v>
      </c>
      <c r="D83" s="749" t="s">
        <v>2768</v>
      </c>
      <c r="E83" s="786">
        <v>0.1</v>
      </c>
      <c r="F83" s="2910">
        <v>15</v>
      </c>
      <c r="L83" s="747"/>
      <c r="M83" s="747"/>
      <c r="N83" s="747"/>
      <c r="O83" s="747"/>
    </row>
    <row r="84" spans="1:15" s="773" customFormat="1" ht="24">
      <c r="A84" s="2910">
        <v>12</v>
      </c>
      <c r="B84" s="3691"/>
      <c r="C84" s="749" t="s">
        <v>2769</v>
      </c>
      <c r="D84" s="749" t="s">
        <v>2770</v>
      </c>
      <c r="E84" s="786">
        <v>0.1</v>
      </c>
      <c r="F84" s="2910">
        <v>15</v>
      </c>
      <c r="L84" s="747"/>
      <c r="M84" s="747"/>
      <c r="N84" s="747"/>
      <c r="O84" s="747"/>
    </row>
    <row r="85" spans="1:15" s="773" customFormat="1" ht="24">
      <c r="A85" s="2910">
        <v>13</v>
      </c>
      <c r="B85" s="3691"/>
      <c r="C85" s="749" t="s">
        <v>2771</v>
      </c>
      <c r="D85" s="749" t="s">
        <v>2772</v>
      </c>
      <c r="E85" s="786">
        <v>0.1</v>
      </c>
      <c r="F85" s="2910">
        <v>15</v>
      </c>
      <c r="L85" s="747"/>
      <c r="M85" s="747"/>
      <c r="N85" s="747"/>
      <c r="O85" s="747"/>
    </row>
    <row r="86" spans="1:15" s="773" customFormat="1" ht="24">
      <c r="A86" s="2910">
        <v>14</v>
      </c>
      <c r="B86" s="3691"/>
      <c r="C86" s="749" t="s">
        <v>2773</v>
      </c>
      <c r="D86" s="749" t="s">
        <v>2774</v>
      </c>
      <c r="E86" s="786">
        <v>0.1</v>
      </c>
      <c r="F86" s="2910">
        <v>15</v>
      </c>
      <c r="L86" s="747"/>
      <c r="M86" s="747"/>
      <c r="N86" s="747"/>
      <c r="O86" s="747"/>
    </row>
    <row r="87" spans="1:15" s="773" customFormat="1" ht="24">
      <c r="A87" s="2910">
        <v>15</v>
      </c>
      <c r="B87" s="3691"/>
      <c r="C87" s="749" t="s">
        <v>2775</v>
      </c>
      <c r="D87" s="749" t="s">
        <v>2776</v>
      </c>
      <c r="E87" s="786">
        <v>0.1</v>
      </c>
      <c r="F87" s="2910">
        <v>15</v>
      </c>
      <c r="L87" s="747"/>
      <c r="M87" s="747"/>
      <c r="N87" s="747"/>
      <c r="O87" s="747"/>
    </row>
    <row r="88" spans="1:15" s="773" customFormat="1" ht="24">
      <c r="A88" s="2910">
        <v>16</v>
      </c>
      <c r="B88" s="3691"/>
      <c r="C88" s="749" t="s">
        <v>2777</v>
      </c>
      <c r="D88" s="749" t="s">
        <v>2778</v>
      </c>
      <c r="E88" s="786">
        <v>0.1</v>
      </c>
      <c r="F88" s="2910">
        <v>15</v>
      </c>
      <c r="L88" s="747"/>
      <c r="M88" s="747"/>
      <c r="N88" s="747"/>
      <c r="O88" s="747"/>
    </row>
    <row r="89" spans="1:15" s="773" customFormat="1" ht="24">
      <c r="A89" s="2910">
        <v>17</v>
      </c>
      <c r="B89" s="3687"/>
      <c r="C89" s="749" t="s">
        <v>2779</v>
      </c>
      <c r="D89" s="749" t="s">
        <v>2780</v>
      </c>
      <c r="E89" s="786">
        <v>0.1</v>
      </c>
      <c r="F89" s="2910">
        <v>15</v>
      </c>
      <c r="L89" s="747"/>
      <c r="M89" s="747"/>
      <c r="N89" s="747"/>
      <c r="O89" s="747"/>
    </row>
    <row r="90" spans="1:15" s="773" customFormat="1">
      <c r="A90" s="2910">
        <v>18</v>
      </c>
      <c r="B90" s="3686" t="s">
        <v>486</v>
      </c>
      <c r="C90" s="749" t="s">
        <v>487</v>
      </c>
      <c r="D90" s="749" t="s">
        <v>488</v>
      </c>
      <c r="E90" s="786">
        <v>0.2</v>
      </c>
      <c r="F90" s="2910">
        <v>25</v>
      </c>
      <c r="L90" s="747"/>
      <c r="M90" s="747"/>
    </row>
    <row r="91" spans="1:15" s="773" customFormat="1" ht="24">
      <c r="A91" s="2910">
        <v>19</v>
      </c>
      <c r="B91" s="3691"/>
      <c r="C91" s="749" t="s">
        <v>2781</v>
      </c>
      <c r="D91" s="749" t="s">
        <v>491</v>
      </c>
      <c r="E91" s="786">
        <v>0.2</v>
      </c>
      <c r="F91" s="2910">
        <v>25</v>
      </c>
      <c r="L91" s="747"/>
      <c r="M91" s="747"/>
    </row>
    <row r="92" spans="1:15" s="773" customFormat="1">
      <c r="A92" s="2910">
        <v>20</v>
      </c>
      <c r="B92" s="3691"/>
      <c r="C92" s="749" t="s">
        <v>489</v>
      </c>
      <c r="D92" s="749" t="s">
        <v>490</v>
      </c>
      <c r="E92" s="786">
        <v>0.15</v>
      </c>
      <c r="F92" s="2910">
        <v>20</v>
      </c>
      <c r="L92" s="747"/>
      <c r="M92" s="747"/>
    </row>
    <row r="93" spans="1:15" s="773" customFormat="1" ht="24">
      <c r="A93" s="2910">
        <v>21</v>
      </c>
      <c r="B93" s="3691"/>
      <c r="C93" s="749" t="s">
        <v>2782</v>
      </c>
      <c r="D93" s="749" t="s">
        <v>492</v>
      </c>
      <c r="E93" s="786">
        <v>0.15</v>
      </c>
      <c r="F93" s="2910">
        <v>20</v>
      </c>
      <c r="L93" s="747"/>
      <c r="M93" s="747"/>
    </row>
    <row r="94" spans="1:15" s="773" customFormat="1" ht="24">
      <c r="A94" s="2910">
        <v>22</v>
      </c>
      <c r="B94" s="3691"/>
      <c r="C94" s="749" t="s">
        <v>2784</v>
      </c>
      <c r="D94" s="749" t="s">
        <v>2785</v>
      </c>
      <c r="E94" s="786">
        <v>0.15</v>
      </c>
      <c r="F94" s="2910">
        <v>20</v>
      </c>
      <c r="L94" s="747"/>
      <c r="M94" s="747"/>
    </row>
    <row r="95" spans="1:15" s="773" customFormat="1" ht="36">
      <c r="A95" s="2910">
        <v>23</v>
      </c>
      <c r="B95" s="3691"/>
      <c r="C95" s="749" t="s">
        <v>2786</v>
      </c>
      <c r="D95" s="749" t="s">
        <v>2787</v>
      </c>
      <c r="E95" s="786">
        <v>0.15</v>
      </c>
      <c r="F95" s="2910">
        <v>20</v>
      </c>
      <c r="L95" s="747"/>
      <c r="M95" s="747"/>
    </row>
    <row r="96" spans="1:15" s="773" customFormat="1" ht="24">
      <c r="A96" s="2910">
        <v>24</v>
      </c>
      <c r="B96" s="3691"/>
      <c r="C96" s="749" t="s">
        <v>2788</v>
      </c>
      <c r="D96" s="749" t="s">
        <v>2789</v>
      </c>
      <c r="E96" s="786">
        <v>0.1</v>
      </c>
      <c r="F96" s="2910">
        <v>15</v>
      </c>
      <c r="L96" s="747"/>
      <c r="M96" s="747"/>
    </row>
    <row r="97" spans="1:13" s="773" customFormat="1" ht="24">
      <c r="A97" s="2910">
        <v>25</v>
      </c>
      <c r="B97" s="3691"/>
      <c r="C97" s="749" t="s">
        <v>2783</v>
      </c>
      <c r="D97" s="749" t="s">
        <v>2790</v>
      </c>
      <c r="E97" s="786">
        <v>0.1</v>
      </c>
      <c r="F97" s="2910">
        <v>15</v>
      </c>
      <c r="L97" s="747"/>
      <c r="M97" s="747"/>
    </row>
    <row r="98" spans="1:13" s="773" customFormat="1" ht="24">
      <c r="A98" s="2910">
        <v>26</v>
      </c>
      <c r="B98" s="3691"/>
      <c r="C98" s="749" t="s">
        <v>2791</v>
      </c>
      <c r="D98" s="749" t="s">
        <v>2792</v>
      </c>
      <c r="E98" s="786">
        <v>0.1</v>
      </c>
      <c r="F98" s="2910">
        <v>15</v>
      </c>
      <c r="L98" s="747"/>
      <c r="M98" s="747"/>
    </row>
    <row r="99" spans="1:13" s="773" customFormat="1" ht="24">
      <c r="A99" s="2910">
        <v>27</v>
      </c>
      <c r="B99" s="3691"/>
      <c r="C99" s="749" t="s">
        <v>2793</v>
      </c>
      <c r="D99" s="749" t="s">
        <v>2794</v>
      </c>
      <c r="E99" s="786">
        <v>0.1</v>
      </c>
      <c r="F99" s="2910">
        <v>15</v>
      </c>
      <c r="L99" s="747"/>
      <c r="M99" s="747"/>
    </row>
    <row r="100" spans="1:13" s="773" customFormat="1" ht="24">
      <c r="A100" s="2910">
        <v>28</v>
      </c>
      <c r="B100" s="3691"/>
      <c r="C100" s="749" t="s">
        <v>2795</v>
      </c>
      <c r="D100" s="749" t="s">
        <v>2796</v>
      </c>
      <c r="E100" s="786">
        <v>0.1</v>
      </c>
      <c r="F100" s="2910">
        <v>15</v>
      </c>
      <c r="L100" s="747"/>
      <c r="M100" s="747"/>
    </row>
    <row r="101" spans="1:13" s="773" customFormat="1" ht="24">
      <c r="A101" s="2910">
        <v>29</v>
      </c>
      <c r="B101" s="3691"/>
      <c r="C101" s="749" t="s">
        <v>2797</v>
      </c>
      <c r="D101" s="749" t="s">
        <v>2798</v>
      </c>
      <c r="E101" s="786">
        <v>0.1</v>
      </c>
      <c r="F101" s="2910">
        <v>15</v>
      </c>
      <c r="L101" s="747"/>
      <c r="M101" s="747"/>
    </row>
    <row r="102" spans="1:13" s="773" customFormat="1" ht="24">
      <c r="A102" s="2910">
        <v>30</v>
      </c>
      <c r="B102" s="3691"/>
      <c r="C102" s="749" t="s">
        <v>2799</v>
      </c>
      <c r="D102" s="749" t="s">
        <v>2800</v>
      </c>
      <c r="E102" s="786">
        <v>0.1</v>
      </c>
      <c r="F102" s="2910">
        <v>15</v>
      </c>
      <c r="L102" s="747"/>
      <c r="M102" s="747"/>
    </row>
    <row r="103" spans="1:13" s="773" customFormat="1" ht="24">
      <c r="A103" s="2910">
        <v>31</v>
      </c>
      <c r="B103" s="3691"/>
      <c r="C103" s="749" t="s">
        <v>2801</v>
      </c>
      <c r="D103" s="749" t="s">
        <v>2802</v>
      </c>
      <c r="E103" s="786">
        <v>0.1</v>
      </c>
      <c r="F103" s="2910">
        <v>15</v>
      </c>
      <c r="L103" s="747"/>
      <c r="M103" s="747"/>
    </row>
    <row r="104" spans="1:13" s="773" customFormat="1" ht="24">
      <c r="A104" s="2910">
        <v>32</v>
      </c>
      <c r="B104" s="3691"/>
      <c r="C104" s="749" t="s">
        <v>2803</v>
      </c>
      <c r="D104" s="749" t="s">
        <v>2804</v>
      </c>
      <c r="E104" s="786">
        <v>0.1</v>
      </c>
      <c r="F104" s="2910">
        <v>15</v>
      </c>
      <c r="L104" s="747"/>
      <c r="M104" s="747"/>
    </row>
    <row r="105" spans="1:13" s="773" customFormat="1" ht="24">
      <c r="A105" s="2910">
        <v>33</v>
      </c>
      <c r="B105" s="3691"/>
      <c r="C105" s="749" t="s">
        <v>2805</v>
      </c>
      <c r="D105" s="749" t="s">
        <v>2806</v>
      </c>
      <c r="E105" s="786">
        <v>0.1</v>
      </c>
      <c r="F105" s="2910">
        <v>15</v>
      </c>
      <c r="L105" s="747"/>
      <c r="M105" s="747"/>
    </row>
    <row r="106" spans="1:13" s="773" customFormat="1" ht="24">
      <c r="A106" s="2910">
        <v>34</v>
      </c>
      <c r="B106" s="3687"/>
      <c r="C106" s="749" t="s">
        <v>2807</v>
      </c>
      <c r="D106" s="749" t="s">
        <v>2808</v>
      </c>
      <c r="E106" s="786">
        <v>0.1</v>
      </c>
      <c r="F106" s="2910">
        <v>15</v>
      </c>
      <c r="L106" s="747"/>
      <c r="M106" s="747"/>
    </row>
    <row r="107" spans="1:13" s="773" customFormat="1" ht="36">
      <c r="A107" s="2910">
        <v>35</v>
      </c>
      <c r="B107" s="3686" t="s">
        <v>493</v>
      </c>
      <c r="C107" s="2910" t="s">
        <v>494</v>
      </c>
      <c r="D107" s="749" t="s">
        <v>2809</v>
      </c>
      <c r="E107" s="786">
        <v>0.15</v>
      </c>
      <c r="F107" s="2910">
        <v>20</v>
      </c>
      <c r="L107" s="747"/>
      <c r="M107" s="747"/>
    </row>
    <row r="108" spans="1:13" s="773" customFormat="1" ht="24">
      <c r="A108" s="2910">
        <v>36</v>
      </c>
      <c r="B108" s="3691"/>
      <c r="C108" s="2910" t="s">
        <v>2811</v>
      </c>
      <c r="D108" s="749" t="s">
        <v>2812</v>
      </c>
      <c r="E108" s="786">
        <v>0.15</v>
      </c>
      <c r="F108" s="2910">
        <v>20</v>
      </c>
      <c r="L108" s="747"/>
      <c r="M108" s="747"/>
    </row>
    <row r="109" spans="1:13" s="773" customFormat="1" ht="24">
      <c r="A109" s="2910">
        <v>37</v>
      </c>
      <c r="B109" s="3691"/>
      <c r="C109" s="2910" t="s">
        <v>2810</v>
      </c>
      <c r="D109" s="749" t="s">
        <v>2817</v>
      </c>
      <c r="E109" s="786">
        <v>0.15</v>
      </c>
      <c r="F109" s="2910">
        <v>20</v>
      </c>
      <c r="L109" s="747"/>
      <c r="M109" s="747"/>
    </row>
    <row r="110" spans="1:13" s="773" customFormat="1" ht="24">
      <c r="A110" s="2910">
        <v>38</v>
      </c>
      <c r="B110" s="3691"/>
      <c r="C110" s="2910" t="s">
        <v>2813</v>
      </c>
      <c r="D110" s="749" t="s">
        <v>2818</v>
      </c>
      <c r="E110" s="786">
        <v>0.1</v>
      </c>
      <c r="F110" s="2910">
        <v>15</v>
      </c>
      <c r="L110" s="747"/>
      <c r="M110" s="747"/>
    </row>
    <row r="111" spans="1:13" s="773" customFormat="1" ht="24">
      <c r="A111" s="2910">
        <v>39</v>
      </c>
      <c r="B111" s="3691"/>
      <c r="C111" s="2910" t="s">
        <v>2814</v>
      </c>
      <c r="D111" s="749" t="s">
        <v>2815</v>
      </c>
      <c r="E111" s="786">
        <v>0.1</v>
      </c>
      <c r="F111" s="2910">
        <v>15</v>
      </c>
      <c r="L111" s="747"/>
      <c r="M111" s="747"/>
    </row>
    <row r="112" spans="1:13" s="773" customFormat="1" ht="24">
      <c r="A112" s="2910">
        <v>40</v>
      </c>
      <c r="B112" s="3687"/>
      <c r="C112" s="2910" t="s">
        <v>2816</v>
      </c>
      <c r="D112" s="749" t="s">
        <v>2819</v>
      </c>
      <c r="E112" s="786">
        <v>0.1</v>
      </c>
      <c r="F112" s="2910">
        <v>15</v>
      </c>
      <c r="L112" s="747"/>
      <c r="M112" s="747"/>
    </row>
    <row r="113" spans="1:6" s="773" customFormat="1" ht="24">
      <c r="A113" s="2910">
        <v>41</v>
      </c>
      <c r="B113" s="3685" t="s">
        <v>495</v>
      </c>
      <c r="C113" s="2910" t="s">
        <v>496</v>
      </c>
      <c r="D113" s="749" t="s">
        <v>497</v>
      </c>
      <c r="E113" s="786">
        <v>0.1</v>
      </c>
      <c r="F113" s="2910">
        <v>15</v>
      </c>
    </row>
    <row r="114" spans="1:6" s="773" customFormat="1" ht="24">
      <c r="A114" s="2910">
        <v>42</v>
      </c>
      <c r="B114" s="3685"/>
      <c r="C114" s="2910" t="s">
        <v>498</v>
      </c>
      <c r="D114" s="749" t="s">
        <v>499</v>
      </c>
      <c r="E114" s="786">
        <v>0.1</v>
      </c>
      <c r="F114" s="2910">
        <v>15</v>
      </c>
    </row>
    <row r="115" spans="1:6" s="773" customFormat="1" ht="24">
      <c r="A115" s="2910">
        <v>43</v>
      </c>
      <c r="B115" s="3685"/>
      <c r="C115" s="2910" t="s">
        <v>2820</v>
      </c>
      <c r="D115" s="749" t="s">
        <v>2821</v>
      </c>
      <c r="E115" s="786">
        <v>0.1</v>
      </c>
      <c r="F115" s="2910">
        <v>15</v>
      </c>
    </row>
    <row r="116" spans="1:6" s="773" customFormat="1" ht="24">
      <c r="A116" s="2910">
        <v>44</v>
      </c>
      <c r="B116" s="3686" t="s">
        <v>500</v>
      </c>
      <c r="C116" s="2910" t="s">
        <v>2822</v>
      </c>
      <c r="D116" s="749" t="s">
        <v>2823</v>
      </c>
      <c r="E116" s="786">
        <v>0.1</v>
      </c>
      <c r="F116" s="2910">
        <v>15</v>
      </c>
    </row>
    <row r="117" spans="1:6" s="773" customFormat="1" ht="24">
      <c r="A117" s="2910">
        <v>45</v>
      </c>
      <c r="B117" s="3687"/>
      <c r="C117" s="749" t="s">
        <v>2824</v>
      </c>
      <c r="D117" s="749" t="s">
        <v>2825</v>
      </c>
      <c r="E117" s="786">
        <v>0.1</v>
      </c>
      <c r="F117" s="2910">
        <v>15</v>
      </c>
    </row>
    <row r="118" spans="1:6" s="773" customFormat="1" ht="24">
      <c r="A118" s="2910">
        <v>46</v>
      </c>
      <c r="B118" s="3686" t="s">
        <v>501</v>
      </c>
      <c r="C118" s="2910" t="s">
        <v>2828</v>
      </c>
      <c r="D118" s="749" t="s">
        <v>2826</v>
      </c>
      <c r="E118" s="786">
        <v>0.1</v>
      </c>
      <c r="F118" s="2910">
        <v>15</v>
      </c>
    </row>
    <row r="119" spans="1:6" s="773" customFormat="1" ht="24">
      <c r="A119" s="2910">
        <v>47</v>
      </c>
      <c r="B119" s="3687"/>
      <c r="C119" s="2910" t="s">
        <v>2827</v>
      </c>
      <c r="D119" s="749" t="s">
        <v>2829</v>
      </c>
      <c r="E119" s="786">
        <v>0.1</v>
      </c>
      <c r="F119" s="2910">
        <v>15</v>
      </c>
    </row>
    <row r="120" spans="1:6" s="773" customFormat="1" ht="24">
      <c r="A120" s="2910">
        <v>48</v>
      </c>
      <c r="B120" s="3686" t="s">
        <v>502</v>
      </c>
      <c r="C120" s="2910" t="s">
        <v>503</v>
      </c>
      <c r="D120" s="749" t="s">
        <v>504</v>
      </c>
      <c r="E120" s="786">
        <v>0.1</v>
      </c>
      <c r="F120" s="2910">
        <v>15</v>
      </c>
    </row>
    <row r="121" spans="1:6" s="773" customFormat="1" ht="24">
      <c r="A121" s="2910">
        <v>49</v>
      </c>
      <c r="B121" s="3687"/>
      <c r="C121" s="2910" t="s">
        <v>2830</v>
      </c>
      <c r="D121" s="749" t="s">
        <v>2831</v>
      </c>
      <c r="E121" s="786">
        <v>0.1</v>
      </c>
      <c r="F121" s="2910">
        <v>15</v>
      </c>
    </row>
    <row r="122" spans="1:6" s="773" customFormat="1" ht="24">
      <c r="A122" s="2910">
        <v>50</v>
      </c>
      <c r="B122" s="3685" t="s">
        <v>505</v>
      </c>
      <c r="C122" s="2910" t="s">
        <v>506</v>
      </c>
      <c r="D122" s="749" t="s">
        <v>507</v>
      </c>
      <c r="E122" s="786">
        <v>0.1</v>
      </c>
      <c r="F122" s="2910">
        <v>15</v>
      </c>
    </row>
    <row r="123" spans="1:6" s="773" customFormat="1" ht="24">
      <c r="A123" s="2910">
        <v>51</v>
      </c>
      <c r="B123" s="3685"/>
      <c r="C123" s="2910" t="s">
        <v>508</v>
      </c>
      <c r="D123" s="749" t="s">
        <v>509</v>
      </c>
      <c r="E123" s="786">
        <v>0.1</v>
      </c>
      <c r="F123" s="2910">
        <v>15</v>
      </c>
    </row>
    <row r="124" spans="1:6" s="773" customFormat="1" ht="24">
      <c r="A124" s="2910">
        <v>52</v>
      </c>
      <c r="B124" s="3685" t="s">
        <v>510</v>
      </c>
      <c r="C124" s="2910" t="s">
        <v>511</v>
      </c>
      <c r="D124" s="749" t="s">
        <v>2832</v>
      </c>
      <c r="E124" s="786">
        <v>0.1</v>
      </c>
      <c r="F124" s="2910">
        <v>15</v>
      </c>
    </row>
    <row r="125" spans="1:6" s="773" customFormat="1" ht="24">
      <c r="A125" s="2910">
        <v>53</v>
      </c>
      <c r="B125" s="3685"/>
      <c r="C125" s="2910" t="s">
        <v>512</v>
      </c>
      <c r="D125" s="749" t="s">
        <v>513</v>
      </c>
      <c r="E125" s="786">
        <v>0.1</v>
      </c>
      <c r="F125" s="2910">
        <v>15</v>
      </c>
    </row>
    <row r="126" spans="1:6" s="773" customFormat="1" ht="24">
      <c r="A126" s="2910">
        <v>54</v>
      </c>
      <c r="B126" s="2910" t="s">
        <v>514</v>
      </c>
      <c r="C126" s="2910" t="s">
        <v>515</v>
      </c>
      <c r="D126" s="749" t="s">
        <v>516</v>
      </c>
      <c r="E126" s="786">
        <v>0.1</v>
      </c>
      <c r="F126" s="2910">
        <v>15</v>
      </c>
    </row>
    <row r="127" spans="1:6" s="773" customFormat="1" ht="24">
      <c r="A127" s="2910">
        <v>55</v>
      </c>
      <c r="B127" s="3685" t="s">
        <v>518</v>
      </c>
      <c r="C127" s="2910" t="s">
        <v>521</v>
      </c>
      <c r="D127" s="749" t="s">
        <v>522</v>
      </c>
      <c r="E127" s="786">
        <v>0.1</v>
      </c>
      <c r="F127" s="2910">
        <v>15</v>
      </c>
    </row>
    <row r="128" spans="1:6" s="773" customFormat="1" ht="24">
      <c r="A128" s="2910">
        <v>56</v>
      </c>
      <c r="B128" s="3685"/>
      <c r="C128" s="2910" t="s">
        <v>523</v>
      </c>
      <c r="D128" s="749" t="s">
        <v>524</v>
      </c>
      <c r="E128" s="786">
        <v>0.1</v>
      </c>
      <c r="F128" s="2910">
        <v>15</v>
      </c>
    </row>
    <row r="129" spans="1:6" s="773" customFormat="1" ht="24">
      <c r="A129" s="2910">
        <v>57</v>
      </c>
      <c r="B129" s="3685"/>
      <c r="C129" s="2910" t="s">
        <v>519</v>
      </c>
      <c r="D129" s="749" t="s">
        <v>520</v>
      </c>
      <c r="E129" s="786">
        <v>0.1</v>
      </c>
      <c r="F129" s="2910">
        <v>15</v>
      </c>
    </row>
    <row r="130" spans="1:6" s="773" customFormat="1" ht="24">
      <c r="A130" s="2910">
        <v>58</v>
      </c>
      <c r="B130" s="3685" t="s">
        <v>517</v>
      </c>
      <c r="C130" s="2910" t="s">
        <v>2833</v>
      </c>
      <c r="D130" s="749" t="s">
        <v>2834</v>
      </c>
      <c r="E130" s="786">
        <v>0.1</v>
      </c>
      <c r="F130" s="2910">
        <v>15</v>
      </c>
    </row>
    <row r="131" spans="1:6" ht="24">
      <c r="A131" s="2910">
        <v>59</v>
      </c>
      <c r="B131" s="3685"/>
      <c r="C131" s="2910" t="s">
        <v>2835</v>
      </c>
      <c r="D131" s="749" t="s">
        <v>2836</v>
      </c>
      <c r="E131" s="786">
        <v>0.1</v>
      </c>
      <c r="F131" s="2910">
        <v>15</v>
      </c>
    </row>
    <row r="132" spans="1:6" ht="24">
      <c r="A132" s="2910">
        <v>60</v>
      </c>
      <c r="B132" s="3686" t="s">
        <v>528</v>
      </c>
      <c r="C132" s="2910" t="s">
        <v>529</v>
      </c>
      <c r="D132" s="749" t="s">
        <v>2839</v>
      </c>
      <c r="E132" s="786">
        <v>0.1</v>
      </c>
      <c r="F132" s="2910">
        <v>15</v>
      </c>
    </row>
    <row r="133" spans="1:6" ht="24">
      <c r="A133" s="2910">
        <v>61</v>
      </c>
      <c r="B133" s="3687"/>
      <c r="C133" s="2910" t="s">
        <v>2837</v>
      </c>
      <c r="D133" s="749" t="s">
        <v>2838</v>
      </c>
      <c r="E133" s="786">
        <v>0.1</v>
      </c>
      <c r="F133" s="2910">
        <v>15</v>
      </c>
    </row>
    <row r="134" spans="1:6" ht="24">
      <c r="A134" s="2910">
        <v>62</v>
      </c>
      <c r="B134" s="2910" t="s">
        <v>525</v>
      </c>
      <c r="C134" s="2910" t="s">
        <v>526</v>
      </c>
      <c r="D134" s="749" t="s">
        <v>527</v>
      </c>
      <c r="E134" s="786">
        <v>0.1</v>
      </c>
      <c r="F134" s="2910">
        <v>15</v>
      </c>
    </row>
    <row r="135" spans="1:6" ht="24">
      <c r="A135" s="2910">
        <v>63</v>
      </c>
      <c r="B135" s="3685" t="s">
        <v>530</v>
      </c>
      <c r="C135" s="2910" t="s">
        <v>531</v>
      </c>
      <c r="D135" s="749" t="s">
        <v>2841</v>
      </c>
      <c r="E135" s="786">
        <v>0.1</v>
      </c>
      <c r="F135" s="2910">
        <v>15</v>
      </c>
    </row>
    <row r="136" spans="1:6" ht="24">
      <c r="A136" s="2910">
        <v>64</v>
      </c>
      <c r="B136" s="3685"/>
      <c r="C136" s="2910" t="s">
        <v>2840</v>
      </c>
      <c r="D136" s="749" t="s">
        <v>2842</v>
      </c>
      <c r="E136" s="786">
        <v>0.1</v>
      </c>
      <c r="F136" s="2910">
        <v>15</v>
      </c>
    </row>
    <row r="137" spans="1:6" ht="24">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265" zoomScale="80" zoomScaleNormal="80" workbookViewId="0">
      <selection activeCell="A279" sqref="A279"/>
    </sheetView>
  </sheetViews>
  <sheetFormatPr defaultColWidth="9" defaultRowHeight="10.8"/>
  <cols>
    <col min="1" max="1" width="9" style="3237"/>
    <col min="2" max="13" width="9" style="3235"/>
    <col min="14" max="14" width="15" style="3235" customWidth="1"/>
    <col min="15" max="16384" width="9" style="3235"/>
  </cols>
  <sheetData>
    <row r="1" spans="1:20" s="3250" customFormat="1" ht="16.2"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1.4"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6.2"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1.0397000000000001</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1.4"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6.2"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1.4"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6.2"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1.4"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6.2"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0.98899999999999999</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1.4"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0" customWidth="1"/>
    <col min="2" max="2" width="12.44140625" style="1470" customWidth="1"/>
    <col min="3" max="3" width="12.109375" style="1470" customWidth="1"/>
    <col min="4" max="4" width="14.109375" style="1470" customWidth="1"/>
    <col min="5" max="5" width="12.44140625" style="1470" customWidth="1"/>
    <col min="6" max="16384" width="9" style="1470"/>
  </cols>
  <sheetData>
    <row r="1" spans="1:16" ht="21.6">
      <c r="A1" s="1861" t="s">
        <v>2365</v>
      </c>
      <c r="B1" s="2016"/>
      <c r="C1" s="2016"/>
      <c r="D1" s="2016"/>
      <c r="E1" s="2016"/>
      <c r="F1" s="2618"/>
      <c r="G1" s="2618"/>
      <c r="H1" s="2618"/>
      <c r="I1" s="2618"/>
      <c r="J1" s="2618"/>
      <c r="K1" s="2618"/>
      <c r="L1" s="2618"/>
      <c r="M1" s="2618"/>
      <c r="N1" s="2618"/>
      <c r="O1" s="2618"/>
      <c r="P1" s="2618"/>
    </row>
    <row r="2" spans="1:16" ht="15.6">
      <c r="A2" s="2014" t="s">
        <v>2357</v>
      </c>
      <c r="B2" s="2428">
        <f ca="1">SUMIF(B6:B13,"&lt;&gt;#ref!",B6:B13)</f>
        <v>3302</v>
      </c>
      <c r="C2" s="2014" t="s">
        <v>2358</v>
      </c>
      <c r="D2" s="2014" t="s">
        <v>2359</v>
      </c>
      <c r="E2" s="2438">
        <f ca="1">SUMIF(E6:E13,"&lt;&gt;#ref!",E6:E13)</f>
        <v>23937.22</v>
      </c>
      <c r="F2" s="2618"/>
      <c r="G2" s="2618"/>
      <c r="H2" s="2618"/>
      <c r="I2" s="2618"/>
      <c r="J2" s="2618"/>
      <c r="K2" s="2618"/>
      <c r="L2" s="2618"/>
      <c r="M2" s="2618"/>
      <c r="N2" s="2618"/>
      <c r="O2" s="2618"/>
      <c r="P2" s="2618"/>
    </row>
    <row r="3" spans="1:16" ht="15.6">
      <c r="A3" s="2014" t="s">
        <v>2360</v>
      </c>
      <c r="B3" s="2428">
        <f ca="1">ROUND(B2*10000/E2,0)</f>
        <v>1379</v>
      </c>
      <c r="C3" s="2014" t="s">
        <v>2366</v>
      </c>
      <c r="D3" s="2618"/>
      <c r="E3" s="2618"/>
      <c r="F3" s="2618"/>
      <c r="G3" s="2618"/>
      <c r="H3" s="2618"/>
      <c r="I3" s="2618"/>
      <c r="J3" s="2618"/>
      <c r="K3" s="2618"/>
      <c r="L3" s="2618"/>
      <c r="M3" s="2618"/>
      <c r="N3" s="2618"/>
      <c r="O3" s="2618"/>
      <c r="P3" s="2618"/>
    </row>
    <row r="4" spans="1:16" ht="15.6">
      <c r="A4" s="2619"/>
      <c r="B4" s="2618"/>
      <c r="C4" s="2618"/>
      <c r="D4" s="2618"/>
      <c r="E4" s="2618"/>
      <c r="F4" s="2618"/>
      <c r="G4" s="2618"/>
      <c r="H4" s="2618"/>
      <c r="I4" s="2618"/>
      <c r="J4" s="2618"/>
      <c r="K4" s="2618"/>
      <c r="L4" s="2618"/>
      <c r="M4" s="2618"/>
      <c r="N4" s="2618"/>
      <c r="O4" s="2618"/>
      <c r="P4" s="2618"/>
    </row>
    <row r="5" spans="1:16" ht="31.2">
      <c r="A5" s="2434" t="s">
        <v>2361</v>
      </c>
      <c r="B5" s="2436" t="s">
        <v>2362</v>
      </c>
      <c r="C5" s="2015"/>
      <c r="D5" s="2618"/>
      <c r="E5" s="2437" t="s">
        <v>2363</v>
      </c>
      <c r="F5" s="2618"/>
      <c r="G5" s="2618"/>
      <c r="H5" s="2618"/>
      <c r="I5" s="2618"/>
      <c r="J5" s="2618"/>
      <c r="K5" s="2618"/>
      <c r="L5" s="2618"/>
      <c r="M5" s="2618"/>
      <c r="N5" s="2618"/>
      <c r="O5" s="2618"/>
      <c r="P5" s="2618"/>
    </row>
    <row r="6" spans="1:16" ht="15.6">
      <c r="A6" s="2435" t="s">
        <v>2364</v>
      </c>
      <c r="B6" s="2428">
        <f ca="1">SUMIF(INDIRECT("'"&amp;A6&amp;"'"&amp;"!A:A"),"总价",INDIRECT("'"&amp;A6&amp;"'"&amp;"!B:B"))</f>
        <v>3302</v>
      </c>
      <c r="C6" s="2014" t="s">
        <v>2358</v>
      </c>
      <c r="D6" s="2618"/>
      <c r="E6" s="2438">
        <f ca="1">SUMIF(INDIRECT("'"&amp;A6&amp;"'"&amp;"!C:C"),"建筑面积",INDIRECT("'"&amp;A6&amp;"'"&amp;"!D:D"))</f>
        <v>23937.22</v>
      </c>
      <c r="F6" s="2618"/>
      <c r="G6" s="2618"/>
      <c r="H6" s="2618"/>
      <c r="I6" s="2618"/>
      <c r="J6" s="2618"/>
      <c r="K6" s="2618"/>
      <c r="L6" s="2618"/>
      <c r="M6" s="2618"/>
      <c r="N6" s="2618"/>
      <c r="O6" s="2618"/>
      <c r="P6" s="2618"/>
    </row>
    <row r="7" spans="1:16" ht="15.6">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6">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6">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6">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6">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6">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6">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topLeftCell="H1" zoomScale="80" zoomScaleNormal="80" workbookViewId="0">
      <pane ySplit="12" topLeftCell="A13" activePane="bottomLeft" state="frozen"/>
      <selection pane="bottomLeft" activeCell="J104" sqref="J104"/>
    </sheetView>
  </sheetViews>
  <sheetFormatPr defaultColWidth="9" defaultRowHeight="13.2"/>
  <cols>
    <col min="1" max="1" width="9" style="2045"/>
    <col min="2" max="7" width="9" style="2045" customWidth="1"/>
    <col min="8" max="8" width="9" style="2069"/>
    <col min="9" max="9" width="9" style="2045"/>
    <col min="10" max="13" width="9" style="2045" customWidth="1"/>
    <col min="14" max="14" width="2.44140625" style="3305" customWidth="1"/>
    <col min="15" max="15" width="9" style="2069" customWidth="1"/>
    <col min="16" max="18" width="9" style="2045" customWidth="1"/>
    <col min="19" max="19" width="2.77734375" style="3305" customWidth="1"/>
    <col min="20" max="20" width="7.109375" style="2069" customWidth="1"/>
    <col min="21" max="23" width="7.109375" style="2045" customWidth="1"/>
    <col min="24" max="24" width="2.44140625" style="3305" customWidth="1"/>
    <col min="25" max="30" width="9.77734375" style="2045" customWidth="1"/>
    <col min="31" max="31" width="2.44140625" style="3305" customWidth="1"/>
    <col min="32" max="37" width="9.44140625" style="2045" customWidth="1"/>
    <col min="38" max="16384" width="9" style="2045"/>
  </cols>
  <sheetData>
    <row r="1" spans="1:37" s="2026" customFormat="1">
      <c r="B1" s="3702" t="s">
        <v>695</v>
      </c>
      <c r="C1" s="3702"/>
      <c r="D1" s="3702"/>
      <c r="E1" s="3702"/>
      <c r="F1" s="3702"/>
      <c r="G1" s="3702"/>
      <c r="H1" s="3698" t="s">
        <v>696</v>
      </c>
      <c r="I1" s="3698"/>
      <c r="J1" s="3698"/>
      <c r="K1" s="3698"/>
      <c r="L1" s="3698"/>
      <c r="M1" s="3698"/>
      <c r="N1" s="3301"/>
      <c r="O1" s="3698" t="s">
        <v>697</v>
      </c>
      <c r="P1" s="3698"/>
      <c r="Q1" s="3698"/>
      <c r="R1" s="3698"/>
      <c r="S1" s="3301"/>
      <c r="T1" s="3698" t="s">
        <v>698</v>
      </c>
      <c r="U1" s="3698"/>
      <c r="V1" s="3698"/>
      <c r="W1" s="3698"/>
      <c r="X1" s="3301"/>
      <c r="Y1" s="3697" t="s">
        <v>699</v>
      </c>
      <c r="Z1" s="3698"/>
      <c r="AA1" s="3698"/>
      <c r="AB1" s="3698"/>
      <c r="AC1" s="3698"/>
      <c r="AD1" s="3698"/>
      <c r="AE1" s="3301"/>
      <c r="AF1" s="3697" t="s">
        <v>700</v>
      </c>
      <c r="AG1" s="3698"/>
      <c r="AH1" s="3698"/>
      <c r="AI1" s="3698"/>
      <c r="AJ1" s="3698"/>
      <c r="AK1" s="3698"/>
    </row>
    <row r="2" spans="1:37" s="2027" customFormat="1" ht="1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4">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4">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8"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4"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8"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8"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8"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8"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8"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8"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8"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8"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700">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4"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700"/>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4"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700"/>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7"/>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8" thickBot="1">
      <c r="A26" s="3264" t="s">
        <v>2395</v>
      </c>
      <c r="B26" s="3265">
        <v>439</v>
      </c>
      <c r="C26" s="3265">
        <v>327</v>
      </c>
      <c r="D26" s="3265">
        <f>C26</f>
        <v>327</v>
      </c>
      <c r="E26" s="3265"/>
      <c r="F26" s="3265">
        <v>627</v>
      </c>
      <c r="G26" s="3265">
        <v>283</v>
      </c>
      <c r="H26" s="3703">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4"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700"/>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4"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700"/>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7"/>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8" thickBot="1">
      <c r="A30" s="3264" t="s">
        <v>154</v>
      </c>
      <c r="B30" s="3265">
        <v>392</v>
      </c>
      <c r="C30" s="3265">
        <v>302</v>
      </c>
      <c r="D30" s="3265">
        <f>C30</f>
        <v>302</v>
      </c>
      <c r="E30" s="3265"/>
      <c r="F30" s="3265">
        <v>553</v>
      </c>
      <c r="G30" s="3265">
        <v>266</v>
      </c>
      <c r="H30" s="3703">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8"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700"/>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8"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700"/>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8"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701"/>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8" thickBot="1">
      <c r="A34" s="3264" t="s">
        <v>151</v>
      </c>
      <c r="B34" s="3265">
        <v>333</v>
      </c>
      <c r="C34" s="3265">
        <v>277</v>
      </c>
      <c r="D34" s="3265">
        <f t="shared" si="218"/>
        <v>277</v>
      </c>
      <c r="E34" s="3265"/>
      <c r="F34" s="3265">
        <v>459</v>
      </c>
      <c r="G34" s="3265">
        <v>249</v>
      </c>
      <c r="H34" s="3699">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8"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700"/>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8"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700"/>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8"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701"/>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8" thickBot="1">
      <c r="A38" s="3264" t="s">
        <v>147</v>
      </c>
      <c r="B38" s="3265">
        <v>318</v>
      </c>
      <c r="C38" s="3265">
        <v>268</v>
      </c>
      <c r="D38" s="3265">
        <f t="shared" si="218"/>
        <v>268</v>
      </c>
      <c r="E38" s="3265"/>
      <c r="F38" s="3265">
        <v>437</v>
      </c>
      <c r="G38" s="3265">
        <v>237</v>
      </c>
      <c r="H38" s="3699">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8"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700"/>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8"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700"/>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701"/>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8" hidden="1" thickBot="1">
      <c r="A42" s="2049" t="s">
        <v>707</v>
      </c>
      <c r="B42" s="2059">
        <v>299</v>
      </c>
      <c r="C42" s="2059">
        <v>252</v>
      </c>
      <c r="D42" s="2059">
        <f t="shared" si="218"/>
        <v>252</v>
      </c>
      <c r="E42" s="2059"/>
      <c r="F42" s="2059">
        <v>409</v>
      </c>
      <c r="G42" s="2060">
        <v>227</v>
      </c>
      <c r="H42" s="3704">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5"/>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5"/>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6"/>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8" hidden="1" thickBot="1">
      <c r="A46" s="2049" t="s">
        <v>711</v>
      </c>
      <c r="B46" s="2083">
        <v>278</v>
      </c>
      <c r="C46" s="2083">
        <v>234</v>
      </c>
      <c r="D46" s="2083">
        <f t="shared" si="218"/>
        <v>234</v>
      </c>
      <c r="E46" s="2083"/>
      <c r="F46" s="2083">
        <v>379</v>
      </c>
      <c r="G46" s="2084">
        <v>220</v>
      </c>
      <c r="H46" s="3699">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700"/>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700"/>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8" hidden="1" thickBot="1">
      <c r="A49" s="2049" t="s">
        <v>714</v>
      </c>
      <c r="B49" s="2050">
        <f>B48/(1+O48)</f>
        <v>275.19025476197027</v>
      </c>
      <c r="C49" s="2085">
        <v>232</v>
      </c>
      <c r="D49" s="2085">
        <f t="shared" si="218"/>
        <v>232</v>
      </c>
      <c r="E49" s="2085"/>
      <c r="F49" s="2050">
        <f t="shared" si="227"/>
        <v>375.65990977608692</v>
      </c>
      <c r="G49" s="2050">
        <f t="shared" si="227"/>
        <v>214.12518283971252</v>
      </c>
      <c r="H49" s="3701"/>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8" hidden="1" thickBot="1">
      <c r="A50" s="2049" t="s">
        <v>715</v>
      </c>
      <c r="B50" s="2059">
        <v>275</v>
      </c>
      <c r="C50" s="2059">
        <v>232</v>
      </c>
      <c r="D50" s="2059">
        <f t="shared" si="218"/>
        <v>232</v>
      </c>
      <c r="E50" s="2059"/>
      <c r="F50" s="2059">
        <v>376</v>
      </c>
      <c r="G50" s="2060">
        <v>213</v>
      </c>
      <c r="H50" s="3699">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700">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700">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8"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701">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8" hidden="1" thickBot="1">
      <c r="A54" s="2049" t="s">
        <v>719</v>
      </c>
      <c r="B54" s="2059">
        <v>269</v>
      </c>
      <c r="C54" s="2059">
        <v>221</v>
      </c>
      <c r="D54" s="2059">
        <f t="shared" si="218"/>
        <v>221</v>
      </c>
      <c r="E54" s="2059"/>
      <c r="F54" s="2059">
        <v>373</v>
      </c>
      <c r="G54" s="2060">
        <v>196</v>
      </c>
      <c r="H54" s="3699">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700">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700">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8"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701">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8" hidden="1" thickBot="1">
      <c r="A58" s="2049" t="s">
        <v>723</v>
      </c>
      <c r="B58" s="2059">
        <v>220</v>
      </c>
      <c r="C58" s="2059">
        <v>187</v>
      </c>
      <c r="D58" s="2059">
        <f t="shared" si="218"/>
        <v>187</v>
      </c>
      <c r="E58" s="2059"/>
      <c r="F58" s="2059">
        <v>301</v>
      </c>
      <c r="G58" s="2060">
        <v>168</v>
      </c>
      <c r="H58" s="3699">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700">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700">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701">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8" hidden="1" thickBot="1">
      <c r="A62" s="2049" t="s">
        <v>727</v>
      </c>
      <c r="B62" s="2083">
        <v>214</v>
      </c>
      <c r="C62" s="2083">
        <v>188</v>
      </c>
      <c r="D62" s="2083">
        <f t="shared" si="218"/>
        <v>188</v>
      </c>
      <c r="E62" s="2083"/>
      <c r="F62" s="2083">
        <v>289</v>
      </c>
      <c r="G62" s="2084">
        <v>166</v>
      </c>
      <c r="H62" s="3699">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700">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700">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8"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701">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8" hidden="1" thickBot="1">
      <c r="A66" s="2049" t="s">
        <v>731</v>
      </c>
      <c r="B66" s="2059">
        <v>188</v>
      </c>
      <c r="C66" s="2059">
        <v>165</v>
      </c>
      <c r="D66" s="2059">
        <f t="shared" si="218"/>
        <v>165</v>
      </c>
      <c r="E66" s="2059"/>
      <c r="F66" s="2059">
        <v>254</v>
      </c>
      <c r="G66" s="2060">
        <v>148</v>
      </c>
      <c r="H66" s="3699">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700">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700">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701">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8" hidden="1" thickBot="1">
      <c r="A70" s="2049" t="s">
        <v>735</v>
      </c>
      <c r="B70" s="2073">
        <v>159</v>
      </c>
      <c r="C70" s="2073">
        <v>141</v>
      </c>
      <c r="D70" s="2073">
        <f t="shared" si="218"/>
        <v>141</v>
      </c>
      <c r="E70" s="2073"/>
      <c r="F70" s="2073">
        <v>195</v>
      </c>
      <c r="G70" s="2074">
        <v>122</v>
      </c>
      <c r="H70" s="3699">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700">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700">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701">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8" hidden="1" thickBot="1">
      <c r="A74" s="2049" t="s">
        <v>739</v>
      </c>
      <c r="B74" s="2073">
        <v>138</v>
      </c>
      <c r="C74" s="2073">
        <v>131</v>
      </c>
      <c r="D74" s="2073">
        <f t="shared" si="218"/>
        <v>131</v>
      </c>
      <c r="E74" s="2073"/>
      <c r="F74" s="2073">
        <v>155</v>
      </c>
      <c r="G74" s="2074">
        <v>114</v>
      </c>
      <c r="H74" s="3699">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700">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700">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701">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8" hidden="1" thickBot="1">
      <c r="A78" s="2049" t="s">
        <v>743</v>
      </c>
      <c r="B78" s="2083">
        <v>121</v>
      </c>
      <c r="C78" s="2083">
        <v>122</v>
      </c>
      <c r="D78" s="2083">
        <f t="shared" si="218"/>
        <v>122</v>
      </c>
      <c r="E78" s="2083"/>
      <c r="F78" s="2083">
        <v>124</v>
      </c>
      <c r="G78" s="2084">
        <v>107</v>
      </c>
      <c r="H78" s="3699">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700">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700">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8"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701">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8" hidden="1" thickBot="1">
      <c r="A82" s="2049" t="s">
        <v>747</v>
      </c>
      <c r="B82" s="2102">
        <v>111</v>
      </c>
      <c r="C82" s="2102">
        <v>114</v>
      </c>
      <c r="D82" s="2102">
        <f t="shared" si="218"/>
        <v>114</v>
      </c>
      <c r="E82" s="2102"/>
      <c r="F82" s="2102">
        <v>108</v>
      </c>
      <c r="G82" s="2103">
        <v>104</v>
      </c>
      <c r="H82" s="3699">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700">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700">
        <v>2003</v>
      </c>
      <c r="I84" s="2057">
        <v>2</v>
      </c>
      <c r="J84" s="2104"/>
      <c r="K84" s="2104"/>
      <c r="L84" s="2104"/>
      <c r="M84" s="2104"/>
      <c r="Y84" s="2096"/>
      <c r="Z84" s="2096"/>
      <c r="AA84" s="2096"/>
      <c r="AB84" s="2096"/>
    </row>
    <row r="85" spans="1:31" ht="13.8" hidden="1" thickBot="1">
      <c r="A85" s="2049" t="s">
        <v>750</v>
      </c>
      <c r="B85" s="2106">
        <f t="shared" si="252"/>
        <v>107.25</v>
      </c>
      <c r="C85" s="2106">
        <f t="shared" si="252"/>
        <v>108.75</v>
      </c>
      <c r="D85" s="2106">
        <f t="shared" si="218"/>
        <v>108.75</v>
      </c>
      <c r="E85" s="2106"/>
      <c r="F85" s="2106">
        <f t="shared" si="253"/>
        <v>105.75</v>
      </c>
      <c r="G85" s="2106">
        <f t="shared" si="253"/>
        <v>102.5</v>
      </c>
      <c r="H85" s="3701">
        <v>2003</v>
      </c>
      <c r="I85" s="2107">
        <v>1</v>
      </c>
      <c r="J85" s="2104"/>
      <c r="K85" s="2104"/>
      <c r="L85" s="2104"/>
      <c r="M85" s="2104"/>
      <c r="T85" s="2052"/>
      <c r="U85" s="2046"/>
      <c r="V85" s="2046"/>
      <c r="Y85" s="2096"/>
      <c r="Z85" s="2096"/>
      <c r="AA85" s="2096"/>
      <c r="AB85" s="2096"/>
    </row>
    <row r="86" spans="1:31" ht="13.8" hidden="1" thickBot="1">
      <c r="A86" s="2049" t="s">
        <v>751</v>
      </c>
      <c r="B86" s="2108">
        <v>106</v>
      </c>
      <c r="C86" s="2108">
        <v>107</v>
      </c>
      <c r="D86" s="2108">
        <f t="shared" si="218"/>
        <v>107</v>
      </c>
      <c r="E86" s="2108"/>
      <c r="F86" s="2108">
        <v>105</v>
      </c>
      <c r="G86" s="2109">
        <v>102</v>
      </c>
      <c r="H86" s="3699">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700">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700">
        <v>2002</v>
      </c>
      <c r="I88" s="2057">
        <v>2</v>
      </c>
      <c r="J88" s="2104"/>
      <c r="K88" s="2104"/>
      <c r="L88" s="2104"/>
      <c r="M88" s="2104"/>
      <c r="Y88" s="2096"/>
      <c r="Z88" s="2096"/>
      <c r="AA88" s="2096"/>
      <c r="AB88" s="2096"/>
    </row>
    <row r="89" spans="1:31" s="2076" customFormat="1" ht="13.8" hidden="1" thickBot="1">
      <c r="A89" s="2075" t="s">
        <v>754</v>
      </c>
      <c r="B89" s="2077">
        <f t="shared" si="254"/>
        <v>103</v>
      </c>
      <c r="C89" s="2077">
        <f t="shared" si="254"/>
        <v>104</v>
      </c>
      <c r="D89" s="2077">
        <f t="shared" si="218"/>
        <v>104</v>
      </c>
      <c r="E89" s="2077"/>
      <c r="F89" s="2077">
        <f t="shared" si="255"/>
        <v>103.5</v>
      </c>
      <c r="G89" s="2077">
        <f t="shared" si="255"/>
        <v>100.5</v>
      </c>
      <c r="H89" s="3701">
        <v>2002</v>
      </c>
      <c r="I89" s="2110">
        <v>1</v>
      </c>
      <c r="J89" s="2111"/>
      <c r="K89" s="2111"/>
      <c r="L89" s="2111"/>
      <c r="M89" s="2111"/>
      <c r="N89" s="3305"/>
      <c r="O89" s="2112"/>
      <c r="S89" s="3305"/>
      <c r="T89" s="2112"/>
      <c r="X89" s="3305"/>
      <c r="Y89" s="2113"/>
      <c r="Z89" s="2113"/>
      <c r="AA89" s="2113"/>
      <c r="AB89" s="2113"/>
      <c r="AE89" s="3305"/>
    </row>
    <row r="90" spans="1:31" ht="13.8"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4"/>
      <c r="O92" s="2119"/>
      <c r="S92" s="3304"/>
      <c r="T92" s="2119"/>
      <c r="X92" s="3304"/>
      <c r="AE92" s="3304"/>
    </row>
    <row r="93" spans="1:31" s="2118" customFormat="1">
      <c r="A93" s="2118" t="s">
        <v>756</v>
      </c>
      <c r="F93" s="2045"/>
      <c r="G93" s="2045"/>
      <c r="H93" s="2045"/>
      <c r="I93" s="2045"/>
      <c r="N93" s="3304"/>
      <c r="O93" s="2119"/>
      <c r="S93" s="3304"/>
      <c r="T93" s="2119"/>
      <c r="X93" s="3304"/>
      <c r="AE93" s="3304"/>
    </row>
    <row r="94" spans="1:31" s="2118" customFormat="1">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1" t="s">
        <v>2368</v>
      </c>
      <c r="D1" s="3712"/>
      <c r="E1" s="3712"/>
      <c r="F1" s="3712"/>
      <c r="G1" s="3712"/>
      <c r="H1" s="3712"/>
      <c r="I1" s="3712"/>
      <c r="J1" s="3712"/>
      <c r="K1" s="3712"/>
      <c r="L1" s="3712"/>
      <c r="M1" s="3712"/>
      <c r="N1" s="3712"/>
      <c r="O1" s="3712"/>
      <c r="P1" s="3712"/>
      <c r="Q1" s="3712"/>
      <c r="R1" s="3712"/>
      <c r="S1" s="3713"/>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8"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8"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8"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8"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8"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8"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8"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8"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2"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6">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8" t="s">
        <v>33</v>
      </c>
      <c r="D22" s="3709"/>
      <c r="E22" s="3709"/>
      <c r="F22" s="3709"/>
      <c r="G22" s="3709"/>
      <c r="H22" s="3709"/>
      <c r="I22" s="3709"/>
      <c r="J22" s="3709"/>
      <c r="K22" s="3709"/>
      <c r="L22" s="3709"/>
      <c r="M22" s="3709"/>
      <c r="N22" s="3709"/>
      <c r="O22" s="3709"/>
      <c r="P22" s="3709"/>
      <c r="Q22" s="3710"/>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5" customWidth="1"/>
    <col min="2" max="2" width="37.21875" style="1485" customWidth="1"/>
    <col min="3" max="3" width="11.33203125" style="1485" customWidth="1"/>
    <col min="4" max="4" width="31.77734375" style="1485" customWidth="1"/>
    <col min="5" max="5" width="0.44140625" style="1485" customWidth="1"/>
    <col min="6" max="7" width="13" style="1485" customWidth="1"/>
    <col min="8" max="16384" width="9" style="1485"/>
  </cols>
  <sheetData>
    <row r="1" spans="1:5" ht="17.399999999999999">
      <c r="A1" s="1483" t="s">
        <v>1150</v>
      </c>
      <c r="B1" s="1484"/>
      <c r="C1" s="1484"/>
      <c r="D1" s="1484"/>
      <c r="E1" s="1484"/>
    </row>
    <row r="2" spans="1:5" ht="78" customHeight="1">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spans="1:5" ht="17.399999999999999">
      <c r="A3" s="3380" t="str">
        <f>IF(项目基本情况!B9="房地产市场价值","估价结果一览表（市场价值不需“结果表-1”）","估价结果一览表")</f>
        <v>估价结果一览表</v>
      </c>
      <c r="B3" s="3380"/>
      <c r="C3" s="3380"/>
      <c r="D3" s="3380"/>
      <c r="E3" s="3380"/>
    </row>
    <row r="4" spans="1:5" ht="18" thickBot="1">
      <c r="A4" s="1486"/>
      <c r="B4" s="3378" t="s">
        <v>1159</v>
      </c>
      <c r="C4" s="3378"/>
      <c r="D4" s="3378"/>
      <c r="E4" s="1486"/>
    </row>
    <row r="5" spans="1:5" ht="16.2" thickTop="1">
      <c r="A5" s="1484"/>
      <c r="B5" s="3376" t="s">
        <v>1151</v>
      </c>
      <c r="C5" s="1487" t="s">
        <v>1152</v>
      </c>
      <c r="D5" s="864" t="e">
        <f ca="1">结果表!H101</f>
        <v>#REF!</v>
      </c>
      <c r="E5" s="1484"/>
    </row>
    <row r="6" spans="1:5" ht="15.6">
      <c r="A6" s="1484"/>
      <c r="B6" s="3376"/>
      <c r="C6" s="1487" t="s">
        <v>1153</v>
      </c>
      <c r="D6" s="864" t="e">
        <f ca="1">NUMBERSTRING(INT(D5*10000),2)&amp;"元整"</f>
        <v>#REF!</v>
      </c>
      <c r="E6" s="1484"/>
    </row>
    <row r="7" spans="1:5" ht="15.6">
      <c r="A7" s="1484"/>
      <c r="B7" s="3381"/>
      <c r="C7" s="1488" t="s">
        <v>1154</v>
      </c>
      <c r="D7" s="865" t="e">
        <f ca="1">结果表!H102</f>
        <v>#REF!</v>
      </c>
      <c r="E7" s="1484"/>
    </row>
    <row r="8" spans="1:5" ht="15.6">
      <c r="A8" s="1484"/>
      <c r="B8" s="3382" t="str">
        <f>结果表!E103</f>
        <v>2.估价师知悉的法定优先受偿款</v>
      </c>
      <c r="C8" s="1489" t="s">
        <v>1155</v>
      </c>
      <c r="D8" s="865">
        <f>结果表!H103</f>
        <v>0</v>
      </c>
      <c r="E8" s="1484"/>
    </row>
    <row r="9" spans="1:5" ht="15.6">
      <c r="A9" s="1484"/>
      <c r="B9" s="3384"/>
      <c r="C9" s="1487" t="s">
        <v>1153</v>
      </c>
      <c r="D9" s="864" t="str">
        <f>NUMBERSTRING(INT(D8*10000),2)&amp;"元整"</f>
        <v>零元整</v>
      </c>
      <c r="E9" s="1484"/>
    </row>
    <row r="10" spans="1:5" ht="15.6">
      <c r="A10" s="1484"/>
      <c r="B10" s="1490" t="s">
        <v>1158</v>
      </c>
      <c r="C10" s="1491" t="s">
        <v>1156</v>
      </c>
      <c r="D10" s="866">
        <f>结果表!H104</f>
        <v>0</v>
      </c>
      <c r="E10" s="1484"/>
    </row>
    <row r="11" spans="1:5" ht="15.6">
      <c r="A11" s="1484"/>
      <c r="B11" s="1490" t="s">
        <v>1160</v>
      </c>
      <c r="C11" s="1491" t="s">
        <v>1161</v>
      </c>
      <c r="D11" s="866">
        <f>结果表!H105</f>
        <v>0</v>
      </c>
      <c r="E11" s="1484"/>
    </row>
    <row r="12" spans="1:5" ht="15.6">
      <c r="A12" s="1484"/>
      <c r="B12" s="1490" t="s">
        <v>1162</v>
      </c>
      <c r="C12" s="1491" t="s">
        <v>1161</v>
      </c>
      <c r="D12" s="866">
        <f>结果表!H106</f>
        <v>0</v>
      </c>
      <c r="E12" s="1484"/>
    </row>
    <row r="13" spans="1:5" ht="15.6">
      <c r="A13" s="1484"/>
      <c r="B13" s="3375" t="str">
        <f>结果表!E107</f>
        <v>3.房地产抵押价值</v>
      </c>
      <c r="C13" s="1492" t="s">
        <v>1152</v>
      </c>
      <c r="D13" s="867" t="e">
        <f ca="1">结果表!H107</f>
        <v>#REF!</v>
      </c>
      <c r="E13" s="1484"/>
    </row>
    <row r="14" spans="1:5" ht="15.6">
      <c r="A14" s="1484"/>
      <c r="B14" s="3376"/>
      <c r="C14" s="1487" t="s">
        <v>1153</v>
      </c>
      <c r="D14" s="864" t="e">
        <f ca="1">NUMBERSTRING(INT(D13*10000),2)&amp;"元整"</f>
        <v>#REF!</v>
      </c>
      <c r="E14" s="1484"/>
    </row>
    <row r="15" spans="1:5" ht="15.6">
      <c r="A15" s="1484"/>
      <c r="B15" s="3381"/>
      <c r="C15" s="1488" t="s">
        <v>1163</v>
      </c>
      <c r="D15" s="873" t="e">
        <f ca="1">结果表!H108</f>
        <v>#REF!</v>
      </c>
      <c r="E15" s="1484"/>
    </row>
    <row r="16" spans="1:5" ht="15.6">
      <c r="A16" s="1484"/>
      <c r="B16" s="3382" t="str">
        <f>结果表!E109</f>
        <v>——</v>
      </c>
      <c r="C16" s="1492" t="s">
        <v>1164</v>
      </c>
      <c r="D16" s="1493" t="str">
        <f>结果表!H109</f>
        <v>——</v>
      </c>
      <c r="E16" s="1484"/>
    </row>
    <row r="17" spans="1:5" ht="15.6">
      <c r="A17" s="1484"/>
      <c r="B17" s="3383"/>
      <c r="C17" s="1487" t="s">
        <v>1165</v>
      </c>
      <c r="D17" s="864" t="e">
        <f>NUMBERSTRING(INT(D16*10000),2)&amp;"元整"</f>
        <v>#VALUE!</v>
      </c>
      <c r="E17" s="1484"/>
    </row>
    <row r="18" spans="1:5" ht="15.6">
      <c r="A18" s="1484"/>
      <c r="B18" s="3384"/>
      <c r="C18" s="1488" t="s">
        <v>1154</v>
      </c>
      <c r="D18" s="873" t="str">
        <f>结果表!H110</f>
        <v>——</v>
      </c>
      <c r="E18" s="1484"/>
    </row>
    <row r="19" spans="1:5" ht="15.6">
      <c r="A19" s="1484"/>
      <c r="B19" s="3375" t="str">
        <f>结果表!E111</f>
        <v>——</v>
      </c>
      <c r="C19" s="1492" t="s">
        <v>1152</v>
      </c>
      <c r="D19" s="865" t="str">
        <f>结果表!H111</f>
        <v>——</v>
      </c>
      <c r="E19" s="1484"/>
    </row>
    <row r="20" spans="1:5" ht="15.6">
      <c r="A20" s="1484"/>
      <c r="B20" s="3376"/>
      <c r="C20" s="1487" t="s">
        <v>1165</v>
      </c>
      <c r="D20" s="864" t="e">
        <f>NUMBERSTRING(INT(D19*10000),2)&amp;"元整"</f>
        <v>#VALUE!</v>
      </c>
      <c r="E20" s="1484"/>
    </row>
    <row r="21" spans="1:5" ht="16.2" thickBot="1">
      <c r="A21" s="1484"/>
      <c r="B21" s="3377"/>
      <c r="C21" s="1494" t="s">
        <v>1163</v>
      </c>
      <c r="D21" s="874" t="str">
        <f>结果表!H112</f>
        <v>——</v>
      </c>
      <c r="E21" s="1484"/>
    </row>
    <row r="22" spans="1:5" ht="14.4" thickTop="1">
      <c r="A22" s="1484"/>
      <c r="B22" s="1495" t="s">
        <v>1166</v>
      </c>
      <c r="C22" s="1484"/>
      <c r="D22" s="1484"/>
      <c r="E22" s="1484"/>
    </row>
    <row r="23" spans="1:5">
      <c r="A23" s="1484"/>
      <c r="B23" s="1484"/>
      <c r="C23" s="1484"/>
      <c r="D23" s="1484"/>
      <c r="E23" s="1484"/>
    </row>
    <row r="24" spans="1:5" ht="17.399999999999999">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254" width="9" style="253" customWidth="1"/>
    <col min="255" max="16384" width="8.33203125" style="253"/>
  </cols>
  <sheetData>
    <row r="1" spans="1:7" s="202" customFormat="1" ht="21">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6.2">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6.4">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6.2">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3" t="s">
        <v>121</v>
      </c>
    </row>
    <row r="43" spans="1:7" ht="13.5" customHeight="1">
      <c r="A43" s="794" t="s">
        <v>580</v>
      </c>
      <c r="B43" s="217" t="s">
        <v>669</v>
      </c>
      <c r="C43" s="240" t="e">
        <f ca="1">ROUND(IF('数据-取费表'!B22&lt;=1,C39*F22*'数据-取费表'!B21/2,C39*(POWER((1+F22),'数据-取费表'!B21/2)-1)),0)</f>
        <v>#VALUE!</v>
      </c>
      <c r="D43" s="240"/>
      <c r="E43" s="240"/>
      <c r="F43" s="241"/>
      <c r="G43" s="3564"/>
    </row>
    <row r="44" spans="1:7" ht="13.5" customHeight="1">
      <c r="A44" s="794" t="s">
        <v>581</v>
      </c>
      <c r="B44" s="217" t="s">
        <v>671</v>
      </c>
      <c r="C44" s="240" t="e">
        <f ca="1">ROUND(IF('数据-取费表'!B22&lt;=1,C40*F22*'数据-取费表'!B21/2,C40*(POWER((1+F22),'数据-取费表'!B21/2)-1)),4)</f>
        <v>#VALUE!</v>
      </c>
      <c r="D44" s="240"/>
      <c r="E44" s="240"/>
      <c r="F44" s="241"/>
      <c r="G44" s="3565"/>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8"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313" zoomScale="80" zoomScaleNormal="90" zoomScaleSheetLayoutView="80" workbookViewId="0">
      <selection activeCell="A327" sqref="A327:G357"/>
    </sheetView>
  </sheetViews>
  <sheetFormatPr defaultColWidth="8.88671875" defaultRowHeight="10.8"/>
  <cols>
    <col min="1" max="1" width="9.6640625" style="3182" customWidth="1"/>
    <col min="2" max="2" width="18.6640625" style="3182" customWidth="1"/>
    <col min="3" max="6" width="10.21875" style="3182" customWidth="1"/>
    <col min="7" max="7" width="8.88671875" style="3182"/>
    <col min="8" max="8" width="8.88671875" style="3178"/>
    <col min="9" max="9" width="13.33203125" style="3178" customWidth="1"/>
    <col min="10" max="13" width="13.33203125" style="3182" customWidth="1"/>
    <col min="14" max="14" width="18.21875" style="3182" customWidth="1"/>
    <col min="15" max="17" width="15.109375" style="3182" customWidth="1"/>
    <col min="18" max="20" width="11.44140625" style="3182" customWidth="1"/>
    <col min="21" max="16384" width="8.88671875" style="3182"/>
  </cols>
  <sheetData>
    <row r="1" spans="1:20" ht="11.4" thickBot="1">
      <c r="A1" s="3714" t="s">
        <v>3069</v>
      </c>
      <c r="B1" s="3714"/>
      <c r="C1" s="3714"/>
      <c r="D1" s="3714"/>
      <c r="E1" s="3714"/>
      <c r="F1" s="3714"/>
      <c r="G1" s="3715"/>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1.4"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6"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1.4" thickBot="1">
      <c r="A4" s="3717"/>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1.4"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1.4"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1.4"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1.4"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1.4"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1.4"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1.4"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1.4"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1.4"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1.4"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1.4"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1.4"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1.4"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1.4"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1.4"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1.4"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1.4"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1.4"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1.4"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26" workbookViewId="0">
      <selection activeCell="B327" sqref="B327:G357"/>
    </sheetView>
  </sheetViews>
  <sheetFormatPr defaultColWidth="8.88671875" defaultRowHeight="14.4"/>
  <cols>
    <col min="1" max="1" width="12.6640625" style="2889" customWidth="1"/>
    <col min="2" max="2" width="20" style="2889" customWidth="1"/>
    <col min="3" max="7" width="8.88671875" style="3157"/>
    <col min="8" max="16384" width="8.88671875" style="2880"/>
  </cols>
  <sheetData>
    <row r="1" spans="1:7">
      <c r="A1" s="3718" t="s">
        <v>626</v>
      </c>
      <c r="B1" s="3718"/>
    </row>
    <row r="2" spans="1:7" ht="15" thickBot="1">
      <c r="A2" s="2912"/>
      <c r="B2" s="2912"/>
    </row>
    <row r="3" spans="1:7" ht="15" thickBot="1">
      <c r="A3" s="2912"/>
      <c r="B3" s="2912"/>
      <c r="C3" s="2881" t="s">
        <v>629</v>
      </c>
      <c r="D3" s="2881" t="s">
        <v>630</v>
      </c>
      <c r="E3" s="2881" t="s">
        <v>631</v>
      </c>
      <c r="F3" s="2881" t="s">
        <v>182</v>
      </c>
      <c r="G3" s="2881" t="s">
        <v>2737</v>
      </c>
    </row>
    <row r="4" spans="1:7" ht="1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840</v>
      </c>
      <c r="C1" s="1294">
        <f>项目基本情况!D3</f>
        <v>44680</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5.6">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1875" defaultRowHeight="14.4"/>
  <cols>
    <col min="1" max="16384" width="13.21875" style="2880"/>
  </cols>
  <sheetData>
    <row r="1" spans="1:6">
      <c r="A1" s="3719" t="s">
        <v>2733</v>
      </c>
      <c r="B1" s="3719"/>
      <c r="C1" s="3719"/>
      <c r="D1" s="3719"/>
      <c r="E1" s="3719"/>
      <c r="F1" s="3720"/>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defaultRowHeight="14.4"/>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0" customWidth="1"/>
    <col min="2" max="9" width="12.109375" style="1470" customWidth="1"/>
    <col min="10" max="16384" width="9" style="1470"/>
  </cols>
  <sheetData>
    <row r="1" spans="1:9" ht="18" thickBot="1">
      <c r="A1" s="3385" t="str">
        <f>IF(项目基本情况!B9="房地产市场价值","估价结果一览表","结果表-2")</f>
        <v>结果表-2</v>
      </c>
      <c r="B1" s="3385"/>
      <c r="C1" s="3385"/>
      <c r="D1" s="3385"/>
      <c r="E1" s="3385"/>
      <c r="F1" s="3385"/>
      <c r="G1" s="3385"/>
      <c r="H1" s="3385"/>
      <c r="I1" s="3385"/>
    </row>
    <row r="2" spans="1:9" ht="30" customHeight="1" thickTop="1">
      <c r="A2" s="3386" t="s">
        <v>1170</v>
      </c>
      <c r="B2" s="3386" t="s">
        <v>1171</v>
      </c>
      <c r="C2" s="3386" t="s">
        <v>1172</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spans="1:9" ht="15.6">
      <c r="A3" s="3387"/>
      <c r="B3" s="3387"/>
      <c r="C3" s="3387"/>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6">
      <c r="A6" s="3389" t="str">
        <f>结果表!A120</f>
        <v>估价师知悉的法定优先受偿款</v>
      </c>
      <c r="B6" s="3389"/>
      <c r="C6" s="3389"/>
      <c r="D6" s="3389">
        <f>结果表!D120</f>
        <v>0</v>
      </c>
      <c r="E6" s="3389"/>
      <c r="F6" s="3389"/>
      <c r="G6" s="3389"/>
      <c r="H6" s="3389"/>
      <c r="I6" s="3389"/>
    </row>
    <row r="7" spans="1:9" ht="15">
      <c r="A7" s="3387" t="s">
        <v>1169</v>
      </c>
      <c r="B7" s="3387"/>
      <c r="C7" s="3387"/>
      <c r="D7" s="3390" t="str">
        <f>结果表!D121</f>
        <v>零元整</v>
      </c>
      <c r="E7" s="3391"/>
      <c r="F7" s="3391"/>
      <c r="G7" s="3391"/>
      <c r="H7" s="3391"/>
      <c r="I7" s="3392"/>
    </row>
    <row r="8" spans="1:9" ht="15.6">
      <c r="A8" s="3389" t="str">
        <f>结果表!A122</f>
        <v>房地产抵押价值</v>
      </c>
      <c r="B8" s="3389"/>
      <c r="C8" s="3389"/>
      <c r="D8" s="3389" t="e">
        <f ca="1">结果表!D122</f>
        <v>#REF!</v>
      </c>
      <c r="E8" s="3389"/>
      <c r="F8" s="3389"/>
      <c r="G8" s="3389"/>
      <c r="H8" s="3389"/>
      <c r="I8" s="3389"/>
    </row>
    <row r="9" spans="1:9" ht="15">
      <c r="A9" s="3387" t="s">
        <v>1169</v>
      </c>
      <c r="B9" s="3387"/>
      <c r="C9" s="3387"/>
      <c r="D9" s="3388" t="e">
        <f ca="1">结果表!D123</f>
        <v>#REF!</v>
      </c>
      <c r="E9" s="3388"/>
      <c r="F9" s="3388"/>
      <c r="G9" s="3388"/>
      <c r="H9" s="3388"/>
      <c r="I9" s="3388"/>
    </row>
    <row r="10" spans="1:9" ht="15.6">
      <c r="A10" s="3389" t="str">
        <f>结果表!A124</f>
        <v/>
      </c>
      <c r="B10" s="3389"/>
      <c r="C10" s="3389"/>
      <c r="D10" s="3389" t="str">
        <f>结果表!D124</f>
        <v>——</v>
      </c>
      <c r="E10" s="3389"/>
      <c r="F10" s="3389"/>
      <c r="G10" s="3389"/>
      <c r="H10" s="3389"/>
      <c r="I10" s="3389"/>
    </row>
    <row r="11" spans="1:9" ht="15">
      <c r="A11" s="3387" t="s">
        <v>1169</v>
      </c>
      <c r="B11" s="3387"/>
      <c r="C11" s="3387"/>
      <c r="D11" s="3388" t="e">
        <f>结果表!D125</f>
        <v>#VALUE!</v>
      </c>
      <c r="E11" s="3388"/>
      <c r="F11" s="3388"/>
      <c r="G11" s="3388"/>
      <c r="H11" s="3388"/>
      <c r="I11" s="3388"/>
    </row>
    <row r="12" spans="1:9" ht="15.6">
      <c r="A12" s="3389" t="str">
        <f>结果表!A126</f>
        <v/>
      </c>
      <c r="B12" s="3389"/>
      <c r="C12" s="3389"/>
      <c r="D12" s="3389" t="str">
        <f>结果表!D126</f>
        <v>——</v>
      </c>
      <c r="E12" s="3389"/>
      <c r="F12" s="3389"/>
      <c r="G12" s="3389"/>
      <c r="H12" s="3389"/>
      <c r="I12" s="3389"/>
    </row>
    <row r="13" spans="1:9" ht="15.6" thickBot="1">
      <c r="A13" s="3393" t="s">
        <v>1169</v>
      </c>
      <c r="B13" s="3393"/>
      <c r="C13" s="3393"/>
      <c r="D13" s="3394" t="e">
        <f>结果表!D127</f>
        <v>#VALUE!</v>
      </c>
      <c r="E13" s="3394"/>
      <c r="F13" s="3394"/>
      <c r="G13" s="3394"/>
      <c r="H13" s="3394"/>
      <c r="I13" s="3394"/>
    </row>
    <row r="14" spans="1:9" ht="14.4" thickTop="1">
      <c r="A14" s="3395" t="s">
        <v>1174</v>
      </c>
      <c r="B14" s="3395"/>
      <c r="C14" s="3395"/>
      <c r="D14" s="3395"/>
      <c r="E14" s="3395"/>
      <c r="F14" s="3395"/>
      <c r="G14" s="3395"/>
      <c r="H14" s="3395"/>
      <c r="I14" s="3395"/>
    </row>
    <row r="16" spans="1:9" ht="17.399999999999999">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0" customWidth="1"/>
    <col min="2" max="3" width="22.33203125" style="1470" customWidth="1"/>
    <col min="4" max="4" width="23" style="1470" customWidth="1"/>
    <col min="5" max="16384" width="9" style="1470"/>
  </cols>
  <sheetData>
    <row r="1" spans="1:4" ht="17.399999999999999">
      <c r="A1" s="3396" t="s">
        <v>1191</v>
      </c>
      <c r="B1" s="3396"/>
      <c r="C1" s="3396"/>
      <c r="D1" s="3396"/>
    </row>
    <row r="2" spans="1:4" ht="17.399999999999999">
      <c r="A2" s="3397" t="s">
        <v>1175</v>
      </c>
      <c r="B2" s="3397"/>
      <c r="C2" s="3397"/>
      <c r="D2" s="3397"/>
    </row>
    <row r="3" spans="1:4" ht="17.399999999999999">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7.399999999999999">
      <c r="A6" s="3397" t="s">
        <v>1181</v>
      </c>
      <c r="B6" s="3397"/>
      <c r="C6" s="3397"/>
      <c r="D6" s="3397"/>
    </row>
    <row r="7" spans="1:4" ht="17.399999999999999">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7.399999999999999">
      <c r="A10" s="1509" t="s">
        <v>1183</v>
      </c>
      <c r="B10" s="679"/>
      <c r="C10" s="679"/>
      <c r="D10" s="679"/>
    </row>
    <row r="11" spans="1:4" ht="30" customHeight="1">
      <c r="A11" s="3398" t="s">
        <v>1184</v>
      </c>
      <c r="B11" s="3399"/>
      <c r="C11" s="3399"/>
      <c r="D11" s="3399"/>
    </row>
    <row r="12" spans="1:4" ht="15.6">
      <c r="A12" s="33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0"/>
      <c r="C12" s="3400"/>
      <c r="D12" s="3400"/>
    </row>
    <row r="13" spans="1:4" ht="30" customHeight="1">
      <c r="A13" s="33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0"/>
      <c r="C13" s="3400"/>
      <c r="D13" s="3400"/>
    </row>
    <row r="14" spans="1:4" ht="15.75" customHeight="1">
      <c r="A14" s="3399" t="str">
        <f>IF(项目基本情况!B8="抵押","4.本次评估估价师所知悉的法定优先受偿款情况说明如下：","——")</f>
        <v>4.本次评估估价师所知悉的法定优先受偿款情况说明如下：</v>
      </c>
      <c r="B14" s="3400"/>
      <c r="C14" s="3400"/>
      <c r="D14" s="3400"/>
    </row>
    <row r="15" spans="1:4" ht="42" customHeight="1">
      <c r="A15" s="33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9"/>
      <c r="C15" s="3399"/>
      <c r="D15" s="3399"/>
    </row>
    <row r="16" spans="1:4" ht="30" customHeight="1">
      <c r="A16" s="3402" t="s">
        <v>1185</v>
      </c>
      <c r="B16" s="3402"/>
      <c r="C16" s="3402"/>
      <c r="D16" s="3402"/>
    </row>
    <row r="17" spans="1:4" ht="144" customHeight="1">
      <c r="A17" s="3402" t="s">
        <v>1186</v>
      </c>
      <c r="B17" s="3402"/>
      <c r="C17" s="3402"/>
      <c r="D17" s="3402"/>
    </row>
    <row r="18" spans="1:4" ht="15.75" customHeight="1">
      <c r="A18" s="3399" t="str">
        <f>IF(项目基本情况!B8="抵押",结果表!K120,"——")</f>
        <v>故，本次评估不存在估价师知悉的法定优先受偿款</v>
      </c>
      <c r="B18" s="3399"/>
      <c r="C18" s="3399"/>
      <c r="D18" s="3399"/>
    </row>
    <row r="19" spans="1:4" ht="46.5" customHeight="1">
      <c r="A19" s="33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9"/>
      <c r="C19" s="3399"/>
      <c r="D19" s="3399"/>
    </row>
    <row r="20" spans="1:4" ht="57.75" customHeight="1">
      <c r="A20" s="33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9"/>
      <c r="C20" s="3399"/>
      <c r="D20" s="3399"/>
    </row>
    <row r="21" spans="1:4" ht="57.75" customHeight="1">
      <c r="A21" s="34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3"/>
      <c r="C21" s="3403"/>
      <c r="D21" s="3403"/>
    </row>
    <row r="22" spans="1:4" ht="18.75" customHeight="1">
      <c r="A22" s="3404" t="s">
        <v>1187</v>
      </c>
      <c r="B22" s="3404"/>
      <c r="C22" s="3404"/>
      <c r="D22" s="3404"/>
    </row>
    <row r="23" spans="1:4">
      <c r="A23" s="1510"/>
      <c r="B23" s="1482"/>
      <c r="C23" s="1482"/>
      <c r="D23" s="1482"/>
    </row>
    <row r="24" spans="1:4">
      <c r="A24" s="1510"/>
      <c r="B24" s="1482"/>
      <c r="C24" s="1482"/>
      <c r="D24" s="1482"/>
    </row>
    <row r="25" spans="1:4" ht="17.399999999999999">
      <c r="A25" s="1511" t="s">
        <v>1188</v>
      </c>
    </row>
    <row r="26" spans="1:4" ht="17.399999999999999">
      <c r="A26" s="1480"/>
    </row>
    <row r="27" spans="1:4" ht="17.399999999999999">
      <c r="A27" s="1480" t="s">
        <v>1189</v>
      </c>
    </row>
    <row r="30" spans="1:4" ht="17.399999999999999">
      <c r="D30" s="1511" t="s">
        <v>1190</v>
      </c>
    </row>
    <row r="31" spans="1:4" ht="13.5" customHeight="1">
      <c r="C31" s="3401">
        <v>42551</v>
      </c>
      <c r="D31" s="34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468" customWidth="1"/>
    <col min="3" max="10" width="12.44140625" style="1468" customWidth="1"/>
    <col min="11" max="16384" width="9" style="1468"/>
  </cols>
  <sheetData>
    <row r="1" spans="1:10" ht="17.399999999999999">
      <c r="A1" s="1501" t="s">
        <v>625</v>
      </c>
      <c r="B1" s="1512"/>
      <c r="C1" s="1512"/>
      <c r="D1" s="1512"/>
      <c r="E1" s="1512"/>
      <c r="F1" s="1512"/>
      <c r="G1" s="1512"/>
      <c r="H1" s="1512"/>
      <c r="I1" s="1512"/>
      <c r="J1" s="1512"/>
    </row>
    <row r="2" spans="1:10" ht="17.399999999999999">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8" customWidth="1"/>
    <col min="2" max="16384" width="14.44140625" style="1500"/>
  </cols>
  <sheetData>
    <row r="1" spans="1:7" s="1515" customFormat="1" ht="17.399999999999999">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4.4">
      <c r="A15" s="3410" t="s">
        <v>1198</v>
      </c>
      <c r="B15" s="3405" t="s">
        <v>136</v>
      </c>
      <c r="C15" s="3406"/>
    </row>
    <row r="16" spans="1:7" ht="14.4">
      <c r="A16" s="3411"/>
      <c r="B16" s="3405" t="s">
        <v>69</v>
      </c>
      <c r="C16" s="3406"/>
    </row>
    <row r="17" spans="1:3" ht="14.4">
      <c r="A17" s="3411"/>
      <c r="B17" s="3408" t="s">
        <v>1199</v>
      </c>
      <c r="C17" s="1525" t="s">
        <v>1198</v>
      </c>
    </row>
    <row r="18" spans="1:3" ht="14.4">
      <c r="A18" s="3411"/>
      <c r="B18" s="3408"/>
      <c r="C18" s="1525" t="s">
        <v>1200</v>
      </c>
    </row>
    <row r="19" spans="1:3" ht="14.4">
      <c r="A19" s="3411"/>
      <c r="B19" s="3408"/>
      <c r="C19" s="1525" t="s">
        <v>1201</v>
      </c>
    </row>
    <row r="20" spans="1:3" ht="14.4">
      <c r="A20" s="3412"/>
      <c r="B20" s="3407" t="s">
        <v>1202</v>
      </c>
      <c r="C20" s="3406"/>
    </row>
    <row r="21" spans="1:3" ht="14.4">
      <c r="A21" s="1526" t="s">
        <v>1203</v>
      </c>
      <c r="B21" s="1527"/>
      <c r="C21" s="1528"/>
    </row>
    <row r="22" spans="1:3" ht="14.4">
      <c r="A22" s="3409" t="s">
        <v>1204</v>
      </c>
      <c r="B22" s="3407" t="s">
        <v>1205</v>
      </c>
      <c r="C22" s="3406"/>
    </row>
    <row r="23" spans="1:3" ht="14.4">
      <c r="A23" s="3409"/>
      <c r="B23" s="3407" t="s">
        <v>1206</v>
      </c>
      <c r="C23" s="3406"/>
    </row>
    <row r="24" spans="1:3" ht="14.4">
      <c r="A24" s="3409"/>
      <c r="B24" s="3407" t="s">
        <v>1207</v>
      </c>
      <c r="C24" s="3406"/>
    </row>
    <row r="25" spans="1:3" ht="14.4">
      <c r="A25" s="3409"/>
      <c r="B25" s="3408" t="s">
        <v>1208</v>
      </c>
      <c r="C25" s="1525" t="s">
        <v>1209</v>
      </c>
    </row>
    <row r="26" spans="1:3" ht="14.4">
      <c r="A26" s="3409"/>
      <c r="B26" s="3408"/>
      <c r="C26" s="1525" t="s">
        <v>1210</v>
      </c>
    </row>
    <row r="27" spans="1:3" ht="14.4">
      <c r="A27" s="3409"/>
      <c r="B27" s="3408"/>
      <c r="C27" s="1525" t="s">
        <v>1211</v>
      </c>
    </row>
    <row r="28" spans="1:3" ht="14.4">
      <c r="A28" s="3409"/>
      <c r="B28" s="3408"/>
      <c r="C28" s="1525" t="s">
        <v>1212</v>
      </c>
    </row>
    <row r="29" spans="1:3" ht="14.4">
      <c r="A29" s="3409"/>
      <c r="B29" s="3408"/>
      <c r="C29" s="1525" t="s">
        <v>1213</v>
      </c>
    </row>
    <row r="30" spans="1:3" ht="14.4">
      <c r="A30" s="3409"/>
      <c r="B30" s="3408"/>
      <c r="C30" s="1525" t="s">
        <v>1214</v>
      </c>
    </row>
    <row r="31" spans="1:3" ht="14.4">
      <c r="A31" s="3409"/>
      <c r="B31" s="3408"/>
      <c r="C31" s="1525" t="s">
        <v>1215</v>
      </c>
    </row>
    <row r="32" spans="1:3" ht="14.4">
      <c r="A32" s="3409"/>
      <c r="B32" s="3408"/>
      <c r="C32" s="1525" t="s">
        <v>1216</v>
      </c>
    </row>
    <row r="33" spans="1:3" ht="14.4">
      <c r="A33" s="3409"/>
      <c r="B33" s="3408"/>
      <c r="C33" s="1525" t="s">
        <v>1217</v>
      </c>
    </row>
    <row r="34" spans="1:3">
      <c r="A34" s="1529" t="s">
        <v>76</v>
      </c>
    </row>
    <row r="37" spans="1:3">
      <c r="A37" s="1529" t="s">
        <v>1218</v>
      </c>
    </row>
    <row r="38" spans="1:3" ht="14.4">
      <c r="A38" s="1530" t="s">
        <v>77</v>
      </c>
    </row>
    <row r="39" spans="1:3" ht="14.4">
      <c r="A39" s="1530" t="s">
        <v>78</v>
      </c>
    </row>
    <row r="40" spans="1:3" ht="14.4">
      <c r="A40" s="1530" t="s">
        <v>79</v>
      </c>
    </row>
    <row r="41" spans="1:3" ht="14.4">
      <c r="A41" s="1531" t="s">
        <v>80</v>
      </c>
    </row>
    <row r="42" spans="1:3" ht="14.4">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160" customWidth="1"/>
    <col min="2" max="2" width="38.6640625" style="2160" customWidth="1"/>
    <col min="3" max="3" width="26" style="2160" customWidth="1"/>
    <col min="4" max="4" width="35" style="2160" hidden="1" customWidth="1"/>
    <col min="5" max="5" width="30.109375" style="2160" customWidth="1"/>
    <col min="6" max="6" width="35.44140625" style="2160" customWidth="1"/>
    <col min="7" max="7" width="31" style="2160" customWidth="1"/>
    <col min="8" max="8" width="37.44140625" style="2160" hidden="1" customWidth="1"/>
    <col min="9" max="16384" width="22.6640625" style="2160"/>
  </cols>
  <sheetData>
    <row r="1" spans="1:8" ht="24" customHeight="1">
      <c r="A1" s="2159"/>
      <c r="B1" s="2159"/>
      <c r="C1" s="2159"/>
      <c r="D1" s="2159"/>
      <c r="E1" s="2159"/>
      <c r="F1" s="2159"/>
      <c r="G1" s="2159"/>
      <c r="H1" s="2159"/>
    </row>
    <row r="2" spans="1:8" ht="24" customHeight="1">
      <c r="A2" s="2161" t="s">
        <v>2423</v>
      </c>
      <c r="B2" s="2162">
        <f ca="1">TODAY()</f>
        <v>44688</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3" t="s">
        <v>2444</v>
      </c>
      <c r="B17" s="3413"/>
      <c r="C17" s="3413"/>
      <c r="D17" s="3413"/>
      <c r="E17" s="3413"/>
      <c r="F17" s="3413"/>
      <c r="G17" s="3413"/>
      <c r="H17" s="3413"/>
    </row>
    <row r="18" spans="1:8" ht="24" customHeight="1">
      <c r="A18" s="3414" t="s">
        <v>2445</v>
      </c>
      <c r="B18" s="3414"/>
      <c r="C18" s="3414"/>
      <c r="D18" s="2166"/>
      <c r="E18" s="3415" t="s">
        <v>2446</v>
      </c>
      <c r="F18" s="3414"/>
      <c r="G18" s="3414"/>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2022-03-25T05:42:40Z</cp:lastPrinted>
  <dcterms:created xsi:type="dcterms:W3CDTF">2015-07-13T07:17:23Z</dcterms:created>
  <dcterms:modified xsi:type="dcterms:W3CDTF">2022-05-07T06:49:56Z</dcterms:modified>
</cp:coreProperties>
</file>