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收益法（汇总）" sheetId="70" r:id="rId20"/>
    <sheet name="收益法" sheetId="15" r:id="rId21"/>
    <sheet name="收益法-车库" sheetId="81" r:id="rId22"/>
    <sheet name="成本法" sheetId="68" r:id="rId23"/>
    <sheet name="成本法 (元)" sheetId="69" state="hidden" r:id="rId24"/>
    <sheet name="假设开发法" sheetId="12" state="hidden" r:id="rId25"/>
    <sheet name="基准地价修正" sheetId="43" state="hidden" r:id="rId26"/>
    <sheet name="收益法 (元)" sheetId="67" state="hidden" r:id="rId27"/>
    <sheet name="收益法-酒店模型" sheetId="77" state="hidden" r:id="rId28"/>
    <sheet name="比较法-住宅" sheetId="21" state="hidden" r:id="rId29"/>
    <sheet name="土地比较法-住宅、综合" sheetId="39" r:id="rId30"/>
    <sheet name="土地案例" sheetId="82" r:id="rId31"/>
    <sheet name="台账" sheetId="83"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历史" sheetId="84"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G">#REF!</definedName>
    <definedName name="\P">#REF!</definedName>
    <definedName name="\Q">#REF!</definedName>
    <definedName name="\S">#REF!</definedName>
    <definedName name="_Fill" hidden="1">#REF!</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8" hidden="1">'比较法-住宅'!$A$1:$L$49</definedName>
    <definedName name="_xlnm._FilterDatabase" localSheetId="12" hidden="1">'数据-基础表'!$A$12:$AT$587</definedName>
    <definedName name="_xlnm._FilterDatabase" localSheetId="31" hidden="1">台账!$A$3:$H$12</definedName>
    <definedName name="_xlnm._FilterDatabase" localSheetId="37" hidden="1">'土地比较法-工业'!$A$1:$L$43</definedName>
    <definedName name="_xlnm._FilterDatabase" localSheetId="29" hidden="1">'土地比较法-住宅、综合'!$A$1:$L$48</definedName>
    <definedName name="_xlnm._FilterDatabase" localSheetId="11" hidden="1">项目基本情况!$A$42:$N$42</definedName>
    <definedName name="a" hidden="1">{"MonthlyRentRoll",#N/A,FALSE,"RentRoll"}</definedName>
    <definedName name="Access_Button" hidden="1">"ＴＰ総括表_ビルデータ_List"</definedName>
    <definedName name="AccessDatabase" hidden="1">"E:\Ｔ・PROJECT\ＴＰ総括表.mdb"</definedName>
    <definedName name="accost">#REF!</definedName>
    <definedName name="ALBERT_COMPLEX">#REF!</definedName>
    <definedName name="Alert">CHOOSE(Switch,Green,Yellow,Red)</definedName>
    <definedName name="AnnualRevenue">[1]C!$E$12:$H$12</definedName>
    <definedName name="APLequity">#REF!</definedName>
    <definedName name="asd">CHOOSE(Switch,Green,Yellow,Red)</definedName>
    <definedName name="b">#REF!</definedName>
    <definedName name="B_PRINT">#REF!</definedName>
    <definedName name="B_TITLE">#REF!</definedName>
    <definedName name="ban" hidden="1">{#N/A,#N/A,FALSE,"5YRASSPl - consol'd";#N/A,#N/A,FALSE,"5YRASSPl - hotel";#N/A,#N/A,FALSE,"5YRASSPl - excl htl";#N/A,#N/A,FALSE,"VarReport";#N/A,#N/A,FALSE,"Sensitivity";#N/A,#N/A,FALSE,"House View ";#N/A,#N/A,FALSE,"KPI"}</definedName>
    <definedName name="bea">[2]CASHFLOW!#REF!</definedName>
    <definedName name="BUGIS_VILLAGE">#REF!</definedName>
    <definedName name="Button_1">"House_View_Sheet1_List"</definedName>
    <definedName name="Button_2">"House_View_Sheet1_List"</definedName>
    <definedName name="Button_3">"House_View_Sheet1_List1"</definedName>
    <definedName name="C_PRINT">#REF!</definedName>
    <definedName name="C_TITLE">#REF!</definedName>
    <definedName name="CAIRNHILL_PLACE">#REF!</definedName>
    <definedName name="capres">'[3]Base Case'!#REF!</definedName>
    <definedName name="ChAC">#REF!</definedName>
    <definedName name="ChBV">#REF!</definedName>
    <definedName name="City">[1]Control!$B$16</definedName>
    <definedName name="CUPPAGE_TERRACE">#REF!</definedName>
    <definedName name="CustName">#REF!</definedName>
    <definedName name="D_PRINT">#REF!</definedName>
    <definedName name="D_TITLE">[2]CASHFLOW!#REF!</definedName>
    <definedName name="Data1">[4]CC!$D$5:$H$5</definedName>
    <definedName name="DataNums">[5]!DataNums</definedName>
    <definedName name="DataText">[5]!DataText</definedName>
    <definedName name="DataYr">[5]!DataYr</definedName>
    <definedName name="date">#REF!</definedName>
    <definedName name="DaysRemainByArea">#REF!</definedName>
    <definedName name="DE">#REF!</definedName>
    <definedName name="debt">'[3]Base Case'!#REF!</definedName>
    <definedName name="DescQtr">[5]!DescQtr</definedName>
    <definedName name="DescText">[5]!DescText</definedName>
    <definedName name="DescYr">[5]!DescYr</definedName>
    <definedName name="DFL" hidden="1">{#N/A,#N/A,TRUE,"Capex Summ";#N/A,#N/A,TRUE,"Essential Works.tw";#N/A,#N/A,TRUE,"Desirable Works.tw";#N/A,#N/A,TRUE,"Essential Works.rt";#N/A,#N/A,TRUE,"Desirable Works.rt";#N/A,#N/A,TRUE,"Mthly";#N/A,#N/A,TRUE,"Essential Works.ht";#N/A,#N/A,TRUE,"Desirable Works.ht";#N/A,#N/A,TRUE,"Incentives"}</definedName>
    <definedName name="DPFLSDPFL"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dsfkljsd" hidden="1">{#N/A,#N/A,TRUE,"Capex Summ";#N/A,#N/A,TRUE,"Essential Works.tw";#N/A,#N/A,TRUE,"Desirable Works.tw";#N/A,#N/A,TRUE,"Essential Works.rt";#N/A,#N/A,TRUE,"Desirable Works.rt";#N/A,#N/A,TRUE,"Mthly";#N/A,#N/A,TRUE,"Essential Works.ht";#N/A,#N/A,TRUE,"Desirable Works.ht";#N/A,#N/A,TRUE,"Incentives"}</definedName>
    <definedName name="dsgsdgsd" hidden="1">{#N/A,#N/A,FALSE,"5YRASSPl - consol'd";#N/A,#N/A,FALSE,"5YRASSPl - hotel";#N/A,#N/A,FALSE,"5YRASSPl - excl htl";#N/A,#N/A,FALSE,"VarReport";#N/A,#N/A,FALSE,"Sensitivity";#N/A,#N/A,FALSE,"House View ";#N/A,#N/A,FALSE,"KPI"}</definedName>
    <definedName name="E">#REF!</definedName>
    <definedName name="eff">'[3]Base Case'!#REF!</definedName>
    <definedName name="efficiency">'[3]Base Case'!#REF!</definedName>
    <definedName name="efficient">'[3]Base Case'!#REF!</definedName>
    <definedName name="equity">'[3]Base Case'!#REF!</definedName>
    <definedName name="er">#REF!</definedName>
    <definedName name="ex_rate">#REF!</definedName>
    <definedName name="excap">'[3]Base Case'!#REF!</definedName>
    <definedName name="ExitDate">#REF!</definedName>
    <definedName name="ExitYear">#REF!</definedName>
    <definedName name="EXPIRIES">'[6]Office only Letup'!#REF!</definedName>
    <definedName name="First_Qtr_Pd">[1]Control!$B$7</definedName>
    <definedName name="First_Yr_Pd">[1]Control!$B$10</definedName>
    <definedName name="GFA">[7]Detail!#REF!</definedName>
    <definedName name="GOTO_MENU">#REF!</definedName>
    <definedName name="Green">[4]Report!$B$14</definedName>
    <definedName name="haha" hidden="1">{#N/A,#N/A,FALSE,"asset plan";#N/A,#N/A,FALSE,"Mgmt Report";#N/A,#N/A,FALSE,"sensitivities (2)";#N/A,#N/A,FALSE,"sensitivities";#N/A,#N/A,FALSE,"let up 10  Mort";#N/A,#N/A,FALSE,"let up 12 Mort";#N/A,#N/A,FALSE,"Capex";#N/A,#N/A,FALSE,"Capex Cashflow (2)";#N/A,#N/A,FALSE,"Capex Cashflow (3)";#N/A,#N/A,FALSE,"House View";#N/A,#N/A,FALSE,"kpi"}</definedName>
    <definedName name="hhh" hidden="1">{#N/A,#N/A,FALSE,"asset plan";#N/A,#N/A,FALSE,"Mgmt Report";#N/A,#N/A,FALSE,"sensitivities (2)";#N/A,#N/A,FALSE,"sensitivities";#N/A,#N/A,FALSE,"let up 10  Mort";#N/A,#N/A,FALSE,"let up 12 Mort";#N/A,#N/A,FALSE,"Capex";#N/A,#N/A,FALSE,"Capex Cashflow (2)";#N/A,#N/A,FALSE,"Capex Cashflow (3)";#N/A,#N/A,FALSE,"House View";#N/A,#N/A,FALSE,"kpi"}</definedName>
    <definedName name="I">#REF!</definedName>
    <definedName name="k"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kyd.ChngCell.01." hidden="1">[1]Control!#REF!</definedName>
    <definedName name="kyd.CounterLimitCell.01." hidden="1">"x"</definedName>
    <definedName name="kyd.Dim.01." hidden="1">"local:Company"</definedName>
    <definedName name="kyd.ElementList.01." hidden="1">#REF!</definedName>
    <definedName name="kyd.ElementType.01." hidden="1">3</definedName>
    <definedName name="kyd.ItemType.01." hidden="1">2</definedName>
    <definedName name="kyd.MacroAfterMemoRow." hidden="1">""</definedName>
    <definedName name="kyd.MacroAfterZap." hidden="1">""</definedName>
    <definedName name="kyd.MacroAtEnd." hidden="1">""</definedName>
    <definedName name="kyd.MacroEachCycle." hidden="1">"FormatReport"</definedName>
    <definedName name="kyd.MacroEndOfEachCycle." hidden="1">""</definedName>
    <definedName name="kyd.MacroStartOfProc." hidden="1">""</definedName>
    <definedName name="kyd.MemoCtrlNum." hidden="1">0</definedName>
    <definedName name="kyd.MemoSortHide." hidden="1">FALSE</definedName>
    <definedName name="kyd.NumLevels.01." hidden="1">999</definedName>
    <definedName name="kyd.PanicStop." hidden="1">FALSE</definedName>
    <definedName name="kyd.ParentName.01." hidden="1">""</definedName>
    <definedName name="kyd.PreScreenData." hidden="1">FALSE</definedName>
    <definedName name="kyd.PrintMemo." hidden="1">FALSE</definedName>
    <definedName name="kyd.PrintParent.01." hidden="1">TRUE</definedName>
    <definedName name="kyd.PrintStdAlertCell." hidden="1">[1]Control!#REF!</definedName>
    <definedName name="kyd.PrintStdWhen." hidden="1">3</definedName>
    <definedName name="kyd.PrintToWbk." hidden="1">FALSE</definedName>
    <definedName name="kyd.ProcessInCycle." hidden="1">FALSE</definedName>
    <definedName name="kyd.SaveAsFile." hidden="1">FALSE</definedName>
    <definedName name="kyd.SaveMemo." hidden="1">FALSE</definedName>
    <definedName name="kyd.SelectString.01." hidden="1">"*"</definedName>
    <definedName name="kyd.ServerCell." hidden="1">[1]Control!#REF!</definedName>
    <definedName name="kyd.Shortcut." hidden="1">FALSE</definedName>
    <definedName name="kyd.StdSortHide." hidden="1">FALSE</definedName>
    <definedName name="kyd.StopRow." hidden="1">65536</definedName>
    <definedName name="kyd.WriteMemWhenOptn." hidden="1">3</definedName>
    <definedName name="L">#REF!</definedName>
    <definedName name="Last_Qtr_Pd">[1]Control!$B$8</definedName>
    <definedName name="Last_Yr_Pd">[1]Control!$B$11</definedName>
    <definedName name="LastQtrIndex">[1]Control!$B$12</definedName>
    <definedName name="LastYrIndex">[1]Control!$B$13</definedName>
    <definedName name="ltv">'[3]Base Case'!#REF!</definedName>
    <definedName name="M1IntAllIn">#REF!</definedName>
    <definedName name="M1loan">#REF!</definedName>
    <definedName name="M2loan">#REF!</definedName>
    <definedName name="N_TITLE">#REF!</definedName>
    <definedName name="Name">[5]!Name</definedName>
    <definedName name="NE">#REF!</definedName>
    <definedName name="Number_Qtrs">[1]Control!$B$9</definedName>
    <definedName name="o">#REF!</definedName>
    <definedName name="OLE_LINK14">'[8]2-项目资源'!#REF!</definedName>
    <definedName name="OLE_LINK17">'[8]2-项目资源'!#REF!</definedName>
    <definedName name="OLE_LINK19">'[8]2-项目资源'!#REF!</definedName>
    <definedName name="OLE_LINK9">'[8]2-项目资源'!#REF!</definedName>
    <definedName name="ORCHARD_POINT">#REF!</definedName>
    <definedName name="PEint">#REF!</definedName>
    <definedName name="PEloan">#REF!</definedName>
    <definedName name="PERANAKAN_PLACE">#REF!</definedName>
    <definedName name="PP">#REF!</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5">基准地价修正!$A$1:$J$44,基准地价修正!$A$47:$H$101,基准地价修正!$R$1:$V$16</definedName>
    <definedName name="_xlnm.Print_Area" localSheetId="24">假设开发法!$A$1:$K$32</definedName>
    <definedName name="_xlnm.Print_Area" localSheetId="18">结果表!$A$1:$I$127</definedName>
    <definedName name="_xlnm.Print_Area" localSheetId="20">收益法!$A$1:$F$43,收益法!$H$3:$M$29,收益法!$A$46:$F$71,收益法!$I$46:$N$65</definedName>
    <definedName name="_xlnm.Print_Area" localSheetId="26">'收益法 (元)'!$A$1:$F$43,'收益法 (元)'!$H$3:$M$29,'收益法 (元)'!$A$45:$F$71,'收益法 (元)'!$I$46:$N$65</definedName>
    <definedName name="_xlnm.Print_Area" localSheetId="19">'收益法（汇总）'!$A$1:$F$13</definedName>
    <definedName name="_xlnm.Print_Area" localSheetId="21">'收益法-车库'!$A$1:$F$43,'收益法-车库'!$H$3:$M$29,'收益法-车库'!$A$46:$F$71,'收益法-车库'!$I$46:$N$65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_xlnm.Print_Area">#REF!</definedName>
    <definedName name="Print_Area_MI">#REF!</definedName>
    <definedName name="PRINT_MENU">#REF!</definedName>
    <definedName name="_xlnm.Print_Titles">#REF!</definedName>
    <definedName name="PRINT_TITLES_MI">#REF!</definedName>
    <definedName name="print1">'[9]Cash Flow Annual'!#REF!</definedName>
    <definedName name="print12">'[9]Cash Flow Annual'!#REF!</definedName>
    <definedName name="print13">'[9]Cash Flow Annual'!#REF!</definedName>
    <definedName name="print2">'[9]Cash Flow Annual'!#REF!</definedName>
    <definedName name="print3">'[9]Cash Flow Annual'!#REF!</definedName>
    <definedName name="print4">'[9]Cash Flow Annual'!#REF!</definedName>
    <definedName name="print6">'[9]Cash Flow Annual'!#REF!</definedName>
    <definedName name="print7">'[9]Cash Flow Annual'!#REF!</definedName>
    <definedName name="print8">'[9]Cash Flow Annual'!#REF!</definedName>
    <definedName name="print9">'[9]Cash Flow Annual'!#REF!</definedName>
    <definedName name="ProjectName">{"Client Name or Project Name"}</definedName>
    <definedName name="Quarter">[5]!Quarter</definedName>
    <definedName name="Quarters">[1]Xaxis!$C$4:$I$4</definedName>
    <definedName name="rate2001">#REF!</definedName>
    <definedName name="rate2002">#REF!</definedName>
    <definedName name="rate2003">#REF!</definedName>
    <definedName name="rate2004">#REF!</definedName>
    <definedName name="rate2005">#REF!</definedName>
    <definedName name="rate2006">#REF!</definedName>
    <definedName name="Red">[4]Report!$B$18</definedName>
    <definedName name="RefiDate">#REF!</definedName>
    <definedName name="RefiYear">#REF!</definedName>
    <definedName name="RENEWALS">'[6]Office only Letup'!#REF!</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dd" hidden="1">{#N/A,#N/A,FALSE,"OperatingAssumptions"}</definedName>
    <definedName name="sample">[10]CASHFLOW!#REF!</definedName>
    <definedName name="ScaleLabel">[1]Control!$C$2:$C$4</definedName>
    <definedName name="ScaleMultiplier">[1]Control!$B$2:$B$4</definedName>
    <definedName name="ScaleType">[1]C!$B$4</definedName>
    <definedName name="Sint">#REF!</definedName>
    <definedName name="Sloan">#REF!</definedName>
    <definedName name="SMA_HOUSE">#REF!</definedName>
    <definedName name="Start">#REF!</definedName>
    <definedName name="State">[1]Control!$B$17</definedName>
    <definedName name="Switch">[4]Report!$B$2</definedName>
    <definedName name="Table1">[1]B!$C$23:$I$33</definedName>
    <definedName name="Table2">[1]A!$C$17:$K$28</definedName>
    <definedName name="tax">#REF!</definedName>
    <definedName name="test">'[11]Cash Flow Annual'!#REF!</definedName>
    <definedName name="test3">'[11]Cash Flow Annual'!$A$152:$O$198</definedName>
    <definedName name="test6">'[11]Cash Flow Annual'!$A$280:$O$318</definedName>
    <definedName name="test7">'[11]Cash Flow Annual'!$A$319:$O$356</definedName>
    <definedName name="test8">'[11]Cash Flow Annual'!$A$359:$O$396</definedName>
    <definedName name="test9">'[11]Cash Flow Annual'!$A$402:$O$481</definedName>
    <definedName name="wrn.AnnualRentRoll" hidden="1">{"AnnualRentRoll",#N/A,FALSE,"RentRoll"}</definedName>
    <definedName name="wrn.AnnualRentRoll." hidden="1">{"AnnualRentRoll",#N/A,FALSE,"RentRoll"}</definedName>
    <definedName name="wrn.Capex." hidden="1">{#N/A,#N/A,TRUE,"Capex Summ";#N/A,#N/A,TRUE,"Essential Works.tw";#N/A,#N/A,TRUE,"Desirable Works.tw";#N/A,#N/A,TRUE,"Essential Works.rt";#N/A,#N/A,TRUE,"Desirable Works.rt";#N/A,#N/A,TRUE,"Mthly";#N/A,#N/A,TRUE,"Essential Works.ht";#N/A,#N/A,TRUE,"Desirable Works.ht";#N/A,#N/A,TRUE,"Incentives"}</definedName>
    <definedName name="wrn.ExitAndSalesAssumptions." hidden="1">{#N/A,#N/A,FALSE,"ExitStratigy"}</definedName>
    <definedName name="wrn.fullreport." hidden="1">{#N/A,#N/A,FALSE,"530&amp;120Consol";#N/A,#N/A,FALSE,"530aplan";#N/A,#N/A,FALSE,"120aplan";#N/A,#N/A,FALSE,"mgmt report";#N/A,#N/A,FALSE,"variance";#N/A,#N/A,FALSE,"SENSITIVE 9899";#N/A,#N/A,FALSE,"Letup 530";#N/A,#N/A,FALSE,"LETUP 120";#N/A,#N/A,FALSE,"Rent Review";#N/A,#N/A,FALSE,"Option";#N/A,#N/A,FALSE,"530 capex summ";#N/A,#N/A,FALSE,"120 capex summ";#N/A,#N/A,FALSE,"mtlhy cashflow";#N/A,#N/A,FALSE,"530 Collins E&amp;D";#N/A,#N/A,FALSE,"120 King E&amp;D";#N/A,#N/A,FALSE,"House View  530std  "}</definedName>
    <definedName name="wrn.LoanInformation." hidden="1">{#N/A,#N/A,FALSE,"LoanAssumptions"}</definedName>
    <definedName name="wrn.MonthlyRentRoll." hidden="1">{"MonthlyRentRoll",#N/A,FALSE,"RentRoll"}</definedName>
    <definedName name="wrn.mortassetplan." hidden="1">{#N/A,#N/A,FALSE,"asset plan";#N/A,#N/A,FALSE,"Mgmt Report";#N/A,#N/A,FALSE,"sensitivities (2)";#N/A,#N/A,FALSE,"sensitivities";#N/A,#N/A,FALSE,"let up 10  Mort";#N/A,#N/A,FALSE,"let up 12 Mort";#N/A,#N/A,FALSE,"Capex";#N/A,#N/A,FALSE,"Capex Cashflow (2)";#N/A,#N/A,FALSE,"Capex Cashflow (3)";#N/A,#N/A,FALSE,"House View";#N/A,#N/A,FALSE,"kpi"}</definedName>
    <definedName name="wrn.OperatingAssumtions." hidden="1">{#N/A,#N/A,FALSE,"OperatingAssumptions"}</definedName>
    <definedName name="wrn.Presentation." hidden="1">{#N/A,#N/A,TRUE,"Summary";"AnnualRentRoll",#N/A,TRUE,"RentRoll";#N/A,#N/A,TRUE,"ExitStratigy";#N/A,#N/A,TRUE,"OperatingAssumptions"}</definedName>
    <definedName name="wrn.PropertyInformation." hidden="1">{#N/A,#N/A,FALSE,"PropertyInfo"}</definedName>
    <definedName name="wrn.QAPU." hidden="1">{#N/A,#N/A,FALSE,"5YRASSPl - consol'd";#N/A,#N/A,FALSE,"5YRASSPl - hotel";#N/A,#N/A,FALSE,"5YRASSPl - excl htl";#N/A,#N/A,FALSE,"VarReport";#N/A,#N/A,FALSE,"Sensitivity";#N/A,#N/A,FALSE,"House View ";#N/A,#N/A,FALSE,"KPI"}</definedName>
    <definedName name="wrn.Summary." hidden="1">{#N/A,#N/A,FALSE,"Summary"}</definedName>
    <definedName name="Xaxis">[4]CC!$D$4:$H$4</definedName>
    <definedName name="XR">[12]drivers!$C$2</definedName>
    <definedName name="Year">[5]!Year</definedName>
    <definedName name="Year_End">[5]!Year_End</definedName>
    <definedName name="Yellow">[4]Report!$B$16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部门">[13]初始设置!$B$3:$B$26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进度">'[14]资金计划 '!#REF!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入力済" hidden="1">{"MonthlyRentRoll",#N/A,FALSE,"RentRoll"}</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'[15]数据-汇总表'!$C$17:$C$26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账款1">'[8]2-项目资源'!#REF!</definedName>
    <definedName name="营业费率">'[14]资金计划 '!$C$43</definedName>
    <definedName name="营业税率">'[14]资金计划 '!$C$42</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J52" i="81" l="1"/>
  <c r="J52" i="15"/>
  <c r="I91" i="9" l="1"/>
  <c r="C88" i="9"/>
  <c r="G33" i="83" l="1"/>
  <c r="G30" i="83"/>
  <c r="G29" i="83"/>
  <c r="G27" i="83"/>
  <c r="D12" i="83"/>
  <c r="G11" i="83"/>
  <c r="G10" i="83"/>
  <c r="G9" i="83"/>
  <c r="G8" i="83"/>
  <c r="G7" i="83"/>
  <c r="G6" i="83"/>
  <c r="G5" i="83"/>
  <c r="D4" i="83"/>
  <c r="I46" i="39" l="1"/>
  <c r="G46" i="39"/>
  <c r="E46" i="39"/>
  <c r="I38" i="39"/>
  <c r="G38" i="39"/>
  <c r="E38" i="39"/>
  <c r="C38" i="39"/>
  <c r="E70" i="39"/>
  <c r="F70" i="39" s="1"/>
  <c r="G70" i="39" s="1"/>
  <c r="H70" i="39" s="1"/>
  <c r="I70" i="39" s="1"/>
  <c r="J70" i="39" s="1"/>
  <c r="K70" i="39" s="1"/>
  <c r="L70" i="39" s="1"/>
  <c r="M70" i="39" s="1"/>
  <c r="N70" i="39" s="1"/>
  <c r="O70" i="39" s="1"/>
  <c r="D70" i="39"/>
  <c r="I7" i="39"/>
  <c r="G7" i="39"/>
  <c r="E7" i="39"/>
  <c r="C11" i="39"/>
  <c r="E57" i="39"/>
  <c r="Q72" i="81"/>
  <c r="Q59" i="81"/>
  <c r="K59" i="81"/>
  <c r="P74" i="81" s="1"/>
  <c r="F59" i="81"/>
  <c r="Q58" i="81"/>
  <c r="Q51" i="81"/>
  <c r="J51" i="81"/>
  <c r="J50" i="81"/>
  <c r="M47" i="81"/>
  <c r="D46" i="81"/>
  <c r="F33" i="81"/>
  <c r="F61" i="81" s="1"/>
  <c r="F32" i="81"/>
  <c r="F60" i="81" s="1"/>
  <c r="F31" i="81"/>
  <c r="F28" i="81"/>
  <c r="C28" i="81"/>
  <c r="F23" i="81"/>
  <c r="D24" i="81" s="1"/>
  <c r="D23" i="81"/>
  <c r="D22" i="81"/>
  <c r="F21" i="81"/>
  <c r="F20" i="81"/>
  <c r="M19" i="81"/>
  <c r="M18" i="81"/>
  <c r="F18" i="81"/>
  <c r="M17" i="81"/>
  <c r="F17" i="81"/>
  <c r="F15" i="81"/>
  <c r="G1" i="81"/>
  <c r="E7" i="80"/>
  <c r="E6" i="80"/>
  <c r="E5" i="80"/>
  <c r="E4" i="80"/>
  <c r="E9" i="80" s="1"/>
  <c r="U6" i="1" s="1"/>
  <c r="G51" i="43"/>
  <c r="G52" i="43"/>
  <c r="G53" i="43"/>
  <c r="G54" i="43"/>
  <c r="G55" i="43"/>
  <c r="G56" i="43"/>
  <c r="G57" i="43"/>
  <c r="G58" i="43"/>
  <c r="G50" i="43"/>
  <c r="U5" i="43"/>
  <c r="U4" i="43"/>
  <c r="U3" i="43"/>
  <c r="U2" i="43"/>
  <c r="G44" i="43"/>
  <c r="U21" i="1"/>
  <c r="N7" i="1"/>
  <c r="N21" i="1"/>
  <c r="N19" i="1"/>
  <c r="C76" i="81"/>
  <c r="Y6" i="1" l="1"/>
  <c r="Y7" i="1" s="1"/>
  <c r="Q71" i="81"/>
  <c r="P61" i="81"/>
  <c r="F13" i="81"/>
  <c r="F16" i="81"/>
  <c r="M6" i="81"/>
  <c r="F40" i="81"/>
  <c r="M8" i="81"/>
  <c r="F42" i="81"/>
  <c r="F8" i="81"/>
  <c r="L48" i="81"/>
  <c r="F38" i="81"/>
  <c r="F7" i="81"/>
  <c r="M28" i="81"/>
  <c r="F43" i="81"/>
  <c r="J15" i="81"/>
  <c r="M22" i="81"/>
  <c r="L47" i="81"/>
  <c r="F26" i="81"/>
  <c r="M26" i="81"/>
  <c r="F9" i="81"/>
  <c r="M24" i="81"/>
  <c r="F36" i="81"/>
  <c r="F37" i="81"/>
  <c r="F6" i="81"/>
  <c r="M9" i="81"/>
  <c r="M27" i="81"/>
  <c r="M29" i="81"/>
  <c r="M23" i="81"/>
  <c r="N59" i="81" l="1"/>
  <c r="L59" i="81"/>
  <c r="L58" i="81"/>
  <c r="M59" i="81"/>
  <c r="F51" i="81"/>
  <c r="F65" i="81"/>
  <c r="L57" i="81"/>
  <c r="L56" i="81"/>
  <c r="I54" i="81"/>
  <c r="L60" i="81"/>
  <c r="J53" i="81"/>
  <c r="J57" i="81"/>
  <c r="J55" i="81" s="1"/>
  <c r="J58" i="81" s="1"/>
  <c r="Q50" i="81" s="1"/>
  <c r="F71" i="81"/>
  <c r="F68" i="81"/>
  <c r="F50" i="81"/>
  <c r="M7" i="81"/>
  <c r="J6" i="81" s="1"/>
  <c r="F66" i="81"/>
  <c r="F64" i="81"/>
  <c r="C27" i="81"/>
  <c r="C6" i="81"/>
  <c r="C17" i="81"/>
  <c r="C49" i="81" l="1"/>
  <c r="C61" i="81" s="1"/>
  <c r="J19" i="81"/>
  <c r="J18" i="81"/>
  <c r="Q66" i="81"/>
  <c r="Q57" i="81"/>
  <c r="Q60" i="81"/>
  <c r="Q73" i="81"/>
  <c r="F1" i="81"/>
  <c r="Q52" i="81"/>
  <c r="Q61" i="81"/>
  <c r="Q74" i="81"/>
  <c r="C33" i="81"/>
  <c r="C32" i="81"/>
  <c r="M13" i="3" l="1"/>
  <c r="D42" i="43" s="1"/>
  <c r="K13" i="3"/>
  <c r="D37" i="43" s="1"/>
  <c r="I13" i="3"/>
  <c r="D33" i="43" s="1"/>
  <c r="G19" i="6" l="1"/>
  <c r="F19" i="6"/>
  <c r="G20" i="6"/>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86"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40" i="71"/>
  <c r="D40" i="71"/>
  <c r="T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S42"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C14" i="81"/>
  <c r="B8" i="76"/>
  <c r="C76" i="15"/>
  <c r="F37" i="15"/>
  <c r="E2" i="69"/>
  <c r="F36" i="67"/>
  <c r="F37" i="67"/>
  <c r="M26" i="15"/>
  <c r="AO13" i="1"/>
  <c r="M28" i="15"/>
  <c r="F6" i="67"/>
  <c r="F9" i="15"/>
  <c r="F20" i="31"/>
  <c r="F13" i="15"/>
  <c r="F8" i="15"/>
  <c r="C76" i="67"/>
  <c r="J15" i="15"/>
  <c r="B11" i="76"/>
  <c r="F4" i="73"/>
  <c r="F16" i="67"/>
  <c r="M9" i="15"/>
  <c r="M8" i="67"/>
  <c r="L48" i="15"/>
  <c r="F38" i="15"/>
  <c r="F16" i="15"/>
  <c r="E10" i="76"/>
  <c r="M29" i="15"/>
  <c r="E12" i="76"/>
  <c r="F40" i="67"/>
  <c r="J15" i="67"/>
  <c r="F26" i="67"/>
  <c r="F13" i="67"/>
  <c r="B7" i="76"/>
  <c r="M8" i="15"/>
  <c r="D5" i="73"/>
  <c r="F43" i="15"/>
  <c r="F42" i="67"/>
  <c r="F7" i="67"/>
  <c r="M23" i="67"/>
  <c r="F9" i="67"/>
  <c r="L47" i="15"/>
  <c r="F8" i="67"/>
  <c r="F6" i="73"/>
  <c r="M26" i="67"/>
  <c r="E11" i="76"/>
  <c r="F26" i="15"/>
  <c r="E2" i="68"/>
  <c r="E13" i="76"/>
  <c r="B12" i="76"/>
  <c r="F42" i="15"/>
  <c r="E8" i="76"/>
  <c r="M28" i="67"/>
  <c r="F3" i="73"/>
  <c r="D3" i="73"/>
  <c r="B10" i="76"/>
  <c r="M22" i="67"/>
  <c r="C16" i="81"/>
  <c r="M9" i="67"/>
  <c r="M6" i="15"/>
  <c r="F5" i="73"/>
  <c r="L47" i="67"/>
  <c r="F38" i="67"/>
  <c r="E7" i="76"/>
  <c r="F7" i="15"/>
  <c r="F7" i="73"/>
  <c r="M6" i="67"/>
  <c r="F36" i="15"/>
  <c r="F6" i="15"/>
  <c r="M22" i="15"/>
  <c r="B9" i="76"/>
  <c r="M29" i="67"/>
  <c r="F43" i="67"/>
  <c r="E9" i="76"/>
  <c r="L48" i="67"/>
  <c r="M23" i="15"/>
  <c r="M24" i="67"/>
  <c r="D4" i="73"/>
  <c r="M24" i="15"/>
  <c r="D7" i="73"/>
  <c r="F40" i="15"/>
  <c r="B13" i="76"/>
  <c r="D6" i="73"/>
  <c r="M20" i="15" l="1"/>
  <c r="F34" i="81"/>
  <c r="F62" i="81" s="1"/>
  <c r="M20" i="81"/>
  <c r="C18" i="81"/>
  <c r="C15" i="81"/>
  <c r="O7" i="1"/>
  <c r="P7" i="1" s="1"/>
  <c r="AC17" i="39"/>
  <c r="AA41" i="39"/>
  <c r="AA39" i="39"/>
  <c r="W27" i="39"/>
  <c r="U17" i="39"/>
  <c r="S11" i="39"/>
  <c r="G13" i="3"/>
  <c r="D52" i="43"/>
  <c r="E50" i="43" s="1"/>
  <c r="B48" i="43" s="1"/>
  <c r="D54" i="43"/>
  <c r="C28" i="67"/>
  <c r="E15" i="71"/>
  <c r="E14" i="71" s="1"/>
  <c r="E13" i="71" s="1"/>
  <c r="E12" i="71" s="1"/>
  <c r="V16" i="71"/>
  <c r="D16" i="53"/>
  <c r="B34" i="72" s="1"/>
  <c r="AZ557" i="3"/>
  <c r="U31" i="21"/>
  <c r="AB31" i="21"/>
  <c r="AC45" i="21"/>
  <c r="W45" i="21"/>
  <c r="V20" i="71"/>
  <c r="AZ585" i="3"/>
  <c r="W26" i="33"/>
  <c r="AC26" i="33"/>
  <c r="C16" i="71"/>
  <c r="D17" i="71"/>
  <c r="W17" i="21"/>
  <c r="AC15" i="21"/>
  <c r="U12" i="39"/>
  <c r="AA27" i="40"/>
  <c r="G28" i="6"/>
  <c r="F29" i="6"/>
  <c r="U43" i="33"/>
  <c r="AA41" i="34"/>
  <c r="U46" i="33"/>
  <c r="AA13" i="35"/>
  <c r="H23" i="35"/>
  <c r="J23" i="35"/>
  <c r="AZ400" i="3"/>
  <c r="AZ424" i="3"/>
  <c r="AZ429" i="3"/>
  <c r="BL5" i="3"/>
  <c r="G5" i="3"/>
  <c r="B3" i="3" s="1"/>
  <c r="E253" i="3" s="1"/>
  <c r="AC11" i="35"/>
  <c r="H12" i="36"/>
  <c r="H24" i="36"/>
  <c r="J26" i="37"/>
  <c r="H26" i="37"/>
  <c r="F26" i="37"/>
  <c r="AZ398" i="3"/>
  <c r="AZ405" i="3"/>
  <c r="AZ407" i="3"/>
  <c r="AZ410" i="3"/>
  <c r="AZ415" i="3"/>
  <c r="AZ431" i="3"/>
  <c r="AZ449" i="3"/>
  <c r="AZ453" i="3"/>
  <c r="AZ455" i="3"/>
  <c r="AZ460" i="3"/>
  <c r="AZ471" i="3"/>
  <c r="AZ476" i="3"/>
  <c r="AZ478" i="3"/>
  <c r="AZ484" i="3"/>
  <c r="AZ492" i="3"/>
  <c r="AZ395" i="3"/>
  <c r="AZ208" i="3"/>
  <c r="AZ211" i="3"/>
  <c r="F25" i="37"/>
  <c r="J25" i="37"/>
  <c r="F44" i="39"/>
  <c r="H38" i="40"/>
  <c r="J38" i="40"/>
  <c r="H39" i="40"/>
  <c r="AZ231" i="3"/>
  <c r="AZ244" i="3"/>
  <c r="AZ247" i="3"/>
  <c r="AZ260" i="3"/>
  <c r="AZ264" i="3"/>
  <c r="AZ282" i="3"/>
  <c r="AZ285" i="3"/>
  <c r="AZ290" i="3"/>
  <c r="AZ293" i="3"/>
  <c r="AZ153" i="3"/>
  <c r="AZ169" i="3"/>
  <c r="AZ36" i="3"/>
  <c r="AZ40" i="3"/>
  <c r="AZ46" i="3"/>
  <c r="AZ49" i="3"/>
  <c r="AZ220" i="3"/>
  <c r="AZ225" i="3"/>
  <c r="AZ22" i="3"/>
  <c r="AZ56" i="3"/>
  <c r="AZ60" i="3"/>
  <c r="AZ73" i="3"/>
  <c r="AZ78" i="3"/>
  <c r="AZ87" i="3"/>
  <c r="AZ91" i="3"/>
  <c r="AZ95" i="3"/>
  <c r="AZ98" i="3"/>
  <c r="AZ100" i="3"/>
  <c r="AZ104" i="3"/>
  <c r="S21" i="21"/>
  <c r="U18" i="36"/>
  <c r="C26" i="71"/>
  <c r="D26" i="71" s="1"/>
  <c r="D27" i="71"/>
  <c r="AB25" i="71"/>
  <c r="AB27" i="71"/>
  <c r="S28" i="71"/>
  <c r="AA29" i="71"/>
  <c r="Y9" i="71"/>
  <c r="Z9" i="71" s="1"/>
  <c r="Y10" i="71"/>
  <c r="Z10" i="71" s="1"/>
  <c r="AA9" i="71"/>
  <c r="X24" i="71"/>
  <c r="AA24" i="71"/>
  <c r="Y22" i="71"/>
  <c r="Z22" i="71" s="1"/>
  <c r="AA21" i="71"/>
  <c r="X21" i="71"/>
  <c r="Y18" i="71"/>
  <c r="Z18" i="71" s="1"/>
  <c r="AA10" i="71"/>
  <c r="Y14" i="71"/>
  <c r="Z14" i="71" s="1"/>
  <c r="AB14" i="71"/>
  <c r="X9" i="71"/>
  <c r="X10" i="71"/>
  <c r="AB9" i="71"/>
  <c r="AB10" i="71"/>
  <c r="Y24" i="71"/>
  <c r="Z24" i="71" s="1"/>
  <c r="AB24" i="71"/>
  <c r="AB23" i="71"/>
  <c r="AB21" i="71"/>
  <c r="X17" i="71"/>
  <c r="Y17" i="71"/>
  <c r="Z17" i="71" s="1"/>
  <c r="AA17" i="71"/>
  <c r="AB18" i="71"/>
  <c r="Y23" i="71"/>
  <c r="Z23" i="71" s="1"/>
  <c r="AA23" i="71"/>
  <c r="X22" i="71"/>
  <c r="Y21" i="71"/>
  <c r="Z21" i="71" s="1"/>
  <c r="AA22" i="71"/>
  <c r="X18" i="71"/>
  <c r="AA18" i="71"/>
  <c r="X15" i="71"/>
  <c r="AA15" i="71"/>
  <c r="AA13" i="71"/>
  <c r="AA12" i="71"/>
  <c r="AA14" i="71"/>
  <c r="X12" i="71"/>
  <c r="AB11" i="71"/>
  <c r="Y11" i="71"/>
  <c r="Z11" i="71" s="1"/>
  <c r="Y13" i="71"/>
  <c r="Z13" i="71" s="1"/>
  <c r="F67" i="71"/>
  <c r="AB15" i="71"/>
  <c r="AB17" i="71"/>
  <c r="AA11" i="71"/>
  <c r="X11" i="71"/>
  <c r="X13" i="71"/>
  <c r="X14" i="71"/>
  <c r="AB13" i="71"/>
  <c r="AB12" i="71"/>
  <c r="Y12" i="71"/>
  <c r="Z12"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71" i="3"/>
  <c r="E89" i="3"/>
  <c r="Z6" i="3"/>
  <c r="E485" i="3"/>
  <c r="E345" i="3"/>
  <c r="E531" i="3"/>
  <c r="E28" i="3"/>
  <c r="E182" i="3"/>
  <c r="E273" i="3"/>
  <c r="E572" i="3"/>
  <c r="E29"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C19" i="81" l="1"/>
  <c r="C20" i="81" s="1"/>
  <c r="C26" i="81" s="1"/>
  <c r="F11" i="81"/>
  <c r="M11" i="81"/>
  <c r="J10" i="81" s="1"/>
  <c r="J5" i="81" s="1"/>
  <c r="E441" i="3"/>
  <c r="E44" i="3"/>
  <c r="E377" i="3"/>
  <c r="E211" i="3"/>
  <c r="E70" i="3"/>
  <c r="E489" i="3"/>
  <c r="E557" i="3"/>
  <c r="E400" i="3"/>
  <c r="AO6" i="3"/>
  <c r="E327" i="3"/>
  <c r="E74" i="3"/>
  <c r="E577" i="3"/>
  <c r="E480" i="3"/>
  <c r="E109" i="3"/>
  <c r="E30" i="3"/>
  <c r="E334" i="3"/>
  <c r="E316" i="3"/>
  <c r="E295" i="3"/>
  <c r="E166" i="3"/>
  <c r="E121" i="3"/>
  <c r="E88" i="3"/>
  <c r="E404" i="3"/>
  <c r="E444" i="3"/>
  <c r="E581" i="3"/>
  <c r="E558" i="3"/>
  <c r="E443" i="3"/>
  <c r="P6" i="3"/>
  <c r="E448" i="3"/>
  <c r="AG6" i="3"/>
  <c r="E576" i="3"/>
  <c r="E204" i="3"/>
  <c r="E368" i="3"/>
  <c r="E315" i="3"/>
  <c r="E106" i="3"/>
  <c r="E437" i="3"/>
  <c r="E164" i="3"/>
  <c r="E252" i="3"/>
  <c r="E236" i="3"/>
  <c r="E227" i="3"/>
  <c r="E362" i="3"/>
  <c r="E214" i="3"/>
  <c r="E146" i="3"/>
  <c r="E454" i="3"/>
  <c r="E465" i="3"/>
  <c r="E120" i="3"/>
  <c r="I6" i="3"/>
  <c r="E32" i="3"/>
  <c r="E580" i="3"/>
  <c r="E394" i="3"/>
  <c r="E274" i="3"/>
  <c r="E256" i="3"/>
  <c r="E203" i="3"/>
  <c r="E73" i="3"/>
  <c r="E55" i="3"/>
  <c r="E468" i="3"/>
  <c r="E587" i="3"/>
  <c r="E406" i="3"/>
  <c r="E330" i="3"/>
  <c r="E128"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96" i="3"/>
  <c r="E429" i="3"/>
  <c r="AE6" i="3"/>
  <c r="E344" i="3"/>
  <c r="E424" i="3"/>
  <c r="E481" i="3"/>
  <c r="Q6" i="3"/>
  <c r="E177" i="3"/>
  <c r="E262" i="3"/>
  <c r="E434" i="3"/>
  <c r="E156" i="3"/>
  <c r="E433" i="3"/>
  <c r="E471" i="3"/>
  <c r="E450" i="3"/>
  <c r="E537" i="3"/>
  <c r="E571" i="3"/>
  <c r="W6" i="3"/>
  <c r="E562" i="3"/>
  <c r="E288" i="3"/>
  <c r="E457" i="3"/>
  <c r="E438" i="3"/>
  <c r="E527" i="3"/>
  <c r="E472" i="3"/>
  <c r="E560" i="3"/>
  <c r="K6" i="3"/>
  <c r="E133" i="3"/>
  <c r="E277" i="3"/>
  <c r="E228" i="3"/>
  <c r="AK6" i="3"/>
  <c r="E545" i="3"/>
  <c r="E181" i="3"/>
  <c r="E568" i="3"/>
  <c r="E7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U39" i="40"/>
  <c r="AB39" i="40"/>
  <c r="AB38" i="40"/>
  <c r="U38" i="40"/>
  <c r="W25" i="37"/>
  <c r="AC25" i="37"/>
  <c r="AA26" i="37"/>
  <c r="S26" i="37"/>
  <c r="AC26" i="37"/>
  <c r="W26" i="37"/>
  <c r="U12" i="36"/>
  <c r="AB12" i="36"/>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U23" i="35"/>
  <c r="AB23" i="35"/>
  <c r="C15" i="71"/>
  <c r="T16" i="71"/>
  <c r="F66" i="71"/>
  <c r="Q67" i="71"/>
  <c r="AC38" i="40"/>
  <c r="W38" i="40"/>
  <c r="AA44" i="39"/>
  <c r="S44" i="39"/>
  <c r="AA25" i="37"/>
  <c r="S25" i="37"/>
  <c r="U26" i="37"/>
  <c r="AB26" i="37"/>
  <c r="AB24" i="36"/>
  <c r="U24" i="36"/>
  <c r="W23" i="35"/>
  <c r="AC23" i="35"/>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J26" i="81" l="1"/>
  <c r="J24" i="81"/>
  <c r="L36" i="43"/>
  <c r="L37" i="43" s="1"/>
  <c r="F24" i="81"/>
  <c r="C53" i="81"/>
  <c r="C48" i="81" s="1"/>
  <c r="C10" i="81"/>
  <c r="C5" i="81" s="1"/>
  <c r="E65" i="39"/>
  <c r="Q66" i="71"/>
  <c r="Q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81"/>
  <c r="F69" i="81" l="1"/>
  <c r="J29" i="81"/>
  <c r="Q36" i="43"/>
  <c r="M36" i="43"/>
  <c r="P36" i="43"/>
  <c r="O36" i="43"/>
  <c r="N36" i="43"/>
  <c r="C38" i="81"/>
  <c r="C24" i="81"/>
  <c r="C23" i="81"/>
  <c r="C66" i="81"/>
  <c r="C60" i="81"/>
  <c r="C13" i="71"/>
  <c r="D14"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29" i="8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D19" i="68"/>
  <c r="B2" i="43"/>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C57" i="81" l="1"/>
  <c r="C64" i="81" s="1"/>
  <c r="C36" i="81"/>
  <c r="J14" i="81"/>
  <c r="C13" i="81"/>
  <c r="Q49" i="81"/>
  <c r="J59" i="81"/>
  <c r="J60" i="81" s="1"/>
  <c r="B3" i="43"/>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B2" i="76"/>
  <c r="I69" i="39"/>
  <c r="J67" i="39"/>
  <c r="I63" i="40"/>
  <c r="H65" i="40"/>
  <c r="I58" i="21"/>
  <c r="J58" i="21" s="1"/>
  <c r="K58" i="21" s="1"/>
  <c r="L58" i="21" s="1"/>
  <c r="M58" i="21" s="1"/>
  <c r="N58" i="21" s="1"/>
  <c r="O58" i="21" s="1"/>
  <c r="H7" i="21" s="1"/>
  <c r="F7" i="21"/>
  <c r="J48" i="35"/>
  <c r="J13" i="81" l="1"/>
  <c r="J23" i="81" s="1"/>
  <c r="J22" i="81"/>
  <c r="Q48" i="81"/>
  <c r="L46" i="81"/>
  <c r="C75" i="81"/>
  <c r="Q70" i="81"/>
  <c r="C37" i="81"/>
  <c r="C56" i="81"/>
  <c r="C65" i="81" s="1"/>
  <c r="F26" i="43"/>
  <c r="H26" i="43"/>
  <c r="N94" i="46"/>
  <c r="N370" i="46"/>
  <c r="B116" i="43"/>
  <c r="E26" i="43"/>
  <c r="J26" i="43"/>
  <c r="G26" i="43"/>
  <c r="Z7" i="43"/>
  <c r="C8" i="68"/>
  <c r="C18" i="12"/>
  <c r="C21" i="12" s="1"/>
  <c r="C22"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27" i="12"/>
  <c r="C25" i="12" s="1"/>
  <c r="C30" i="12"/>
  <c r="C28"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81"/>
  <c r="M21" i="15"/>
  <c r="F35" i="81"/>
  <c r="M21" i="67"/>
  <c r="J20" i="81" l="1"/>
  <c r="J17" i="81" s="1"/>
  <c r="J16" i="81" s="1"/>
  <c r="J25" i="81" s="1"/>
  <c r="F63" i="81"/>
  <c r="C62" i="81" s="1"/>
  <c r="C59" i="81" s="1"/>
  <c r="C58" i="81" s="1"/>
  <c r="C67" i="81" s="1"/>
  <c r="C68" i="81" s="1"/>
  <c r="C34" i="81"/>
  <c r="C31" i="81" s="1"/>
  <c r="C30" i="81" s="1"/>
  <c r="C39" i="81" s="1"/>
  <c r="C118" i="43"/>
  <c r="D116" i="43"/>
  <c r="C33" i="43"/>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71" i="81" l="1"/>
  <c r="Q69" i="81"/>
  <c r="Q68" i="81" s="1"/>
  <c r="C40" i="81"/>
  <c r="C80" i="81"/>
  <c r="C79" i="81" s="1"/>
  <c r="E2" i="76"/>
  <c r="B3" i="76" s="1"/>
  <c r="E3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7" i="81" l="1"/>
  <c r="Q47" i="81"/>
  <c r="Q53" i="81" s="1"/>
  <c r="B2" i="81"/>
  <c r="B3" i="81" s="1"/>
  <c r="Q65" i="81"/>
  <c r="Q75" i="81" s="1"/>
  <c r="Q56" i="81"/>
  <c r="Q62" i="81" s="1"/>
  <c r="C43" i="81"/>
  <c r="C83" i="81"/>
  <c r="C82" i="81" s="1"/>
  <c r="C46" i="8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M24" i="43"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7" i="1"/>
  <c r="AO6" i="1"/>
  <c r="AO9" i="1"/>
  <c r="AO10" i="1"/>
  <c r="AO12" i="1"/>
  <c r="AO11" i="1"/>
  <c r="R48" i="39" l="1"/>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l="1"/>
  <c r="C57" i="68"/>
  <c r="C56" i="68" s="1"/>
  <c r="C19" i="9"/>
  <c r="C102" i="9" l="1"/>
  <c r="C21" i="9"/>
  <c r="D22" i="9"/>
  <c r="G19" i="9"/>
  <c r="B3" i="68"/>
  <c r="D34" i="9"/>
  <c r="C20" i="9"/>
  <c r="D35" i="9"/>
  <c r="G21" i="9" l="1"/>
  <c r="C27" i="9"/>
  <c r="D27" i="9" s="1"/>
  <c r="C103" i="9"/>
  <c r="G20" i="9"/>
  <c r="C32" i="9" s="1"/>
  <c r="C35" i="9" l="1"/>
  <c r="H118" i="9"/>
  <c r="C34" i="9" l="1"/>
  <c r="D118" i="9" s="1"/>
  <c r="F118" i="9"/>
  <c r="C104" i="9"/>
  <c r="I118" i="9"/>
  <c r="H119" i="9"/>
  <c r="H5" i="52" s="1"/>
  <c r="H101" i="9"/>
  <c r="D14" i="74" s="1"/>
  <c r="G14" i="74" s="1"/>
  <c r="B6" i="74" s="1"/>
  <c r="D6" i="74" s="1"/>
  <c r="H4" i="52"/>
  <c r="E14" i="74" l="1"/>
  <c r="B5" i="74"/>
  <c r="D5" i="74" s="1"/>
  <c r="F14" i="74"/>
  <c r="D119" i="9"/>
  <c r="D5" i="52" s="1"/>
  <c r="B49" i="72" s="1"/>
  <c r="D4" i="52"/>
  <c r="B47" i="72" s="1"/>
  <c r="M48" i="9"/>
  <c r="H107" i="9"/>
  <c r="D45" i="9"/>
  <c r="D5" i="53"/>
  <c r="I4" i="52"/>
  <c r="C105" i="9"/>
  <c r="H102" i="9"/>
  <c r="F4" i="52"/>
  <c r="B51" i="72" s="1"/>
  <c r="F119" i="9"/>
  <c r="F5" i="52" s="1"/>
  <c r="B53" i="72" s="1"/>
  <c r="G118" i="9"/>
  <c r="G4" i="52" s="1"/>
  <c r="B52" i="72" s="1"/>
  <c r="D7" i="53" l="1"/>
  <c r="B21" i="72" s="1"/>
  <c r="C5" i="74"/>
  <c r="D6" i="53"/>
  <c r="B22" i="72" s="1"/>
  <c r="B20" i="72"/>
  <c r="D122" i="9"/>
  <c r="H108" i="9"/>
  <c r="M49" i="9"/>
  <c r="D13" i="53"/>
  <c r="E118" i="9"/>
  <c r="E4" i="52" s="1"/>
  <c r="B48" i="72" s="1"/>
  <c r="D53" i="9"/>
  <c r="D48" i="9" s="1"/>
  <c r="M52" i="9" s="1"/>
  <c r="C85" i="9"/>
  <c r="D55" i="9"/>
  <c r="M53" i="9" s="1"/>
  <c r="C64" i="9"/>
  <c r="C63" i="9" s="1"/>
  <c r="C67" i="9" s="1"/>
  <c r="C78" i="9"/>
  <c r="C73" i="9" s="1"/>
  <c r="C72" i="9"/>
  <c r="C93" i="9"/>
  <c r="C86" i="9" s="1"/>
  <c r="D52" i="9"/>
  <c r="C79" i="9" l="1"/>
  <c r="C80" i="9" s="1"/>
  <c r="E80" i="9" s="1"/>
  <c r="E81" i="9" s="1"/>
  <c r="C95" i="9"/>
  <c r="C96" i="9" s="1"/>
  <c r="E96" i="9" s="1"/>
  <c r="E97" i="9" s="1"/>
  <c r="B30" i="72"/>
  <c r="D14" i="53"/>
  <c r="B32" i="72" s="1"/>
  <c r="D15" i="53"/>
  <c r="B31" i="72" s="1"/>
  <c r="C6" i="74"/>
  <c r="D59" i="9"/>
  <c r="M55" i="9" s="1"/>
  <c r="C68" i="9"/>
  <c r="D54" i="9" s="1"/>
  <c r="L67" i="9"/>
  <c r="M67" i="9" s="1"/>
  <c r="L66" i="9"/>
  <c r="M66" i="9" s="1"/>
  <c r="L65" i="9"/>
  <c r="M65" i="9" s="1"/>
  <c r="L68" i="9"/>
  <c r="M68" i="9" s="1"/>
  <c r="L64" i="9"/>
  <c r="M64" i="9" s="1"/>
  <c r="L63" i="9"/>
  <c r="M63" i="9" s="1"/>
  <c r="D8" i="52"/>
  <c r="D123" i="9"/>
  <c r="D9" i="52" s="1"/>
  <c r="M69" i="9" l="1"/>
  <c r="N69" i="9" s="1"/>
  <c r="C97" i="9"/>
  <c r="D58" i="9" s="1"/>
  <c r="D56" i="9" s="1"/>
  <c r="M54" i="9" s="1"/>
  <c r="N57" i="9" s="1"/>
  <c r="C81" i="9"/>
  <c r="P57" i="9" l="1"/>
  <c r="N58" i="9"/>
  <c r="N59" i="9"/>
  <c r="I14" i="74" l="1"/>
  <c r="B8" i="74" s="1"/>
  <c r="H111" i="9"/>
  <c r="D8" i="74"/>
  <c r="N60" i="9"/>
  <c r="N61" i="9"/>
  <c r="H112" i="9" s="1"/>
  <c r="D21" i="53" s="1"/>
  <c r="B39" i="72" s="1"/>
  <c r="D126" i="9" l="1"/>
  <c r="D19" i="53"/>
  <c r="C8" i="74"/>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tc={EDC54682-920F-4E55-8514-5B0855026E06}</author>
    <author>tc={788F75F4-39E4-4F66-A9A7-4C5C161DB450}</author>
    <author>tc={411339C6-C45E-4B24-91FE-7A9AEBD6EC6A}</author>
    <author>tc={74657733-68FE-48D8-AEEE-A082AA5C3757}</author>
    <author>tc={AEA2EE22-9CB1-4E9F-AF76-AFCB557A6B93}</author>
    <author>tc={4280861A-3E9D-4748-93B7-5163C290DBBE}</author>
  </authors>
  <commentList>
    <comment ref="C13" authorId="0">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红线面积待确认，合同待换签</t>
        </r>
      </text>
    </comment>
    <comment ref="C19" authorId="1">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租金第1年为提成</t>
        </r>
      </text>
    </comment>
    <comment ref="G27" authorId="2">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第3年-第4年 361.35；
第5年 390.26。</t>
        </r>
      </text>
    </comment>
    <comment ref="G29" authorId="3">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2025.4.1-2027.3.31   98.17元；
2027.4.1-2029.3.31   104.25元；</t>
        </r>
      </text>
    </comment>
    <comment ref="G30" authorId="4">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2024.4.1-2026.3.31 107.29元；2026.4.1-2028.3.31 113.38元</t>
        </r>
      </text>
    </comment>
    <comment ref="G33" authorId="5">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第4年-第6年 246.38元；
第7年-第10年 266.08元</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<sst xmlns="http://schemas.openxmlformats.org/spreadsheetml/2006/main" count="8559" uniqueCount="3561">
  <si>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</si>
  <si>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</si>
  <si>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</si>
  <si>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</si>
  <si>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</si>
  <si>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</si>
  <si>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</si>
  <si>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</si>
  <si>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</si>
  <si>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</si>
  <si>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</si>
  <si>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</si>
  <si>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</si>
  <si>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</si>
  <si>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</si>
  <si>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</si>
  <si>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</si>
  <si>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</si>
  <si>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</si>
  <si>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</si>
  <si>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</si>
  <si>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</si>
  <si>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</si>
  <si>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</si>
  <si>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</si>
  <si>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</si>
  <si>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</si>
  <si>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</si>
  <si>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</si>
  <si>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</si>
  <si>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</si>
  <si>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</si>
  <si>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</si>
  <si>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</si>
  <si>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</si>
  <si>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</si>
  <si>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</si>
  <si>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</si>
  <si>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</si>
  <si>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</si>
  <si>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</si>
  <si>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</si>
  <si>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</si>
  <si>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</si>
  <si>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</si>
  <si>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</si>
  <si>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</si>
  <si>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</si>
  <si>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</si>
  <si>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</si>
  <si>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</si>
  <si>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</si>
  <si>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</si>
  <si>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</si>
  <si>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</si>
  <si>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</si>
  <si>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</si>
  <si>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</si>
  <si>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</si>
  <si>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</si>
  <si>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</si>
  <si>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</si>
  <si>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</si>
  <si>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</si>
  <si>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</si>
  <si>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</si>
  <si>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</si>
  <si>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</si>
  <si>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</si>
  <si>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</si>
  <si>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</si>
  <si>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</si>
  <si>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</si>
  <si>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</si>
  <si>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</si>
  <si>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</si>
  <si>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</si>
  <si>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</si>
  <si>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</si>
  <si>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</si>
  <si>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</si>
  <si>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</si>
  <si>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</si>
  <si>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</si>
  <si>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</si>
  <si>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</si>
  <si>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</si>
  <si>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</si>
  <si>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</si>
  <si>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</si>
  <si>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</si>
  <si>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</si>
  <si>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</si>
  <si>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</si>
  <si>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</si>
  <si>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</si>
  <si>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</si>
  <si>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</si>
  <si>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</si>
  <si>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</si>
  <si>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</si>
  <si>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</si>
  <si>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</si>
  <si>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</si>
  <si>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</si>
  <si>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</si>
  <si>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</si>
  <si>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</si>
  <si>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</si>
  <si>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</si>
  <si>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</si>
  <si>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</si>
  <si>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</si>
  <si>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</si>
  <si>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</si>
  <si>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</si>
  <si>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</si>
  <si>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</si>
  <si>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</si>
  <si>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</si>
  <si>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</si>
  <si>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</si>
  <si>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</si>
  <si>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</si>
  <si>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</si>
  <si>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</si>
  <si>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</si>
  <si>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</si>
  <si>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</si>
  <si>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</si>
  <si>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</si>
  <si>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</si>
  <si>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</si>
  <si>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</si>
  <si>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</si>
  <si>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</si>
  <si>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</si>
  <si>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</si>
  <si>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</si>
  <si>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</si>
  <si>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</si>
  <si>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</si>
  <si>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</si>
  <si>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</si>
  <si>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</si>
  <si>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</si>
  <si>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</si>
  <si>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</si>
  <si>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</si>
  <si>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</si>
  <si>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</si>
  <si>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</si>
  <si>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</si>
  <si>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</si>
  <si>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</si>
  <si>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</si>
  <si>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</si>
  <si>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</si>
  <si>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</si>
  <si>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</si>
  <si>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</si>
  <si>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</si>
  <si>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</si>
  <si>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</si>
  <si>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</si>
  <si>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</si>
  <si>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</si>
  <si>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</si>
  <si>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</si>
  <si>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</si>
  <si>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</si>
  <si>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</si>
  <si>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</si>
  <si>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</si>
  <si>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</si>
  <si>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</si>
  <si>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</si>
  <si>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</si>
  <si>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</si>
  <si>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</si>
  <si>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</si>
  <si>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</si>
  <si>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</si>
  <si>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</si>
  <si>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</si>
  <si>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</si>
  <si>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</si>
  <si>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</si>
  <si>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</si>
  <si>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</si>
  <si>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</si>
  <si>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</si>
  <si>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</si>
  <si>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</si>
  <si>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</si>
  <si>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</si>
  <si>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</si>
  <si>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</si>
  <si>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</si>
  <si>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</si>
  <si>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</si>
  <si>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</si>
  <si>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</si>
  <si>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</si>
  <si>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</si>
  <si>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</si>
  <si>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</si>
  <si>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</si>
  <si>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</si>
  <si>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</si>
  <si>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</si>
  <si>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</si>
  <si>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</si>
  <si>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</si>
  <si>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</si>
  <si>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</si>
  <si>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</si>
  <si>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</si>
  <si>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</si>
  <si>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</si>
  <si>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</si>
  <si>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</si>
  <si>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</si>
  <si>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</si>
  <si>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</si>
  <si>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</si>
  <si>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</si>
  <si>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</si>
  <si>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</si>
  <si>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</si>
  <si>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</si>
  <si>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</si>
  <si>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</si>
  <si>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</si>
  <si>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</si>
  <si>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</si>
  <si>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</si>
  <si>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</si>
  <si>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</si>
  <si>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</si>
  <si>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</si>
  <si>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</si>
  <si>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</si>
  <si>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</si>
  <si>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</si>
  <si>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</si>
  <si>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</si>
  <si>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</si>
  <si>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</si>
  <si>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</si>
  <si>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</si>
  <si>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</si>
  <si>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</si>
  <si>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</si>
  <si>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</si>
  <si>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</si>
  <si>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</si>
  <si>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</si>
  <si>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</si>
  <si>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</si>
  <si>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</si>
  <si>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</si>
  <si>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</si>
  <si>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</si>
  <si>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</si>
  <si>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</si>
  <si>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</si>
  <si>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</si>
  <si>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</si>
  <si>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</si>
  <si>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</si>
  <si>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</si>
  <si>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</si>
  <si>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</si>
  <si>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</si>
  <si>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</si>
  <si>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</si>
  <si>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</si>
  <si>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</si>
  <si>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</si>
  <si>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</si>
  <si>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</si>
  <si>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</si>
  <si>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</si>
  <si>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</si>
  <si>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</si>
  <si>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</si>
  <si>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</si>
  <si>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</si>
  <si>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</si>
  <si>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</si>
  <si>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</si>
  <si>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</si>
  <si>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</si>
  <si>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</si>
  <si>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</si>
  <si>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</si>
  <si>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</si>
  <si>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</si>
  <si>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</si>
  <si>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</si>
  <si>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</si>
  <si>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</si>
  <si>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</si>
  <si>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</si>
  <si>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</si>
  <si>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</si>
  <si>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</si>
  <si>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</si>
  <si>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</si>
  <si>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</si>
  <si>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</si>
  <si>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</si>
  <si>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</si>
  <si>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</si>
  <si>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</si>
  <si>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</si>
  <si>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</si>
  <si>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</si>
  <si>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</si>
  <si>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</si>
  <si>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</si>
  <si>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</si>
  <si>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</si>
  <si>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</si>
  <si>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</si>
  <si>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</si>
  <si>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</si>
  <si>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</si>
  <si>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</si>
  <si>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</si>
  <si>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</si>
  <si>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</si>
  <si>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</si>
  <si>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</si>
  <si>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</si>
  <si>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</si>
  <si>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</si>
  <si>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</si>
  <si>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</si>
  <si>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</si>
  <si>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</si>
  <si>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</si>
  <si>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</si>
  <si>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</si>
  <si>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</si>
  <si>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</si>
  <si>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</si>
  <si>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</si>
  <si>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</si>
  <si>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</si>
  <si>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</si>
  <si>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</si>
  <si>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</si>
  <si>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</si>
  <si>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</si>
  <si>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</si>
  <si>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</si>
  <si>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</si>
  <si>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</si>
  <si>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</si>
  <si>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</si>
  <si>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</si>
  <si>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</si>
  <si>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</si>
  <si>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</si>
  <si>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</si>
  <si>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</si>
  <si>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</si>
  <si>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</si>
  <si>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</si>
  <si>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</si>
  <si>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</si>
  <si>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</si>
  <si>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</si>
  <si>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</si>
  <si>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</si>
  <si>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</si>
  <si>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</si>
  <si>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</si>
  <si>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</si>
  <si>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</si>
  <si>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</si>
  <si>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</si>
  <si>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</si>
  <si>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</si>
  <si>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</si>
  <si>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</si>
  <si>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</si>
  <si>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</si>
  <si>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</si>
  <si>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</si>
  <si>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</si>
  <si>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</si>
  <si>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</si>
  <si>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</si>
  <si>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</si>
  <si>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</si>
  <si>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</si>
  <si>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</si>
  <si>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</si>
  <si>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</si>
  <si>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</si>
  <si>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</si>
  <si>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</si>
  <si>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</si>
  <si>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</si>
  <si>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</si>
  <si>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</si>
  <si>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</si>
  <si>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</si>
  <si>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</si>
  <si>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</si>
  <si>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</si>
  <si>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</si>
  <si>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</si>
  <si>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</si>
  <si>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</si>
  <si>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</si>
  <si>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</si>
  <si>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</si>
  <si>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</si>
  <si>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</si>
  <si>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</si>
  <si>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</si>
  <si>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</si>
  <si>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</si>
  <si>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</si>
  <si>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</si>
  <si>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</si>
  <si>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</si>
  <si>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</si>
  <si>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</si>
  <si>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</si>
  <si>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</si>
  <si>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</si>
  <si>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</si>
  <si>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</si>
  <si>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</si>
  <si>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</si>
  <si>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</si>
  <si>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</si>
  <si>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</si>
  <si>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</si>
  <si>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</si>
  <si>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</si>
  <si>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</si>
  <si>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</si>
  <si>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</si>
  <si>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</si>
  <si>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</si>
  <si>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</si>
  <si>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</si>
  <si>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</si>
  <si>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</si>
  <si>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</si>
  <si>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</si>
  <si>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</si>
  <si>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</si>
  <si>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</si>
  <si>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</si>
  <si>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</si>
  <si>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</si>
  <si>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</si>
  <si>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</si>
  <si>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</si>
  <si>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</si>
  <si>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</si>
  <si>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</si>
  <si>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</si>
  <si>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</si>
  <si>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</si>
  <si>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</si>
  <si>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</si>
  <si>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</si>
  <si>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</si>
  <si>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</si>
  <si>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</si>
  <si>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</si>
  <si>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</si>
  <si>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</si>
  <si>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</si>
  <si>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</si>
  <si>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</si>
  <si>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</si>
  <si>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</si>
  <si>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</si>
  <si>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</si>
  <si>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</si>
  <si>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</si>
  <si>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</si>
  <si>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</si>
  <si>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</si>
  <si>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</si>
  <si>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</si>
  <si>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</si>
  <si>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</si>
  <si>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</si>
  <si>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</si>
  <si>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</si>
  <si>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</si>
  <si>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</si>
  <si>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</si>
  <si>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</si>
  <si>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</si>
  <si>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</si>
  <si>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</si>
  <si>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</si>
  <si>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</si>
  <si>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</si>
  <si>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</si>
  <si>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</si>
  <si>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</si>
  <si>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</si>
  <si>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</si>
  <si>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</si>
  <si>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</si>
  <si>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</si>
  <si>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</si>
  <si>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</si>
  <si>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</si>
  <si>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</si>
  <si>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</si>
  <si>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</si>
  <si>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</si>
  <si>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</si>
  <si>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</si>
  <si>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</si>
  <si>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</si>
  <si>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</si>
  <si>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</si>
  <si>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</si>
  <si>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</si>
  <si>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</si>
  <si>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</si>
  <si>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</si>
  <si>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</si>
  <si>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</si>
  <si>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</si>
  <si>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</si>
  <si>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</si>
  <si>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</si>
  <si>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</si>
  <si>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</si>
  <si>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</si>
  <si>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</si>
  <si>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</si>
  <si>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</si>
  <si>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</si>
  <si>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</si>
  <si>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</si>
  <si>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</si>
  <si>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</si>
  <si>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</si>
  <si>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</si>
  <si>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</si>
  <si>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</si>
  <si>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</si>
  <si>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</si>
  <si>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</si>
  <si>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</si>
  <si>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</si>
  <si>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</si>
  <si>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</si>
  <si>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</si>
  <si>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</si>
  <si>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</si>
  <si>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</si>
  <si>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</si>
  <si>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</si>
  <si>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</si>
  <si>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</si>
  <si>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</si>
  <si>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</si>
  <si>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</si>
  <si>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</si>
  <si>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</si>
  <si>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</si>
  <si>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</si>
  <si>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</si>
  <si>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</si>
  <si>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</si>
  <si>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</si>
  <si>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</si>
  <si>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</si>
  <si>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</si>
  <si>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</si>
  <si>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</si>
  <si>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</si>
  <si>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</si>
  <si>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</si>
  <si>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</si>
  <si>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</si>
  <si>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</si>
  <si>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</si>
  <si>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</si>
  <si>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</si>
  <si>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</si>
  <si>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</si>
  <si>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</si>
  <si>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</si>
  <si>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</si>
  <si>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</si>
  <si>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</si>
  <si>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</si>
  <si>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</si>
  <si>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</si>
  <si>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</si>
  <si>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</si>
  <si>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</si>
  <si>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</si>
  <si>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</si>
  <si>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</si>
  <si>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</si>
  <si>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</si>
  <si>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</si>
  <si>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</si>
  <si>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</si>
  <si>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</si>
  <si>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</si>
  <si>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</si>
  <si>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</si>
  <si>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</si>
  <si>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</si>
  <si>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</si>
  <si>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</si>
  <si>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</si>
  <si>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</si>
  <si>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</si>
  <si>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</si>
  <si>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</si>
  <si>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</si>
  <si>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</si>
  <si>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</si>
  <si>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</si>
  <si>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</si>
  <si>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</si>
  <si>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</si>
  <si>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</si>
  <si>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</si>
  <si>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</si>
  <si>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</si>
  <si>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</si>
  <si>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</si>
  <si>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</si>
  <si>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</si>
  <si>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</si>
  <si>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</si>
  <si>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</si>
  <si>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</si>
  <si>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</si>
  <si>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</si>
  <si>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</si>
  <si>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</si>
  <si>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</si>
  <si>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</si>
  <si>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</si>
  <si>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</si>
  <si>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</si>
  <si>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</si>
  <si>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</si>
  <si>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</si>
  <si>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</si>
  <si>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</si>
  <si>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</si>
  <si>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</si>
  <si>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</si>
  <si>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</si>
  <si>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</si>
  <si>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</si>
  <si>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</si>
  <si>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</si>
  <si>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</si>
  <si>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</si>
  <si>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</si>
  <si>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</si>
  <si>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</si>
  <si>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</si>
  <si>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</si>
  <si>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</si>
  <si>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</si>
  <si>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</si>
  <si>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</si>
  <si>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</si>
  <si>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</si>
  <si>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</si>
  <si>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</si>
  <si>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</si>
  <si>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</si>
  <si>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</si>
  <si>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</si>
  <si>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</si>
  <si>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</si>
  <si>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</si>
  <si>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</si>
  <si>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</si>
  <si>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</si>
  <si>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</si>
  <si>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</si>
  <si>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</si>
  <si>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</si>
  <si>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</si>
  <si>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</si>
  <si>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</si>
  <si>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</si>
  <si>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</si>
  <si>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</si>
  <si>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</si>
  <si>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</si>
  <si>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</si>
  <si>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</si>
  <si>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</si>
  <si>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</si>
  <si>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</si>
  <si>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</si>
  <si>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</si>
  <si>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</si>
  <si>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</si>
  <si>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</si>
  <si>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</si>
  <si>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</si>
  <si>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</si>
  <si>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</si>
  <si>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</si>
  <si>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</si>
  <si>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</si>
  <si>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</si>
  <si>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</si>
  <si>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</si>
  <si>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</si>
  <si>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</si>
  <si>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</si>
  <si>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</si>
  <si>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</si>
  <si>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</si>
  <si>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</si>
  <si>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</si>
  <si>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</si>
  <si>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</si>
  <si>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</si>
  <si>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</si>
  <si>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</si>
  <si>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</si>
  <si>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</si>
  <si>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</si>
  <si>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</si>
  <si>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</si>
  <si>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</si>
  <si>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</si>
  <si>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</si>
  <si>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</si>
  <si>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</si>
  <si>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</si>
  <si>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</si>
  <si>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</si>
  <si>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</si>
  <si>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</si>
  <si>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</si>
  <si>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</si>
  <si>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</si>
  <si>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</si>
  <si>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</si>
  <si>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</si>
  <si>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</si>
  <si>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</si>
  <si>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</si>
  <si>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</si>
  <si>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</si>
  <si>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</si>
  <si>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</si>
  <si>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</si>
  <si>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</si>
  <si>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</si>
  <si>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</si>
  <si>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</si>
  <si>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</si>
  <si>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</si>
  <si>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</si>
  <si>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</si>
  <si>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</si>
  <si>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</si>
  <si>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</si>
  <si>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</si>
  <si>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</si>
  <si>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</si>
  <si>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</si>
  <si>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</si>
  <si>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</si>
  <si>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</si>
  <si>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</si>
  <si>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</si>
  <si>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</si>
  <si>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</si>
  <si>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</si>
  <si>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</si>
  <si>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</si>
  <si>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</si>
  <si>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</si>
  <si>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</si>
  <si>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</si>
  <si>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</si>
  <si>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</si>
  <si>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</si>
  <si>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</si>
  <si>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</si>
  <si>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</si>
  <si>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</si>
  <si>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</si>
  <si>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</si>
  <si>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</si>
  <si>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</si>
  <si>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</si>
  <si>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</si>
  <si>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</si>
  <si>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</si>
  <si>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</si>
  <si>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</si>
  <si>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</si>
  <si>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</si>
  <si>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</si>
  <si>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</si>
  <si>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</si>
  <si>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</si>
  <si>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</si>
  <si>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</si>
  <si>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</si>
  <si>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</si>
  <si>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</si>
  <si>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</si>
  <si>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</si>
  <si>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</si>
  <si>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</si>
  <si>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</si>
  <si>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</si>
  <si>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</si>
  <si>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</si>
  <si>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</si>
  <si>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</si>
  <si>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</si>
  <si>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</si>
  <si>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</si>
  <si>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</si>
  <si>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</si>
  <si>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</si>
  <si>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</si>
  <si>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</si>
  <si>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</si>
  <si>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</si>
  <si>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</si>
  <si>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</si>
  <si>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</si>
  <si>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</si>
  <si>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</si>
  <si>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</si>
  <si>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</si>
  <si>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</si>
  <si>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</si>
  <si>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</si>
  <si>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</si>
  <si>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</si>
  <si>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</si>
  <si>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</si>
  <si>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</si>
  <si>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</si>
  <si>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</si>
  <si>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</si>
  <si>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</si>
  <si>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</si>
  <si>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</si>
  <si>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</si>
  <si>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</si>
  <si>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</si>
  <si>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</si>
  <si>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</si>
  <si>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</si>
  <si>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</si>
  <si>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</si>
  <si>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</si>
  <si>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</si>
  <si>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</si>
  <si>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</si>
  <si>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</si>
  <si>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</si>
  <si>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</si>
  <si>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</si>
  <si>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</si>
  <si>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</si>
  <si>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</si>
  <si>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</si>
  <si>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</si>
  <si>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</si>
  <si>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</si>
  <si>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</si>
  <si>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</si>
  <si>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</si>
  <si>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</si>
  <si>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</si>
  <si>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</si>
  <si>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</si>
  <si>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</si>
  <si>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</si>
  <si>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</si>
  <si>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</si>
  <si>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</si>
  <si>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</si>
  <si>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</si>
  <si>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</si>
  <si>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</si>
  <si>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</si>
  <si>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</si>
  <si>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</si>
  <si>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</si>
  <si>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</si>
  <si>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</si>
  <si>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</si>
  <si>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</si>
  <si>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</si>
  <si>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</si>
  <si>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</si>
  <si>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</si>
  <si>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</si>
  <si>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</si>
  <si>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</si>
  <si>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</si>
  <si>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</si>
  <si>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</si>
  <si>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</si>
  <si>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</si>
  <si>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</si>
  <si>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</si>
  <si>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</si>
  <si>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</si>
  <si>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</si>
  <si>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</si>
  <si>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</si>
  <si>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</si>
  <si>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</si>
  <si>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</si>
  <si>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</si>
  <si>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</si>
  <si>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</si>
  <si>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</si>
  <si>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</si>
  <si>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</si>
  <si>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</si>
  <si>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</si>
  <si>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</si>
  <si>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</si>
  <si>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</si>
  <si>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</si>
  <si>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</si>
  <si>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</si>
  <si>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</si>
  <si>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</si>
  <si>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</si>
  <si>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</si>
  <si>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</si>
  <si>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</si>
  <si>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</si>
  <si>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</si>
  <si>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</si>
  <si>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</si>
  <si>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</si>
  <si>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</si>
  <si>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</si>
  <si>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</si>
  <si>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</si>
  <si>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</si>
  <si>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</si>
  <si>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</si>
  <si>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</si>
  <si>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</si>
  <si>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</si>
  <si>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</si>
  <si>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</si>
  <si>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</si>
  <si>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</si>
  <si>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</si>
  <si>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</si>
  <si>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</si>
  <si>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</si>
  <si>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</si>
  <si>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</si>
  <si>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</si>
  <si>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</si>
  <si>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</si>
  <si>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</si>
  <si>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</si>
  <si>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</si>
  <si>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</si>
  <si>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</si>
  <si>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</si>
  <si>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</si>
  <si>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</si>
  <si>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</si>
  <si>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</si>
  <si>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</si>
  <si>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</si>
  <si>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</si>
  <si>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</si>
  <si>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</si>
  <si>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</si>
  <si>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</si>
  <si>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</si>
  <si>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</si>
  <si>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</si>
  <si>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</si>
  <si>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</si>
  <si>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</si>
  <si>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</si>
  <si>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</si>
  <si>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</si>
  <si>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</si>
  <si>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</si>
  <si>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</si>
  <si>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</si>
  <si>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</si>
  <si>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</si>
  <si>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</si>
  <si>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</si>
  <si>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</si>
  <si>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</si>
  <si>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</si>
  <si>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</si>
  <si>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</si>
  <si>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</si>
  <si>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</si>
  <si>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</si>
  <si>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</si>
  <si>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</si>
  <si>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</si>
  <si>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</si>
  <si>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</si>
  <si>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</si>
  <si>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</si>
  <si>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</si>
  <si>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</si>
  <si>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</si>
  <si>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</si>
  <si>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</si>
  <si>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</si>
  <si>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</si>
  <si>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</si>
  <si>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</si>
  <si>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</si>
  <si>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</si>
  <si>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</si>
  <si>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</si>
  <si>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</si>
  <si>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</si>
  <si>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</si>
  <si>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</si>
  <si>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</si>
  <si>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</si>
  <si>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</si>
  <si>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</si>
  <si>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</si>
  <si>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</si>
  <si>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</si>
  <si>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</si>
  <si>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</si>
  <si>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</si>
  <si>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</si>
  <si>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</si>
  <si>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</si>
  <si>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</si>
  <si>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</si>
  <si>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</si>
  <si>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</si>
  <si>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</si>
  <si>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</si>
  <si>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</si>
  <si>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</si>
  <si>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</si>
  <si>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</si>
  <si>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</si>
  <si>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</si>
  <si>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</si>
  <si>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</si>
  <si>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</si>
  <si>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</si>
  <si>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</si>
  <si>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</si>
  <si>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</si>
  <si>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</si>
  <si>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</si>
  <si>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</si>
  <si>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</si>
  <si>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</si>
  <si>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</si>
  <si>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</si>
  <si>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</si>
  <si>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</si>
  <si>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</si>
  <si>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</si>
  <si>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</si>
  <si>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</si>
  <si>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</si>
  <si>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</si>
  <si>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</si>
  <si>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</si>
  <si>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</si>
  <si>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</si>
  <si>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</si>
  <si>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</si>
  <si>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</si>
  <si>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</si>
  <si>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</si>
  <si>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</si>
  <si>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</si>
  <si>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</si>
  <si>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</si>
  <si>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</si>
  <si>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</si>
  <si>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</si>
  <si>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</si>
  <si>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</si>
  <si>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</si>
  <si>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</si>
  <si>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</si>
  <si>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</si>
  <si>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</si>
  <si>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</si>
  <si>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</si>
  <si>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</si>
  <si>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</si>
  <si>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</si>
  <si>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</si>
  <si>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</si>
  <si>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</si>
  <si>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</si>
  <si>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</si>
  <si>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</si>
  <si>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</si>
  <si>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</si>
  <si>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</si>
  <si>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</si>
  <si>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</si>
  <si>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</si>
  <si>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</si>
  <si>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</si>
  <si>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</si>
  <si>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</si>
  <si>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</si>
  <si>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</si>
  <si>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</si>
  <si>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</si>
  <si>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</si>
  <si>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</si>
  <si>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</si>
  <si>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</si>
  <si>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</si>
  <si>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</si>
  <si>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</si>
  <si>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</si>
  <si>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</si>
  <si>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</si>
  <si>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</si>
  <si>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</si>
  <si>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</si>
  <si>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</si>
  <si>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</si>
  <si>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</si>
  <si>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</si>
  <si>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</si>
  <si>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</si>
  <si>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</si>
  <si>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</si>
  <si>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</si>
  <si>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</si>
  <si>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</si>
  <si>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</si>
  <si>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</si>
  <si>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</si>
  <si>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</si>
  <si>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</si>
  <si>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</si>
  <si>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</si>
  <si>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</si>
  <si>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</si>
  <si>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</si>
  <si>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</si>
  <si>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</si>
  <si>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</si>
  <si>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</si>
  <si>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</si>
  <si>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</si>
  <si>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</si>
  <si>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</si>
  <si>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</si>
  <si>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</si>
  <si>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</si>
  <si>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</si>
  <si>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</si>
  <si>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</si>
  <si>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</si>
  <si>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</si>
  <si>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</si>
  <si>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</si>
  <si>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</si>
  <si>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</si>
  <si>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</si>
  <si>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</si>
  <si>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</si>
  <si>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</si>
  <si>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</si>
  <si>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</si>
  <si>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</si>
  <si>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</si>
  <si>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</si>
  <si>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</si>
  <si>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</si>
  <si>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</si>
  <si>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</si>
  <si>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</si>
  <si>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</si>
  <si>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</si>
  <si>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</si>
  <si>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</si>
  <si>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</si>
  <si>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</si>
  <si>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</si>
  <si>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</si>
  <si>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</si>
  <si>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</si>
  <si>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</si>
  <si>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</si>
  <si>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</si>
  <si>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</si>
  <si>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</si>
  <si>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</si>
  <si>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</si>
  <si>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</si>
  <si>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</si>
  <si>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</si>
  <si>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</si>
  <si>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</si>
  <si>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</si>
  <si>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</si>
  <si>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</si>
  <si>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</si>
  <si>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</si>
  <si>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</si>
  <si>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</si>
  <si>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</si>
  <si>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</si>
  <si>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</si>
  <si>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</si>
  <si>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</si>
  <si>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</si>
  <si>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</si>
  <si>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</si>
  <si>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</si>
  <si>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</si>
  <si>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</si>
  <si>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</si>
  <si>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</si>
  <si>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</si>
  <si>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</si>
  <si>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</si>
  <si>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</si>
  <si>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</si>
  <si>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</si>
  <si>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</si>
  <si>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</si>
  <si>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</si>
  <si>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</si>
  <si>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</si>
  <si>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</si>
  <si>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</si>
  <si>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</si>
  <si>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</si>
  <si>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</si>
  <si>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</si>
  <si>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</si>
  <si>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</si>
  <si>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</si>
  <si>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</si>
  <si>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</si>
  <si>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</si>
  <si>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</si>
  <si>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</si>
  <si>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</si>
  <si>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</si>
  <si>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</si>
  <si>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</si>
  <si>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</si>
  <si>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</si>
  <si>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</si>
  <si>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</si>
  <si>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</si>
  <si>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</si>
  <si>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</si>
  <si>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</si>
  <si>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</si>
  <si>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</si>
  <si>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</si>
  <si>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</si>
  <si>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</si>
  <si>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</si>
  <si>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</si>
  <si>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</si>
  <si>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</si>
  <si>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</si>
  <si>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</si>
  <si>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</si>
  <si>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</si>
  <si>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</si>
  <si>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</si>
  <si>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</si>
  <si>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</si>
  <si>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</si>
  <si>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</si>
  <si>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</si>
  <si>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</si>
  <si>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</si>
  <si>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</si>
  <si>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</si>
  <si>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</si>
  <si>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</si>
  <si>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</si>
  <si>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</si>
  <si>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</si>
  <si>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</si>
  <si>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</si>
  <si>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</si>
  <si>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</si>
  <si>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</si>
  <si>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</si>
  <si>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</si>
  <si>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</si>
  <si>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</si>
  <si>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</si>
  <si>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</si>
  <si>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</si>
  <si>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</si>
  <si>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</si>
  <si>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</si>
  <si>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</si>
  <si>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</si>
  <si>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</si>
  <si>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</si>
  <si>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</si>
  <si>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</si>
  <si>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</si>
  <si>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</si>
  <si>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</si>
  <si>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</si>
  <si>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</si>
  <si>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</si>
  <si>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</si>
  <si>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</si>
  <si>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</si>
  <si>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</si>
  <si>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</si>
  <si>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</si>
  <si>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</si>
  <si>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</si>
  <si>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</si>
  <si>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</si>
  <si>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</si>
  <si>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</si>
  <si>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</si>
  <si>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</si>
  <si>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</si>
  <si>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</si>
  <si>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</si>
  <si>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</si>
  <si>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</si>
  <si>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</si>
  <si>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</si>
  <si>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</si>
  <si>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</si>
  <si>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</si>
  <si>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</si>
  <si>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</si>
  <si>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</si>
  <si>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</si>
  <si>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</si>
  <si>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</si>
  <si>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</si>
  <si>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</si>
  <si>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</si>
  <si>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</si>
  <si>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</si>
  <si>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</si>
  <si>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</si>
  <si>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</si>
  <si>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</si>
  <si>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</si>
  <si>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</si>
  <si>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</si>
  <si>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</si>
  <si>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</si>
  <si>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</si>
  <si>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</si>
  <si>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</si>
  <si>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</si>
  <si>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</si>
  <si>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</si>
  <si>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</si>
  <si>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</si>
  <si>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</si>
  <si>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</si>
  <si>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</si>
  <si>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</si>
  <si>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</si>
  <si>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</si>
  <si>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</si>
  <si>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</si>
  <si>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</si>
  <si>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</si>
  <si>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</si>
  <si>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</si>
  <si>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</si>
  <si>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</si>
  <si>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</si>
  <si>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</si>
  <si>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</si>
  <si>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</si>
  <si>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</si>
  <si>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</si>
  <si>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</si>
  <si>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</si>
  <si>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</si>
  <si>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</si>
  <si>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</si>
  <si>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</si>
  <si>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</si>
  <si>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</si>
  <si>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</si>
  <si>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</si>
  <si>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</si>
  <si>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</si>
  <si>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</si>
  <si>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</si>
  <si>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</si>
  <si>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</si>
  <si>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</si>
  <si>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</si>
  <si>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</si>
  <si>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</si>
  <si>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</si>
  <si>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</si>
  <si>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</si>
  <si>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</si>
  <si>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</si>
  <si>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</si>
  <si>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</si>
  <si>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</si>
  <si>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</si>
  <si>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</si>
  <si>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</si>
  <si>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</si>
  <si>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</si>
  <si>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</si>
  <si>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</si>
  <si>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</si>
  <si>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</si>
  <si>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</si>
  <si>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</si>
  <si>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</si>
  <si>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</si>
  <si>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</si>
  <si>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</si>
  <si>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</si>
  <si>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</si>
  <si>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</si>
  <si>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</si>
  <si>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</si>
  <si>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</si>
  <si>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</si>
  <si>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</si>
  <si>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</si>
  <si>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</si>
  <si>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</si>
  <si>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</si>
  <si>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</si>
  <si>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</si>
  <si>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</si>
  <si>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</si>
  <si>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</si>
  <si>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</si>
  <si>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</si>
  <si>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</si>
  <si>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</si>
  <si>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</si>
  <si>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</si>
  <si>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</si>
  <si>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</si>
  <si>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</si>
  <si>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</si>
  <si>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</si>
  <si>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</si>
  <si>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</si>
  <si>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</si>
  <si>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</si>
  <si>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</si>
  <si>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</si>
  <si>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</si>
  <si>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</si>
  <si>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</si>
  <si>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</si>
  <si>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</si>
  <si>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</si>
  <si>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</si>
  <si>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</si>
  <si>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</si>
  <si>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</si>
  <si>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</si>
  <si>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</si>
  <si>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</si>
  <si>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</si>
  <si>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</si>
  <si>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</si>
  <si>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</si>
  <si>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</si>
  <si>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</si>
  <si>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</si>
  <si>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</si>
  <si>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</si>
  <si>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</si>
  <si>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</si>
  <si>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</si>
  <si>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</si>
  <si>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</si>
  <si>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</si>
  <si>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</si>
  <si>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</si>
  <si>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</si>
  <si>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</si>
  <si>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</si>
  <si>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</si>
  <si>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</si>
  <si>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</si>
  <si>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</si>
  <si>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</si>
  <si>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</si>
  <si>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</si>
  <si>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</si>
  <si>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</si>
  <si>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</si>
  <si>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</si>
  <si>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</si>
  <si>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</si>
  <si>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</si>
  <si>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</si>
  <si>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</si>
  <si>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</si>
  <si>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</si>
  <si>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</si>
  <si>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</si>
  <si>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</si>
  <si>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</si>
  <si>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</si>
  <si>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</si>
  <si>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</si>
  <si>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</si>
  <si>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</si>
  <si>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</si>
  <si>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</si>
  <si>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</si>
  <si>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</si>
  <si>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</si>
  <si>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</si>
  <si>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</si>
  <si>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</si>
  <si>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</si>
  <si>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</si>
  <si>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</si>
  <si>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</si>
  <si>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</si>
  <si>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</si>
  <si>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</si>
  <si>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</si>
  <si>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</si>
  <si>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</si>
  <si>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</si>
  <si>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</si>
  <si>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</si>
  <si>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</si>
  <si>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</si>
  <si>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</si>
  <si>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</si>
  <si>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</si>
  <si>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</si>
  <si>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</si>
  <si>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</si>
  <si>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</si>
  <si>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</si>
  <si>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</si>
  <si>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</si>
  <si>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</si>
  <si>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</si>
  <si>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</si>
  <si>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</si>
  <si>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</si>
  <si>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</si>
  <si>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</si>
  <si>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</si>
  <si>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</si>
  <si>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</si>
  <si>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</si>
  <si>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</si>
  <si>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</si>
  <si>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</si>
  <si>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</si>
  <si>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</si>
  <si>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</si>
  <si>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</si>
  <si>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</si>
  <si>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</si>
  <si>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</si>
  <si>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</si>
  <si>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</si>
  <si>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</si>
  <si>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</si>
  <si>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</si>
  <si>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</si>
  <si>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</si>
  <si>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</si>
  <si>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</si>
  <si>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</si>
  <si>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</si>
  <si>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</si>
  <si>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</si>
  <si>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</si>
  <si>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</si>
  <si>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</si>
  <si>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</si>
  <si>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</si>
  <si>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</si>
  <si>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</si>
  <si>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</si>
  <si>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</si>
  <si>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</si>
  <si>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</si>
  <si>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</si>
  <si>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</si>
  <si>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</si>
  <si>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</si>
  <si>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</si>
  <si>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</si>
  <si>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</si>
  <si>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</si>
  <si>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</si>
  <si>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</si>
  <si>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</si>
  <si>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</si>
  <si>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</si>
  <si>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</si>
  <si>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</si>
  <si>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</si>
  <si>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</si>
  <si>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</si>
  <si>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</si>
  <si>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</si>
  <si>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</si>
  <si>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</si>
  <si>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</si>
  <si>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</si>
  <si>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</si>
  <si>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</si>
  <si>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</si>
  <si>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</si>
  <si>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</si>
  <si>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</si>
  <si>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</si>
  <si>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</si>
  <si>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</si>
  <si>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</si>
  <si>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</si>
  <si>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</si>
  <si>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</si>
  <si>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</si>
  <si>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</si>
  <si>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</si>
  <si>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</si>
  <si>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</si>
  <si>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</si>
  <si>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</si>
  <si>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</si>
  <si>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</si>
  <si>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</si>
  <si>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</si>
  <si>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</si>
  <si>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</si>
  <si>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</si>
  <si>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</si>
  <si>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</si>
  <si>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</si>
  <si>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</si>
  <si>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</si>
  <si>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</si>
  <si>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</si>
  <si>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</si>
  <si>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</si>
  <si>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</si>
  <si>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</si>
  <si>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</si>
  <si>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</si>
  <si>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</si>
  <si>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</si>
  <si>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</si>
  <si>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</si>
  <si>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</si>
  <si>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</si>
  <si>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</si>
  <si>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</si>
  <si>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</si>
  <si>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</si>
  <si>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</si>
  <si>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</si>
  <si>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</si>
  <si>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</si>
  <si>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</si>
  <si>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</si>
  <si>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</si>
  <si>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</si>
  <si>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</si>
  <si>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</si>
  <si>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</si>
  <si>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</si>
  <si>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</si>
  <si>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</si>
  <si>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</si>
  <si>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</si>
  <si>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</si>
  <si>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</si>
  <si>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</si>
  <si>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</si>
  <si>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</si>
  <si>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</si>
  <si>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</si>
  <si>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</si>
  <si>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</si>
  <si>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</si>
  <si>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</si>
  <si>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</si>
  <si>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</si>
  <si>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</si>
  <si>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</si>
  <si>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</si>
  <si>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</si>
  <si>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</si>
  <si>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</si>
  <si>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</si>
  <si>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</si>
  <si>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</si>
  <si>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</si>
  <si>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</si>
  <si>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</si>
  <si>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</si>
  <si>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</si>
  <si>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</si>
  <si>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</si>
  <si>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</si>
  <si>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</si>
  <si>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</si>
  <si>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</si>
  <si>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</si>
  <si>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</si>
  <si>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</si>
  <si>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</si>
  <si>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</si>
  <si>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</si>
  <si>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</si>
  <si>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</si>
  <si>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</si>
  <si>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</si>
  <si>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</si>
  <si>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</si>
  <si>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</si>
  <si>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</si>
  <si>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</si>
  <si>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</si>
  <si>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</si>
  <si>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</si>
  <si>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</si>
  <si>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</si>
  <si>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</si>
  <si>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</si>
  <si>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</si>
  <si>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</si>
  <si>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</si>
  <si>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</si>
  <si>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</si>
  <si>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</si>
  <si>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</si>
  <si>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</si>
  <si>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</si>
  <si>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</si>
  <si>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</si>
  <si>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</si>
  <si>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</si>
  <si>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</si>
  <si>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</si>
  <si>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</si>
  <si>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</si>
  <si>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</si>
  <si>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</si>
  <si>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</si>
  <si>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</si>
  <si>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</si>
  <si>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</si>
  <si>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</si>
  <si>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</si>
  <si>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</si>
  <si>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</si>
  <si>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</si>
  <si>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</si>
  <si>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</si>
  <si>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</si>
  <si>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</si>
  <si>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</si>
  <si>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</si>
  <si>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</si>
  <si>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</si>
  <si>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</si>
  <si>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</si>
  <si>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</si>
  <si>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</si>
  <si>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</si>
  <si>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</si>
  <si>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</si>
  <si>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</si>
  <si>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</si>
  <si>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</si>
  <si>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</si>
  <si>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</si>
  <si>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</si>
  <si>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</si>
  <si>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</si>
  <si>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</si>
  <si>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</si>
  <si>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</si>
  <si>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</si>
  <si>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</si>
  <si>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</si>
  <si>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</si>
  <si>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</si>
  <si>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</si>
  <si>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</si>
  <si>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</si>
  <si>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</si>
  <si>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</si>
  <si>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</si>
  <si>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</si>
  <si>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</si>
  <si>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</si>
  <si>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</si>
  <si>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</si>
  <si>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</si>
  <si>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</si>
  <si>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</si>
  <si>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</si>
  <si>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</si>
  <si>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</si>
  <si>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</si>
  <si>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</si>
  <si>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</si>
  <si>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</si>
  <si>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</si>
  <si>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</si>
  <si>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</si>
  <si>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</si>
  <si>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</si>
  <si>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</si>
  <si>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</si>
  <si>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</si>
  <si>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</si>
  <si>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</si>
  <si>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</si>
  <si>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</si>
  <si>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</si>
  <si>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</si>
  <si>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</si>
  <si>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</si>
  <si>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</si>
  <si>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</si>
  <si>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</si>
  <si>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</si>
  <si>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</si>
  <si>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</si>
  <si>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</si>
  <si>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</si>
  <si>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</si>
  <si>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</si>
  <si>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</si>
  <si>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</si>
  <si>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</si>
  <si>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</si>
  <si>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</si>
  <si>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</si>
  <si>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</si>
  <si>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</si>
  <si>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</si>
  <si>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</si>
  <si>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</si>
  <si>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</si>
  <si>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</si>
  <si>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</si>
  <si>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</si>
  <si>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</si>
  <si>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</si>
  <si>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</si>
  <si>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</si>
  <si>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</si>
  <si>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</si>
  <si>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</si>
  <si>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</si>
  <si>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</si>
  <si>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</si>
  <si>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</si>
  <si>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</si>
  <si>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</si>
  <si>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</si>
  <si>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</si>
  <si>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</si>
  <si>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</si>
  <si>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</si>
  <si>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</si>
  <si>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</si>
  <si>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</si>
  <si>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</si>
  <si>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</si>
  <si>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</si>
  <si>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</si>
  <si>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</si>
  <si>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</si>
  <si>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</si>
  <si>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</si>
  <si>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</si>
  <si>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</si>
  <si>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</si>
  <si>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</si>
  <si>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</si>
  <si>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</si>
  <si>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</si>
  <si>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</si>
  <si>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</si>
  <si>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</si>
  <si>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</si>
  <si>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</si>
  <si>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</si>
  <si>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</si>
  <si>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</si>
  <si>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</si>
  <si>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</si>
  <si>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</si>
  <si>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</si>
  <si>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</si>
  <si>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</si>
  <si>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</si>
  <si>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</si>
  <si>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</si>
  <si>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</si>
  <si>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</si>
  <si>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</si>
  <si>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</si>
  <si>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</si>
  <si>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</si>
  <si>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</si>
  <si>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</si>
  <si>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</si>
  <si>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</si>
  <si>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</si>
  <si>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</si>
  <si>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</si>
  <si>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</si>
  <si>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</si>
  <si>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</si>
  <si>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</si>
  <si>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</si>
  <si>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</si>
  <si>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</si>
  <si>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</si>
  <si>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</si>
  <si>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</si>
  <si>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</si>
  <si>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</si>
  <si>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</si>
  <si>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</si>
  <si>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</si>
  <si>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</si>
  <si>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</si>
  <si>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</si>
  <si>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</si>
  <si>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</si>
  <si>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</si>
  <si>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</si>
  <si>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</si>
  <si>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</si>
  <si>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</si>
  <si>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</si>
  <si>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</si>
  <si>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</si>
  <si>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</si>
  <si>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</si>
  <si>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</si>
  <si>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</si>
  <si>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</si>
  <si>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</si>
  <si>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</si>
  <si>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</si>
  <si>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</si>
  <si>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</si>
  <si>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</si>
  <si>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</si>
  <si>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</si>
  <si>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</si>
  <si>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</si>
  <si>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</si>
  <si>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</si>
  <si>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</si>
  <si>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</si>
  <si>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</si>
  <si>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</si>
  <si>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</si>
  <si>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</si>
  <si>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</si>
  <si>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</si>
  <si>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</si>
  <si>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</si>
  <si>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</si>
  <si>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</si>
  <si>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</si>
  <si>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</si>
  <si>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</si>
  <si>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</si>
  <si>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</si>
  <si>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</si>
  <si>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</si>
  <si>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</si>
  <si>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</si>
  <si>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</si>
  <si>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</si>
  <si>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</si>
  <si>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</si>
  <si>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</si>
  <si>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</si>
  <si>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</si>
  <si>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</si>
  <si>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</si>
  <si>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</si>
  <si>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</si>
  <si>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</si>
  <si>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</si>
  <si>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</si>
  <si>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</si>
  <si>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</si>
  <si>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</si>
  <si>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</si>
  <si>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</si>
  <si>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</si>
  <si>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</si>
  <si>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</si>
  <si>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</si>
  <si>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</si>
  <si>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</si>
  <si>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</si>
  <si>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</si>
  <si>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</si>
  <si>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</si>
  <si>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</si>
  <si>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</si>
  <si>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</si>
  <si>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</si>
  <si>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</si>
  <si>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</si>
  <si>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</si>
  <si>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</si>
  <si>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</si>
  <si>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</si>
  <si>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</si>
  <si>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</si>
  <si>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</si>
  <si>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</si>
  <si>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</si>
  <si>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</si>
  <si>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</si>
  <si>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</si>
  <si>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</si>
  <si>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</si>
  <si>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</si>
  <si>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</si>
  <si>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</si>
  <si>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</si>
  <si>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</si>
  <si>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</si>
  <si>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</si>
  <si>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</si>
  <si>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</si>
  <si>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</si>
  <si>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</si>
  <si>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</si>
  <si>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</si>
  <si>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</si>
  <si>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</si>
  <si>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</si>
  <si>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</si>
  <si>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</si>
  <si>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</si>
  <si>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</si>
  <si>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</si>
  <si>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</si>
  <si>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</si>
  <si>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</si>
  <si>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</si>
  <si>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</si>
  <si>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</si>
  <si>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</si>
  <si>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</si>
  <si>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</si>
  <si>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</si>
  <si>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</si>
  <si>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</si>
  <si>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</si>
  <si>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</si>
  <si>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</si>
  <si>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</si>
  <si>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</si>
  <si>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</si>
  <si>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</si>
  <si>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</si>
  <si>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</si>
  <si>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</si>
  <si>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</si>
  <si>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</si>
  <si>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</si>
  <si>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</si>
  <si>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</si>
  <si>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</si>
  <si>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</si>
  <si>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</si>
  <si>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</si>
  <si>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</si>
  <si>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</si>
  <si>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</si>
  <si>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</si>
  <si>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</si>
  <si>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</si>
  <si>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</si>
  <si>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</si>
  <si>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</si>
  <si>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</si>
  <si>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</si>
  <si>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</si>
  <si>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</si>
  <si>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</si>
  <si>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</si>
  <si>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</si>
  <si>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</si>
  <si>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</si>
  <si>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</si>
  <si>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</si>
  <si>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</si>
  <si>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</si>
  <si>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</si>
  <si>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</si>
  <si>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</si>
  <si>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</si>
  <si>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</si>
  <si>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</si>
  <si>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</si>
  <si>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</si>
  <si>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</si>
  <si>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</si>
  <si>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</si>
  <si>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</si>
  <si>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</si>
  <si>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</si>
  <si>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</si>
  <si>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</si>
  <si>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</si>
  <si>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</si>
  <si>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</si>
  <si>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</si>
  <si>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</si>
  <si>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</si>
  <si>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</si>
  <si>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</si>
  <si>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</si>
  <si>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</si>
  <si>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</si>
  <si>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</si>
  <si>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</si>
  <si>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</si>
  <si>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</si>
  <si>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</si>
  <si>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</si>
  <si>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</si>
  <si>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</si>
  <si>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</si>
  <si>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</si>
  <si>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</si>
  <si>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</si>
  <si>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</si>
  <si>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</si>
  <si>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</si>
  <si>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</si>
  <si>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</si>
  <si>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</si>
  <si>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</si>
  <si>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</si>
  <si>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</si>
  <si>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</si>
  <si>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</si>
  <si>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</si>
  <si>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</si>
  <si>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</si>
  <si>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</si>
  <si>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</si>
  <si>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</si>
  <si>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</si>
  <si>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</si>
  <si>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</si>
  <si>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</si>
  <si>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</si>
  <si>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</si>
  <si>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</si>
  <si>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</si>
  <si>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</si>
  <si>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</si>
  <si>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</si>
  <si>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</si>
  <si>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</si>
  <si>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</si>
  <si>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</si>
  <si>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</si>
  <si>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</si>
  <si>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</si>
  <si>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</si>
  <si>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</si>
  <si>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</si>
  <si>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</si>
  <si>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</si>
  <si>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</si>
  <si>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</si>
  <si>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</si>
  <si>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</si>
  <si>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</si>
  <si>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</si>
  <si>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</si>
  <si>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</si>
  <si>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</si>
  <si>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</si>
  <si>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</si>
  <si>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</si>
  <si>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</si>
  <si>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</si>
  <si>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</si>
  <si>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</si>
  <si>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</si>
  <si>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</si>
  <si>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</si>
  <si>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</si>
  <si>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</si>
  <si>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</si>
  <si>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</si>
  <si>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</si>
  <si>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</si>
  <si>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</si>
  <si>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</si>
  <si>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</si>
  <si>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</si>
  <si>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</si>
  <si>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</si>
  <si>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</si>
  <si>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</si>
  <si>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</si>
  <si>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</si>
  <si>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</si>
  <si>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</si>
  <si>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</si>
  <si>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</si>
  <si>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</si>
  <si>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</si>
  <si>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</si>
  <si>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</si>
  <si>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</si>
  <si>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</si>
  <si>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</si>
  <si>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</si>
  <si>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</si>
  <si>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</si>
  <si>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</si>
  <si>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</si>
  <si>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</si>
  <si>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</si>
  <si>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</si>
  <si>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</si>
  <si>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</si>
  <si>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</si>
  <si>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</si>
  <si>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</si>
  <si>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</si>
  <si>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</si>
  <si>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</si>
  <si>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</si>
  <si>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</si>
  <si>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</si>
  <si>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</si>
  <si>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</si>
  <si>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</si>
  <si>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</si>
  <si>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</si>
  <si>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</si>
  <si>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</si>
  <si>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</si>
  <si>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</si>
  <si>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</si>
  <si>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</si>
  <si>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</si>
  <si>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</si>
  <si>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</si>
  <si>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</si>
  <si>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</si>
  <si>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</si>
  <si>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</si>
  <si>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</si>
  <si>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</si>
  <si>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</si>
  <si>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</si>
  <si>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</si>
  <si>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</si>
  <si>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</si>
  <si>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</si>
  <si>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</si>
  <si>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</si>
  <si>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</si>
  <si>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</si>
  <si>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</si>
  <si>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</si>
  <si>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</si>
  <si>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</si>
  <si>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</si>
  <si>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</si>
  <si>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</si>
  <si>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</si>
  <si>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</si>
  <si>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</si>
  <si>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</si>
  <si>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</si>
  <si>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</si>
  <si>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</si>
  <si>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</si>
  <si>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</si>
  <si>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</si>
  <si>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</si>
  <si>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</si>
  <si>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</si>
  <si>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</si>
  <si>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</si>
  <si>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</si>
  <si>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</si>
  <si>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</si>
  <si>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</si>
  <si>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</si>
  <si>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</si>
  <si>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</si>
  <si>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</si>
  <si>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</si>
  <si>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</si>
  <si>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</si>
  <si>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</si>
  <si>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</si>
  <si>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</si>
  <si>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</si>
  <si>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</si>
  <si>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</si>
  <si>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</si>
  <si>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</si>
  <si>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</si>
  <si>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</si>
  <si>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</si>
  <si>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</si>
  <si>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</si>
  <si>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</si>
  <si>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</si>
  <si>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</si>
  <si>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</si>
  <si>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</si>
  <si>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</si>
  <si>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</si>
  <si>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</si>
  <si>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</si>
  <si>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</si>
  <si>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</si>
  <si>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</si>
  <si>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</si>
  <si>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</si>
  <si>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</si>
  <si>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</si>
  <si>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</si>
  <si>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</si>
  <si>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</si>
  <si>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</si>
  <si>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</si>
  <si>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</si>
  <si>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</si>
  <si>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</si>
  <si>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</si>
  <si>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</si>
  <si>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</si>
  <si>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</si>
  <si>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</si>
  <si>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</si>
  <si>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</si>
  <si>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</si>
  <si>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</si>
  <si>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</si>
  <si>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</si>
  <si>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</si>
  <si>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</si>
  <si>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</si>
  <si>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</si>
  <si>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</si>
  <si>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</si>
  <si>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</si>
  <si>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</si>
  <si>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</si>
  <si>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</si>
  <si>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</si>
  <si>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</si>
  <si>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</si>
  <si>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</si>
  <si>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</si>
  <si>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</si>
  <si>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</si>
  <si>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</si>
  <si>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</si>
  <si>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</si>
  <si>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</si>
  <si>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</si>
  <si>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</si>
  <si>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</si>
  <si>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</si>
  <si>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</si>
  <si>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</si>
  <si>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</si>
  <si>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</si>
  <si>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</si>
  <si>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</si>
  <si>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</si>
  <si>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</si>
  <si>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</si>
  <si>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</si>
  <si>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</si>
  <si>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</si>
  <si>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</si>
  <si>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</si>
  <si>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</si>
  <si>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</si>
  <si>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</si>
  <si>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</si>
  <si>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</si>
  <si>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</si>
  <si>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</si>
  <si>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</si>
  <si>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</si>
  <si>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</si>
  <si>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</si>
  <si>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</si>
  <si>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</si>
  <si>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</si>
  <si>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</si>
  <si>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</si>
  <si>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</si>
  <si>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</si>
  <si>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</si>
  <si>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</si>
  <si>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</si>
  <si>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</si>
  <si>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</si>
  <si>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</si>
  <si>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</si>
  <si>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</si>
  <si>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</si>
  <si>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</si>
  <si>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</si>
  <si>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</si>
  <si>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</si>
  <si>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</si>
  <si>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</si>
  <si>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</si>
  <si>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</si>
  <si>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</si>
  <si>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</si>
  <si>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</si>
  <si>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</si>
  <si>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</si>
  <si>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</si>
  <si>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</si>
  <si>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</si>
  <si>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</si>
  <si>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</si>
  <si>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</si>
  <si>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</si>
  <si>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</si>
  <si>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</si>
  <si>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</si>
  <si>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</si>
  <si>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</si>
  <si>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</si>
  <si>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</si>
  <si>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</si>
  <si>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</si>
  <si>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</si>
  <si>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</si>
  <si>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</si>
  <si>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</si>
  <si>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</si>
  <si>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</si>
  <si>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</si>
  <si>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</si>
  <si>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</si>
  <si>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</si>
  <si>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</si>
  <si>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</si>
  <si>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</si>
  <si>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</si>
  <si>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</si>
  <si>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</si>
  <si>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</si>
  <si>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</si>
  <si>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</si>
  <si>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</si>
  <si>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</si>
  <si>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</si>
  <si>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</si>
  <si>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</si>
  <si>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</si>
  <si>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</si>
  <si>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</si>
  <si>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</si>
  <si>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</si>
  <si>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</si>
  <si>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</si>
  <si>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</si>
  <si>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</si>
  <si>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</si>
  <si>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</si>
  <si>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</si>
  <si>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</si>
  <si>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</si>
  <si>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</si>
  <si>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</si>
  <si>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</si>
  <si>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</si>
  <si>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</si>
  <si>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</si>
  <si>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</si>
  <si>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</si>
  <si>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</si>
  <si>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</si>
  <si>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</si>
  <si>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</si>
  <si>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</si>
  <si>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</si>
  <si>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</si>
  <si>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</si>
  <si>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</si>
  <si>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</si>
  <si>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</si>
  <si>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</si>
  <si>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</si>
  <si>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</si>
  <si>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</si>
  <si>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</si>
  <si>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</si>
  <si>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</si>
  <si>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</si>
  <si>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</si>
  <si>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</si>
  <si>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</si>
  <si>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</si>
  <si>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</si>
  <si>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</si>
  <si>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</si>
  <si>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</si>
  <si>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</si>
  <si>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</si>
  <si>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</si>
  <si>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</si>
  <si>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</si>
  <si>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</si>
  <si>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</si>
  <si>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</si>
  <si>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</si>
  <si>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</si>
  <si>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</si>
  <si>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</si>
  <si>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</si>
  <si>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</si>
  <si>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</si>
  <si>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</si>
  <si>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</si>
  <si>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</si>
  <si>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</si>
  <si>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</si>
  <si>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</si>
  <si>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</si>
  <si>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</si>
  <si>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</si>
  <si>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</si>
  <si>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</si>
  <si>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</si>
  <si>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</si>
  <si>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</si>
  <si>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</si>
  <si>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</si>
  <si>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</si>
  <si>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</si>
  <si>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</si>
  <si>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</si>
  <si>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</si>
  <si>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</si>
  <si>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</si>
  <si>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</si>
  <si>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</si>
  <si>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</si>
  <si>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</si>
  <si>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</si>
  <si>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</si>
  <si>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</si>
  <si>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</si>
  <si>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</si>
  <si>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</si>
  <si>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</si>
  <si>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</si>
  <si>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</si>
  <si>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</si>
  <si>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</si>
  <si>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</si>
  <si>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</si>
  <si>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</si>
  <si>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</si>
  <si>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</si>
  <si>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</si>
  <si>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</si>
  <si>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</si>
  <si>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</si>
  <si>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</si>
  <si>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</si>
  <si>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</si>
  <si>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</si>
  <si>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</si>
  <si>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</si>
  <si>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</si>
  <si>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</si>
  <si>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</si>
  <si>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</si>
  <si>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</si>
  <si>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</si>
  <si>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</si>
  <si>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</si>
  <si>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</si>
  <si>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</si>
  <si>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</si>
  <si>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</si>
  <si>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</si>
  <si>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</si>
  <si>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</si>
  <si>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</si>
  <si>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</si>
  <si>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</si>
  <si>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</si>
  <si>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</si>
  <si>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</si>
  <si>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</si>
  <si>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</si>
  <si>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</si>
  <si>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</si>
  <si>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</si>
  <si>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</si>
  <si>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</si>
  <si>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</si>
  <si>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</si>
  <si>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</si>
  <si>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</si>
  <si>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</si>
  <si>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</si>
  <si>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</si>
  <si>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</si>
  <si>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</si>
  <si>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</si>
  <si>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</si>
  <si>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</si>
  <si>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</si>
  <si>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</si>
  <si>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</si>
  <si>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</si>
  <si>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</si>
  <si>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</si>
  <si>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</si>
  <si>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</si>
  <si>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</si>
  <si>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</si>
  <si>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</si>
  <si>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</si>
  <si>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</si>
  <si>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</si>
  <si>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</si>
  <si>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</si>
  <si>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</si>
  <si>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</si>
  <si>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</si>
  <si>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</si>
  <si>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</si>
  <si>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</si>
  <si>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</si>
  <si>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</si>
  <si>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</si>
  <si>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</si>
  <si>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</si>
  <si>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</si>
  <si>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</si>
  <si>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</si>
  <si>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</si>
  <si>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</si>
  <si>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</si>
  <si>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</si>
  <si>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</si>
  <si>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</si>
  <si>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</si>
  <si>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</si>
  <si>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</si>
  <si>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</si>
  <si>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</si>
  <si>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</si>
  <si>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</si>
  <si>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</si>
  <si>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</si>
  <si>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</si>
  <si>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</si>
  <si>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</si>
  <si>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</si>
  <si>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</si>
  <si>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</si>
  <si>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</si>
  <si>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</si>
  <si>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</si>
  <si>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</si>
  <si>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</si>
  <si>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</si>
  <si>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</si>
  <si>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</si>
  <si>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</si>
  <si>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</si>
  <si>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</si>
  <si>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</si>
  <si>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</si>
  <si>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</si>
  <si>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</si>
  <si>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</si>
  <si>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</si>
  <si>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</si>
  <si>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</si>
  <si>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</si>
  <si>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</si>
  <si>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</si>
  <si>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</si>
  <si>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</si>
  <si>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</si>
  <si>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</si>
  <si>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</si>
  <si>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</si>
  <si>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</si>
  <si>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</si>
  <si>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</si>
  <si>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</si>
  <si>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</si>
  <si>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</si>
  <si>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</si>
  <si>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</si>
  <si>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</si>
  <si>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</si>
  <si>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</si>
  <si>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</si>
  <si>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</si>
  <si>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</si>
  <si>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</si>
  <si>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</si>
  <si>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</si>
  <si>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</si>
  <si>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</si>
  <si>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</si>
  <si>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</si>
  <si>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</si>
  <si>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</si>
  <si>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</si>
  <si>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</si>
  <si>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</si>
  <si>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</si>
  <si>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</si>
  <si>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</si>
  <si>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</si>
  <si>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</si>
  <si>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</si>
  <si>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</si>
  <si>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</si>
  <si>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</si>
  <si>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</si>
  <si>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</si>
  <si>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</si>
  <si>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</si>
  <si>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</si>
  <si>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</si>
  <si>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</si>
  <si>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</si>
  <si>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</si>
  <si>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</si>
  <si>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</si>
  <si>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</si>
  <si>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</si>
  <si>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</si>
  <si>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</si>
  <si>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</si>
  <si>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</si>
  <si>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</si>
  <si>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</si>
  <si>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</si>
  <si>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</si>
  <si>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</si>
  <si>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</si>
  <si>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</si>
  <si>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</si>
  <si>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</si>
  <si>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</si>
  <si>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</si>
  <si>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</si>
  <si>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</si>
  <si>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</si>
  <si>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</si>
  <si>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</si>
  <si>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</si>
  <si>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</si>
  <si>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</si>
  <si>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</si>
  <si>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</si>
  <si>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</si>
  <si>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</si>
  <si>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</si>
  <si>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</si>
  <si>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</si>
  <si>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</si>
  <si>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</si>
  <si>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</si>
  <si>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</si>
  <si>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</si>
  <si>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</si>
  <si>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</si>
  <si>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</si>
  <si>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</si>
  <si>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</si>
  <si>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</si>
  <si>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</si>
  <si>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</si>
  <si>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</si>
  <si>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</si>
  <si>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</si>
  <si>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</si>
  <si>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</si>
  <si>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</si>
  <si>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</si>
  <si>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</si>
  <si>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</si>
  <si>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</si>
  <si>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</si>
  <si>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</si>
  <si>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</si>
  <si>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</si>
  <si>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</si>
  <si>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</si>
  <si>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</si>
  <si>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</si>
  <si>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</si>
  <si>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</si>
  <si>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</si>
  <si>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</si>
  <si>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</si>
  <si>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</si>
  <si>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</si>
  <si>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</si>
  <si>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</si>
  <si>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</si>
  <si>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</si>
  <si>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</si>
  <si>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</si>
  <si>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</si>
  <si>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</si>
  <si>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</si>
  <si>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</si>
  <si>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</si>
  <si>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</si>
  <si>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</si>
  <si>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</si>
  <si>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</si>
  <si>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</si>
  <si>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</si>
  <si>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</si>
  <si>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</si>
  <si>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</si>
  <si>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</si>
  <si>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</si>
  <si>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</si>
  <si>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</si>
  <si>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</si>
  <si>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</si>
  <si>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</si>
  <si>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</si>
  <si>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</si>
  <si>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</si>
  <si>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</si>
  <si>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</si>
  <si>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</si>
  <si>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</si>
  <si>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</si>
  <si>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</si>
  <si>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</si>
  <si>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</si>
  <si>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</si>
  <si>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</si>
  <si>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</si>
  <si>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</si>
  <si>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</si>
  <si>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</si>
  <si>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</si>
  <si>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</si>
  <si>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</si>
  <si>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</si>
  <si>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</si>
  <si>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</si>
  <si>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</si>
  <si>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</si>
  <si>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</si>
  <si>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</si>
  <si>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</si>
  <si>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</si>
  <si>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</si>
  <si>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</si>
  <si>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</si>
  <si>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</si>
  <si>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</si>
  <si>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</si>
  <si>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</si>
  <si>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</si>
  <si>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</si>
  <si>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</si>
  <si>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</si>
  <si>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</si>
  <si>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</si>
  <si>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</si>
  <si>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</si>
  <si>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</si>
  <si>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</si>
  <si>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</si>
  <si>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</si>
  <si>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</si>
  <si>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</si>
  <si>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</si>
  <si>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</si>
  <si>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</si>
  <si>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</si>
  <si>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</si>
  <si>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</si>
  <si>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</si>
  <si>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</si>
  <si>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</si>
  <si>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</si>
  <si>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</si>
  <si>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</si>
  <si>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</si>
  <si>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</si>
  <si>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</si>
  <si>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</si>
  <si>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</si>
  <si>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</si>
  <si>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</si>
  <si>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</si>
  <si>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</si>
  <si>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</si>
  <si>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</si>
  <si>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</si>
  <si>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</si>
  <si>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</si>
  <si>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</si>
  <si>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</si>
  <si>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</si>
  <si>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</si>
  <si>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</si>
  <si>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</si>
  <si>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</si>
  <si>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</si>
  <si>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</si>
  <si>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</si>
  <si>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</si>
  <si>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</si>
  <si>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</si>
  <si>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</si>
  <si>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</si>
  <si>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</si>
  <si>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</si>
  <si>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</si>
  <si>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</si>
  <si>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</si>
  <si>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</si>
  <si>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</si>
  <si>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</si>
  <si>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</si>
  <si>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</si>
  <si>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</si>
  <si>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</si>
  <si>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</si>
  <si>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</si>
  <si>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</si>
  <si>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</si>
  <si>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</si>
  <si>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</si>
  <si>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</si>
  <si>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</si>
  <si>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</si>
  <si>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</si>
  <si>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</si>
  <si>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</si>
  <si>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</si>
  <si>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</si>
  <si>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</si>
  <si>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</si>
  <si>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</si>
  <si>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</si>
  <si>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</si>
  <si>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</si>
  <si>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</si>
  <si>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</si>
  <si>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</si>
  <si>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</si>
  <si>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</si>
  <si>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</si>
  <si>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</si>
  <si>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</si>
  <si>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</si>
  <si>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</si>
  <si>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</si>
  <si>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</si>
  <si>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</si>
  <si>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</si>
  <si>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</si>
  <si>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</si>
  <si>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</si>
  <si>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</si>
  <si>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</si>
  <si>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</si>
  <si>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</si>
  <si>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</si>
  <si>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</si>
  <si>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</si>
  <si>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</si>
  <si>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</si>
  <si>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</si>
  <si>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</si>
  <si>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</si>
  <si>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</si>
  <si>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</si>
  <si>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</si>
  <si>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</si>
  <si>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</si>
  <si>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</si>
  <si>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</si>
  <si>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</si>
  <si>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</si>
  <si>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</si>
  <si>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</si>
  <si>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</si>
  <si>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</si>
  <si>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</si>
  <si>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</si>
  <si>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</si>
  <si>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</si>
  <si>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</si>
  <si>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</si>
  <si>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</si>
  <si>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</si>
  <si>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</si>
  <si>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</si>
  <si>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</si>
  <si>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</si>
  <si>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</si>
  <si>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</si>
  <si>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</si>
  <si>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</si>
  <si>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</si>
  <si>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</si>
  <si>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</si>
  <si>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</si>
  <si>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</si>
  <si>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</si>
  <si>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</si>
  <si>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</si>
  <si>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</si>
  <si>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</si>
  <si>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</si>
  <si>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</si>
  <si>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</si>
  <si>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</si>
  <si>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</si>
  <si>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</si>
  <si>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</si>
  <si>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</si>
  <si>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</si>
  <si>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</si>
  <si>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</si>
  <si>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</si>
  <si>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</si>
  <si>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</si>
  <si>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</si>
  <si>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</si>
  <si>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</si>
  <si>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</si>
  <si>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</si>
  <si>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</si>
  <si>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</si>
  <si>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</si>
  <si>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</si>
  <si>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</si>
  <si>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</si>
  <si>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</si>
  <si>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</si>
  <si>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</si>
  <si>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</si>
  <si>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</si>
  <si>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</si>
  <si>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</si>
  <si>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</si>
  <si>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</si>
  <si>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</si>
  <si>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</si>
  <si>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</si>
  <si>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</si>
  <si>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</si>
  <si>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</si>
  <si>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</si>
  <si>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</si>
  <si>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</si>
  <si>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</si>
  <si>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</si>
  <si>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</si>
  <si>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</si>
  <si>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</si>
  <si>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</si>
  <si>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</si>
  <si>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</si>
  <si>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</si>
  <si>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</si>
  <si>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</si>
  <si>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</si>
  <si>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</si>
  <si>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</si>
  <si>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</si>
  <si>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</si>
  <si>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</si>
  <si>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</si>
  <si>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</si>
  <si>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</si>
  <si>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</si>
  <si>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</si>
  <si>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</si>
  <si>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</si>
  <si>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</si>
  <si>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</si>
  <si>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</si>
  <si>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</si>
  <si>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</si>
  <si>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</si>
  <si>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</si>
  <si>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</si>
  <si>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</si>
  <si>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</si>
  <si>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</si>
  <si>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</si>
  <si>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</si>
  <si>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</si>
  <si>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</si>
  <si>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</si>
  <si>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</si>
  <si>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</si>
  <si>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</si>
  <si>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</si>
  <si>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</si>
  <si>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</si>
  <si>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</si>
  <si>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</si>
  <si>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</si>
  <si>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</si>
  <si>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</si>
  <si>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</si>
  <si>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</si>
  <si>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</si>
  <si>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</si>
  <si>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</si>
  <si>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</si>
  <si>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</si>
  <si>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</si>
  <si>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</si>
  <si>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</si>
  <si>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</si>
  <si>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</si>
  <si>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</si>
  <si>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</si>
  <si>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</si>
  <si>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</si>
  <si>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</si>
  <si>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</si>
  <si>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</si>
  <si>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</si>
  <si>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</si>
  <si>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</si>
  <si>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</si>
  <si>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</si>
  <si>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</si>
  <si>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</si>
  <si>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</si>
  <si>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</si>
  <si>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</si>
  <si>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</si>
  <si>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</si>
  <si>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</si>
  <si>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</si>
  <si>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</si>
  <si>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</si>
  <si>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</si>
  <si>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</si>
  <si>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</si>
  <si>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</si>
  <si>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</si>
  <si>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</si>
  <si>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</si>
  <si>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</si>
  <si>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</si>
  <si>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</si>
  <si>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</si>
  <si>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</si>
  <si>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</si>
  <si>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</si>
  <si>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</si>
  <si>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</si>
  <si>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</si>
  <si>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</si>
  <si>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</si>
  <si>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</si>
  <si>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</si>
  <si>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</si>
  <si>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</si>
  <si>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</si>
  <si>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</si>
  <si>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</si>
  <si>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</si>
  <si>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</si>
  <si>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</si>
  <si>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</si>
  <si>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</si>
  <si>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</si>
  <si>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</si>
  <si>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</si>
  <si>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</si>
  <si>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</si>
  <si>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</si>
  <si>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</si>
  <si>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</si>
  <si>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</si>
  <si>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</si>
  <si>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</si>
  <si>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</si>
  <si>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</si>
  <si>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</si>
  <si>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</si>
  <si>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</si>
  <si>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</si>
  <si>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</si>
  <si>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</si>
  <si>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</si>
  <si>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</si>
  <si>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</si>
  <si>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</si>
  <si>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</si>
  <si>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</si>
  <si>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</si>
  <si>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</si>
  <si>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</si>
  <si>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</si>
  <si>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</si>
  <si>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</si>
  <si>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</si>
  <si>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</si>
  <si>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</si>
  <si>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</si>
  <si>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</si>
  <si>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</si>
  <si>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</si>
  <si>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</si>
  <si>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</si>
  <si>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</si>
  <si>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</si>
  <si>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</si>
  <si>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</si>
  <si>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</si>
  <si>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</si>
  <si>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</si>
  <si>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</si>
  <si>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</si>
  <si>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</si>
  <si>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</si>
  <si>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</si>
  <si>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</si>
  <si>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</si>
  <si>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</si>
  <si>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</si>
  <si>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</si>
  <si>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</si>
  <si>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</si>
  <si>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</si>
  <si>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</si>
  <si>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</si>
  <si>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</si>
  <si>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</si>
  <si>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</si>
  <si>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</si>
  <si>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</si>
  <si>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</si>
  <si>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</si>
  <si>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</si>
  <si>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</si>
  <si>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</si>
  <si>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</si>
  <si>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</si>
  <si>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</si>
  <si>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</si>
  <si>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</si>
  <si>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</si>
  <si>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</si>
  <si>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</si>
  <si>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</si>
  <si>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</si>
  <si>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</si>
  <si>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</si>
  <si>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</si>
  <si>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</si>
  <si>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</si>
  <si>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</si>
  <si>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</si>
  <si>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</si>
  <si>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</si>
  <si>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</si>
  <si>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</si>
  <si>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</si>
  <si>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</si>
  <si>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</si>
  <si>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</si>
  <si>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</si>
  <si>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</si>
  <si>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</si>
  <si>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</si>
  <si>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</si>
  <si>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</si>
  <si>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</si>
  <si>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</si>
  <si>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</si>
  <si>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</si>
  <si>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</si>
  <si>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</si>
  <si>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</si>
  <si>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</si>
  <si>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</si>
  <si>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</si>
  <si>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</si>
  <si>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</si>
  <si>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</si>
  <si>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</si>
  <si>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</si>
  <si>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吴薇</t>
  </si>
  <si>
    <t>抵押</t>
  </si>
  <si>
    <t>房地产抵押价值</t>
  </si>
  <si>
    <t>北京市</t>
  </si>
  <si>
    <t>企业</t>
  </si>
  <si>
    <t>是</t>
  </si>
  <si>
    <t>地上</t>
  </si>
  <si>
    <t>地下</t>
  </si>
  <si>
    <t>楼层</t>
  </si>
  <si>
    <t>面积</t>
  </si>
  <si>
    <t>（-1）层</t>
  </si>
  <si>
    <t>（-2）层</t>
  </si>
  <si>
    <t>用途</t>
    <phoneticPr fontId="135" type="noConversion"/>
  </si>
  <si>
    <t>商业</t>
    <phoneticPr fontId="135" type="noConversion"/>
  </si>
  <si>
    <t>地下车库</t>
    <phoneticPr fontId="135" type="noConversion"/>
  </si>
  <si>
    <t>商业</t>
    <phoneticPr fontId="8" type="noConversion"/>
  </si>
  <si>
    <t>车库</t>
    <phoneticPr fontId="8" type="noConversion"/>
  </si>
  <si>
    <t>成新度</t>
  </si>
  <si>
    <t>收益法</t>
  </si>
  <si>
    <t>押一</t>
  </si>
  <si>
    <t>钢混</t>
  </si>
  <si>
    <t>非生产用房</t>
  </si>
  <si>
    <t>否</t>
  </si>
  <si>
    <t>估价对象容积率</t>
  </si>
  <si>
    <t>不临65条商业街</t>
  </si>
  <si>
    <t>与级别开发程度一致</t>
  </si>
  <si>
    <t>楼层修正</t>
  </si>
  <si>
    <t>较好</t>
  </si>
  <si>
    <t>好</t>
  </si>
  <si>
    <t>未包含在土地购买价格中</t>
  </si>
  <si>
    <t>全部缴纳</t>
  </si>
  <si>
    <t>已包含在土地取得成本中</t>
  </si>
  <si>
    <t>序号</t>
    <phoneticPr fontId="135" type="noConversion"/>
  </si>
  <si>
    <t>合计</t>
    <phoneticPr fontId="135" type="noConversion"/>
  </si>
  <si>
    <t>——</t>
    <phoneticPr fontId="135" type="noConversion"/>
  </si>
  <si>
    <t>租金</t>
    <phoneticPr fontId="135" type="noConversion"/>
  </si>
  <si>
    <t>楼层系数</t>
    <phoneticPr fontId="135" type="noConversion"/>
  </si>
  <si>
    <t>收益法-车库</t>
  </si>
  <si>
    <t>收益法-车库</t>
    <phoneticPr fontId="17" type="noConversion"/>
  </si>
  <si>
    <t>收益法（汇总）</t>
  </si>
  <si>
    <t>总价</t>
  </si>
  <si>
    <t>成本比率</t>
  </si>
  <si>
    <t>成本法</t>
  </si>
  <si>
    <t>正常</t>
  </si>
  <si>
    <t>商业</t>
    <phoneticPr fontId="31" type="noConversion"/>
  </si>
  <si>
    <t>地块名称</t>
  </si>
  <si>
    <t>城市</t>
  </si>
  <si>
    <t>地块编号</t>
  </si>
  <si>
    <t>用地性质</t>
  </si>
  <si>
    <t>建设用地面积(㎡)</t>
  </si>
  <si>
    <t>规划建筑面积(㎡)</t>
  </si>
  <si>
    <t>容积率</t>
  </si>
  <si>
    <t>出让方式</t>
  </si>
  <si>
    <t>详细规划</t>
  </si>
  <si>
    <t>集中供地</t>
  </si>
  <si>
    <t>成交日期</t>
  </si>
  <si>
    <t>成交状态</t>
  </si>
  <si>
    <t>受让单位</t>
  </si>
  <si>
    <t>拿地企业</t>
  </si>
  <si>
    <t>起始价(万元)</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</si>
  <si>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</si>
  <si>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</si>
  <si>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</si>
  <si>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</si>
  <si>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</si>
  <si>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</si>
  <si>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</si>
  <si>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</si>
  <si>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</si>
  <si>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</si>
  <si>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</si>
  <si>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</si>
  <si>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</si>
  <si>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</si>
  <si>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</si>
  <si>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</si>
  <si>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</si>
  <si>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</si>
  <si>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</si>
  <si>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</si>
  <si>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</si>
  <si>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</si>
  <si>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</si>
  <si>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</si>
  <si>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</si>
  <si>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</si>
  <si>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</si>
  <si>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</si>
  <si>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</si>
  <si>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</si>
  <si>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</si>
  <si>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</si>
  <si>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</si>
  <si>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</si>
  <si>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</si>
  <si>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</si>
  <si>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</si>
  <si>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</si>
  <si>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</si>
  <si>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</si>
  <si>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</si>
  <si>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</si>
  <si>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</si>
  <si>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</si>
  <si>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</si>
  <si>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</si>
  <si>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</si>
  <si>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</si>
  <si>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</si>
  <si>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</si>
  <si>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</si>
  <si>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</si>
  <si>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</si>
  <si>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</si>
  <si>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</si>
  <si>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</si>
  <si>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</si>
  <si>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</si>
  <si>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多功能</t>
  </si>
  <si>
    <t>多功能</t>
    <phoneticPr fontId="31" type="noConversion"/>
  </si>
  <si>
    <t>一般</t>
  </si>
  <si>
    <t>较差</t>
  </si>
  <si>
    <t>七通</t>
  </si>
  <si>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</si>
  <si>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</si>
  <si>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</si>
  <si>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</si>
  <si>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</si>
  <si>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</si>
  <si>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</si>
  <si>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</si>
  <si>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</si>
  <si>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</si>
  <si>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</si>
  <si>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</si>
  <si>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</si>
  <si>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业态</t>
    <phoneticPr fontId="4" type="noConversion"/>
  </si>
  <si>
    <t>楼层</t>
    <phoneticPr fontId="4" type="noConversion"/>
  </si>
  <si>
    <t>租户名称</t>
    <phoneticPr fontId="4" type="noConversion"/>
  </si>
  <si>
    <r>
      <t xml:space="preserve">可经营面积
</t>
    </r>
    <r>
      <rPr>
        <sz val="9"/>
        <color theme="1"/>
        <rFont val="Microsoft YaHei UI"/>
        <family val="2"/>
        <charset val="134"/>
      </rPr>
      <t>（平方米）</t>
    </r>
    <phoneticPr fontId="4" type="noConversion"/>
  </si>
  <si>
    <r>
      <t>物业管理费</t>
    </r>
    <r>
      <rPr>
        <b/>
        <sz val="10"/>
        <rFont val="Times New Roman"/>
        <family val="1"/>
      </rPr>
      <t/>
    </r>
    <phoneticPr fontId="4" type="noConversion"/>
  </si>
  <si>
    <t>递增</t>
    <phoneticPr fontId="248" type="noConversion"/>
  </si>
  <si>
    <t>合同租期</t>
    <phoneticPr fontId="248" type="noConversion"/>
  </si>
  <si>
    <t>租金</t>
    <phoneticPr fontId="4" type="noConversion"/>
  </si>
  <si>
    <t>自</t>
  </si>
  <si>
    <t>至</t>
  </si>
  <si>
    <t>（元/月/平方米）</t>
    <phoneticPr fontId="4" type="noConversion"/>
  </si>
  <si>
    <t>写字楼</t>
  </si>
  <si>
    <t>F-4</t>
    <phoneticPr fontId="248" type="noConversion"/>
  </si>
  <si>
    <t>空置</t>
    <phoneticPr fontId="248" type="noConversion"/>
  </si>
  <si>
    <t>中清龙图</t>
    <phoneticPr fontId="248" type="noConversion"/>
  </si>
  <si>
    <t>F-3</t>
    <phoneticPr fontId="248" type="noConversion"/>
  </si>
  <si>
    <t>优格华恒</t>
    <phoneticPr fontId="248" type="noConversion"/>
  </si>
  <si>
    <t>F-2</t>
    <phoneticPr fontId="248" type="noConversion"/>
  </si>
  <si>
    <t>闪电快车</t>
    <phoneticPr fontId="248" type="noConversion"/>
  </si>
  <si>
    <t>如布科技</t>
    <phoneticPr fontId="248" type="noConversion"/>
  </si>
  <si>
    <t>读我科技</t>
    <phoneticPr fontId="248" type="noConversion"/>
  </si>
  <si>
    <t>商业</t>
    <phoneticPr fontId="248" type="noConversion"/>
  </si>
  <si>
    <t>B1</t>
  </si>
  <si>
    <t>物美超市</t>
  </si>
  <si>
    <t>麦当劳</t>
  </si>
  <si>
    <t>西贝</t>
  </si>
  <si>
    <t>潇湘阁</t>
  </si>
  <si>
    <t>L1</t>
  </si>
  <si>
    <t>京东</t>
    <phoneticPr fontId="248" type="noConversion"/>
  </si>
  <si>
    <t>每年3%</t>
    <phoneticPr fontId="248" type="noConversion"/>
  </si>
  <si>
    <t>霸蛮</t>
  </si>
  <si>
    <t>西少爷</t>
  </si>
  <si>
    <t>美食工坊</t>
  </si>
  <si>
    <t>每两年6%</t>
    <phoneticPr fontId="248" type="noConversion"/>
  </si>
  <si>
    <t>乐刻</t>
  </si>
  <si>
    <t>第二年开始，每两年6%</t>
    <phoneticPr fontId="248" type="noConversion"/>
  </si>
  <si>
    <t>星巴克</t>
  </si>
  <si>
    <t>牧贺兰</t>
    <phoneticPr fontId="248" type="noConversion"/>
  </si>
  <si>
    <t>出让金+开发费</t>
  </si>
  <si>
    <t>企业提供（在右侧录入）</t>
  </si>
  <si>
    <t>情况3</t>
  </si>
  <si>
    <t>自行开发建设</t>
  </si>
  <si>
    <t>非个人房产</t>
  </si>
  <si>
    <t>买卖合同</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</si>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</sst>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00_ ;_ * \-#,##0.00_ ;_ * &quot;-&quot;??_ ;_ @_ "/>
    <numFmt numFmtId="198" formatCode="#,##0_ "/>
    <numFmt numFmtId="199" formatCode="##\F"/>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b/>
      <sz val="9"/>
      <color theme="1"/>
      <name val="Microsoft YaHei UI"/>
      <family val="2"/>
      <charset val="134"/>
    </font>
    <font>
      <sz val="9"/>
      <color theme="1"/>
      <name val="Microsoft YaHei UI"/>
      <family val="2"/>
      <charset val="134"/>
    </font>
    <font>
      <b/>
      <sz val="10"/>
      <name val="Times New Roman"/>
      <family val="1"/>
    </font>
    <font>
      <sz val="11"/>
      <color theme="1"/>
      <name val="Malgun Gothic Semilight"/>
      <family val="2"/>
      <charset val="134"/>
    </font>
    <font>
      <sz val="11"/>
      <name val="Malgun Gothic Semilight"/>
      <family val="2"/>
      <charset val="134"/>
    </font>
    <font>
      <b/>
      <sz val="6"/>
      <color theme="1"/>
      <name val="Microsoft YaHei UI"/>
      <family val="2"/>
      <charset val="134"/>
    </font>
    <font>
      <sz val="9"/>
      <color theme="1"/>
      <name val="微软雅黑"/>
      <family val="2"/>
      <charset val="134"/>
    </font>
    <font>
      <sz val="9"/>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7">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xf numFmtId="0" fontId="37" fillId="0" borderId="0"/>
    <xf numFmtId="0" fontId="1" fillId="0" borderId="0">
      <alignment vertical="center"/>
    </xf>
    <xf numFmtId="197" fontId="1" fillId="0" borderId="0" applyFont="0" applyFill="0" applyBorder="0" applyAlignment="0" applyProtection="0">
      <alignment vertical="center"/>
    </xf>
    <xf numFmtId="0" fontId="96" fillId="0" borderId="0">
      <alignment vertical="center"/>
    </xf>
    <xf numFmtId="0" fontId="37" fillId="0" borderId="0">
      <alignment vertical="center"/>
    </xf>
    <xf numFmtId="0" fontId="96" fillId="0" borderId="0">
      <alignment vertical="center"/>
    </xf>
    <xf numFmtId="0" fontId="148" fillId="0" borderId="0"/>
  </cellStyleXfs>
  <cellXfs count="383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70" fillId="0" borderId="0" xfId="0" applyFont="1" applyAlignment="1">
      <alignment horizontal="left" vertical="center"/>
    </xf>
    <xf numFmtId="0" fontId="95" fillId="0" borderId="9" xfId="0" applyNumberFormat="1" applyFont="1" applyFill="1" applyBorder="1" applyAlignment="1" applyProtection="1">
      <alignment horizontal="center" vertical="center" wrapText="1"/>
      <protection locked="0"/>
    </xf>
    <xf numFmtId="0" fontId="270" fillId="0" borderId="0" xfId="19" applyNumberFormat="1" applyFont="1" applyAlignment="1">
      <alignment horizontal="left" vertical="center"/>
    </xf>
    <xf numFmtId="14" fontId="270" fillId="0" borderId="0" xfId="19" applyNumberFormat="1" applyFont="1" applyAlignment="1">
      <alignment horizontal="left" vertical="center"/>
    </xf>
    <xf numFmtId="0" fontId="270" fillId="9" borderId="0" xfId="19" applyNumberFormat="1" applyFont="1" applyFill="1" applyAlignment="1">
      <alignment horizontal="left" vertical="center"/>
    </xf>
    <xf numFmtId="14" fontId="270" fillId="9" borderId="0" xfId="19" applyNumberFormat="1" applyFont="1" applyFill="1" applyAlignment="1">
      <alignment horizontal="left" vertical="center"/>
    </xf>
    <xf numFmtId="0" fontId="270" fillId="16" borderId="0" xfId="19" applyNumberFormat="1" applyFont="1" applyFill="1" applyAlignment="1">
      <alignment horizontal="left" vertical="center"/>
    </xf>
    <xf numFmtId="14" fontId="270" fillId="16" borderId="0" xfId="19" applyNumberFormat="1" applyFont="1" applyFill="1" applyAlignment="1">
      <alignment horizontal="left" vertical="center"/>
    </xf>
    <xf numFmtId="0" fontId="95"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5" fillId="7" borderId="0" xfId="21" applyFont="1" applyFill="1">
      <alignment vertical="center"/>
    </xf>
    <xf numFmtId="0" fontId="276" fillId="7" borderId="0" xfId="21" applyFont="1" applyFill="1">
      <alignment vertical="center"/>
    </xf>
    <xf numFmtId="185" fontId="272" fillId="22" borderId="1" xfId="20" applyNumberFormat="1" applyFont="1" applyFill="1" applyBorder="1" applyAlignment="1">
      <alignment horizontal="center" vertical="center"/>
    </xf>
    <xf numFmtId="0" fontId="277" fillId="22" borderId="1" xfId="22" applyNumberFormat="1" applyFont="1" applyFill="1" applyBorder="1" applyAlignment="1">
      <alignment horizontal="center" vertical="center" wrapText="1"/>
    </xf>
    <xf numFmtId="0" fontId="278" fillId="7" borderId="23" xfId="21" applyFont="1" applyFill="1" applyBorder="1" applyAlignment="1">
      <alignment horizontal="center" vertical="center"/>
    </xf>
    <xf numFmtId="176" fontId="279" fillId="7" borderId="1" xfId="23" applyNumberFormat="1" applyFont="1" applyFill="1" applyBorder="1" applyAlignment="1">
      <alignment horizontal="center" vertical="center" wrapText="1"/>
    </xf>
    <xf numFmtId="14" fontId="279" fillId="7" borderId="1" xfId="23" applyNumberFormat="1" applyFont="1" applyFill="1" applyBorder="1" applyAlignment="1">
      <alignment horizontal="center" vertical="center" wrapText="1"/>
    </xf>
    <xf numFmtId="198" fontId="279" fillId="7" borderId="1" xfId="22" applyNumberFormat="1" applyFont="1" applyFill="1" applyBorder="1" applyAlignment="1">
      <alignment horizontal="center" vertical="center" wrapText="1"/>
    </xf>
    <xf numFmtId="0" fontId="278" fillId="9" borderId="1" xfId="21" applyFont="1" applyFill="1" applyBorder="1" applyAlignment="1">
      <alignment horizontal="center" vertical="center"/>
    </xf>
    <xf numFmtId="199" fontId="278" fillId="9" borderId="1" xfId="21" applyNumberFormat="1" applyFont="1" applyFill="1" applyBorder="1" applyAlignment="1">
      <alignment horizontal="center" vertical="center"/>
    </xf>
    <xf numFmtId="176" fontId="279" fillId="9" borderId="1" xfId="23" applyNumberFormat="1" applyFont="1" applyFill="1" applyBorder="1" applyAlignment="1">
      <alignment horizontal="center" vertical="center" wrapText="1"/>
    </xf>
    <xf numFmtId="14" fontId="279" fillId="9" borderId="1" xfId="23" applyNumberFormat="1" applyFont="1" applyFill="1" applyBorder="1" applyAlignment="1">
      <alignment horizontal="center" vertical="center" wrapText="1"/>
    </xf>
    <xf numFmtId="14" fontId="273" fillId="9" borderId="1" xfId="24" applyNumberFormat="1" applyFont="1" applyFill="1" applyBorder="1" applyAlignment="1">
      <alignment horizontal="center" vertical="center"/>
    </xf>
    <xf numFmtId="14" fontId="273" fillId="9" borderId="1" xfId="25" applyNumberFormat="1" applyFont="1" applyFill="1" applyBorder="1" applyAlignment="1">
      <alignment horizontal="center" vertical="center"/>
    </xf>
    <xf numFmtId="0" fontId="278" fillId="7" borderId="1" xfId="21" applyFont="1" applyFill="1" applyBorder="1" applyAlignment="1">
      <alignment horizontal="center" vertical="center"/>
    </xf>
    <xf numFmtId="199" fontId="278" fillId="7" borderId="1" xfId="21" applyNumberFormat="1" applyFont="1" applyFill="1" applyBorder="1" applyAlignment="1">
      <alignment horizontal="center" vertical="center"/>
    </xf>
    <xf numFmtId="197" fontId="275" fillId="7" borderId="0" xfId="21" applyNumberFormat="1" applyFont="1" applyFill="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272" fillId="22" borderId="13" xfId="22" applyNumberFormat="1" applyFont="1" applyFill="1" applyBorder="1" applyAlignment="1">
      <alignment horizontal="center" vertical="center" wrapText="1"/>
    </xf>
    <xf numFmtId="0" fontId="272" fillId="22" borderId="15" xfId="22" applyNumberFormat="1" applyFont="1" applyFill="1" applyBorder="1" applyAlignment="1">
      <alignment horizontal="center" vertical="center" wrapText="1"/>
    </xf>
    <xf numFmtId="0" fontId="272" fillId="22" borderId="2" xfId="22" applyNumberFormat="1" applyFont="1" applyFill="1" applyBorder="1" applyAlignment="1">
      <alignment horizontal="center" vertical="center" wrapText="1"/>
    </xf>
    <xf numFmtId="185" fontId="272" fillId="22" borderId="1" xfId="20" applyNumberFormat="1" applyFont="1" applyFill="1" applyBorder="1" applyAlignment="1">
      <alignment horizontal="center" vertical="center"/>
    </xf>
    <xf numFmtId="185" fontId="272" fillId="22" borderId="13" xfId="20" applyNumberFormat="1" applyFont="1" applyFill="1" applyBorder="1" applyAlignment="1">
      <alignment horizontal="center" vertical="center" wrapText="1"/>
    </xf>
    <xf numFmtId="185" fontId="272" fillId="22" borderId="2" xfId="20" applyNumberFormat="1" applyFont="1" applyFill="1" applyBorder="1" applyAlignment="1">
      <alignment horizontal="center" vertical="center" wrapText="1"/>
    </xf>
    <xf numFmtId="176" fontId="272" fillId="22" borderId="1" xfId="20" applyNumberFormat="1" applyFont="1" applyFill="1" applyBorder="1" applyAlignment="1">
      <alignment horizontal="center" vertical="center"/>
    </xf>
    <xf numFmtId="185" fontId="272" fillId="22" borderId="1" xfId="20" applyNumberFormat="1" applyFont="1" applyFill="1" applyBorder="1" applyAlignment="1">
      <alignment horizontal="center" vertical="center" wrapText="1"/>
    </xf>
    <xf numFmtId="196" fontId="272" fillId="22" borderId="1" xfId="21" applyNumberFormat="1" applyFont="1" applyFill="1" applyBorder="1" applyAlignment="1">
      <alignment horizontal="center" vertical="center"/>
    </xf>
    <xf numFmtId="0" fontId="272" fillId="22" borderId="1" xfId="22" applyNumberFormat="1" applyFont="1" applyFill="1" applyBorder="1" applyAlignment="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7">
    <cellStyle name="Normal 2 3 2" xfId="20"/>
    <cellStyle name="百分比" xfId="17" builtinId="5"/>
    <cellStyle name="百分比 2" xfId="14"/>
    <cellStyle name="常规" xfId="0" builtinId="0"/>
    <cellStyle name="常规 10" xfId="19"/>
    <cellStyle name="常规 10 2" xfId="25"/>
    <cellStyle name="常规 11" xfId="18"/>
    <cellStyle name="常规 12" xfId="21"/>
    <cellStyle name="常规 16" xfId="10"/>
    <cellStyle name="常规 2" xfId="1"/>
    <cellStyle name="常规 2 2" xfId="8"/>
    <cellStyle name="常规 2 2 2 2 3" xfId="15"/>
    <cellStyle name="常规 3" xfId="2"/>
    <cellStyle name="常规 3 2" xfId="3"/>
    <cellStyle name="常规 3 2 5" xfId="23"/>
    <cellStyle name="常规 3 6" xfId="26"/>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8" xfId="24"/>
    <cellStyle name="千位分隔 2" xfId="22"/>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361950</xdr:colOff>
      <xdr:row>14</xdr:row>
      <xdr:rowOff>44450</xdr:rowOff>
    </xdr:from>
    <xdr:to>
      <xdr:col>23</xdr:col>
      <xdr:colOff>589842</xdr:colOff>
      <xdr:row>44</xdr:row>
      <xdr:rowOff>129486</xdr:rowOff>
    </xdr:to>
    <xdr:pic>
      <xdr:nvPicPr>
        <xdr:cNvPr id="2" name="图片 1"/>
        <xdr:cNvPicPr>
          <a:picLocks noChangeAspect="1"/>
        </xdr:cNvPicPr>
      </xdr:nvPicPr>
      <xdr:blipFill>
        <a:blip xmlns:r="http://schemas.openxmlformats.org/officeDocument/2006/relationships" r:embed="rId1"/>
        <a:stretch>
          <a:fillRect/>
        </a:stretch>
      </xdr:blipFill>
      <xdr:spPr>
        <a:xfrm>
          <a:off x="13963650" y="2578100"/>
          <a:ext cx="5666667" cy="5514286"/>
        </a:xfrm>
        <a:prstGeom prst="rect">
          <a:avLst/>
        </a:prstGeom>
      </xdr:spPr>
    </xdr:pic>
    <xdr:clientData/>
  </xdr:twoCellAnchor>
  <xdr:twoCellAnchor editAs="oneCell">
    <xdr:from>
      <xdr:col>0</xdr:col>
      <xdr:colOff>0</xdr:colOff>
      <xdr:row>13</xdr:row>
      <xdr:rowOff>107950</xdr:rowOff>
    </xdr:from>
    <xdr:to>
      <xdr:col>6</xdr:col>
      <xdr:colOff>427786</xdr:colOff>
      <xdr:row>41</xdr:row>
      <xdr:rowOff>173984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60625"/>
          <a:ext cx="6714286" cy="5133334"/>
        </a:xfrm>
        <a:prstGeom prst="rect">
          <a:avLst/>
        </a:prstGeom>
      </xdr:spPr>
    </xdr:pic>
    <xdr:clientData/>
  </xdr:twoCellAnchor>
  <xdr:twoCellAnchor editAs="oneCell">
    <xdr:from>
      <xdr:col>6</xdr:col>
      <xdr:colOff>536575</xdr:colOff>
      <xdr:row>14</xdr:row>
      <xdr:rowOff>142875</xdr:rowOff>
    </xdr:from>
    <xdr:to>
      <xdr:col>16</xdr:col>
      <xdr:colOff>211852</xdr:colOff>
      <xdr:row>42</xdr:row>
      <xdr:rowOff>5735</xdr:rowOff>
    </xdr:to>
    <xdr:pic>
      <xdr:nvPicPr>
        <xdr:cNvPr id="4" name="图片 3"/>
        <xdr:cNvPicPr>
          <a:picLocks noChangeAspect="1"/>
        </xdr:cNvPicPr>
      </xdr:nvPicPr>
      <xdr:blipFill>
        <a:blip xmlns:r="http://schemas.openxmlformats.org/officeDocument/2006/relationships" r:embed="rId3"/>
        <a:stretch>
          <a:fillRect/>
        </a:stretch>
      </xdr:blipFill>
      <xdr:spPr>
        <a:xfrm>
          <a:off x="6823075" y="2676525"/>
          <a:ext cx="6990477" cy="4930160"/>
        </a:xfrm>
        <a:prstGeom prst="rect">
          <a:avLst/>
        </a:prstGeom>
      </xdr:spPr>
    </xdr:pic>
    <xdr:clientData/>
  </xdr:twoCellAnchor>
  <xdr:twoCellAnchor editAs="oneCell">
    <xdr:from>
      <xdr:col>0</xdr:col>
      <xdr:colOff>269875</xdr:colOff>
      <xdr:row>43</xdr:row>
      <xdr:rowOff>111125</xdr:rowOff>
    </xdr:from>
    <xdr:to>
      <xdr:col>7</xdr:col>
      <xdr:colOff>40429</xdr:colOff>
      <xdr:row>47</xdr:row>
      <xdr:rowOff>155482</xdr:rowOff>
    </xdr:to>
    <xdr:pic>
      <xdr:nvPicPr>
        <xdr:cNvPr id="5" name="图片 4"/>
        <xdr:cNvPicPr>
          <a:picLocks noChangeAspect="1"/>
        </xdr:cNvPicPr>
      </xdr:nvPicPr>
      <xdr:blipFill>
        <a:blip xmlns:r="http://schemas.openxmlformats.org/officeDocument/2006/relationships" r:embed="rId4"/>
        <a:stretch>
          <a:fillRect/>
        </a:stretch>
      </xdr:blipFill>
      <xdr:spPr>
        <a:xfrm>
          <a:off x="269875" y="7893050"/>
          <a:ext cx="6771429" cy="768257"/>
        </a:xfrm>
        <a:prstGeom prst="rect">
          <a:avLst/>
        </a:prstGeom>
      </xdr:spPr>
    </xdr:pic>
    <xdr:clientData/>
  </xdr:twoCellAnchor>
  <xdr:twoCellAnchor editAs="oneCell">
    <xdr:from>
      <xdr:col>11</xdr:col>
      <xdr:colOff>158750</xdr:colOff>
      <xdr:row>43</xdr:row>
      <xdr:rowOff>158750</xdr:rowOff>
    </xdr:from>
    <xdr:to>
      <xdr:col>19</xdr:col>
      <xdr:colOff>1031131</xdr:colOff>
      <xdr:row>66</xdr:row>
      <xdr:rowOff>123328</xdr:rowOff>
    </xdr:to>
    <xdr:pic>
      <xdr:nvPicPr>
        <xdr:cNvPr id="6" name="图片 5"/>
        <xdr:cNvPicPr>
          <a:picLocks noChangeAspect="1"/>
        </xdr:cNvPicPr>
      </xdr:nvPicPr>
      <xdr:blipFill>
        <a:blip xmlns:r="http://schemas.openxmlformats.org/officeDocument/2006/relationships" r:embed="rId5"/>
        <a:stretch>
          <a:fillRect/>
        </a:stretch>
      </xdr:blipFill>
      <xdr:spPr>
        <a:xfrm>
          <a:off x="10550525" y="7940675"/>
          <a:ext cx="5939681" cy="4127003"/>
        </a:xfrm>
        <a:prstGeom prst="rect">
          <a:avLst/>
        </a:prstGeom>
      </xdr:spPr>
    </xdr:pic>
    <xdr:clientData/>
  </xdr:twoCellAnchor>
  <xdr:twoCellAnchor editAs="oneCell">
    <xdr:from>
      <xdr:col>0</xdr:col>
      <xdr:colOff>269875</xdr:colOff>
      <xdr:row>48</xdr:row>
      <xdr:rowOff>95250</xdr:rowOff>
    </xdr:from>
    <xdr:to>
      <xdr:col>8</xdr:col>
      <xdr:colOff>1319727</xdr:colOff>
      <xdr:row>63</xdr:row>
      <xdr:rowOff>142542</xdr:rowOff>
    </xdr:to>
    <xdr:pic>
      <xdr:nvPicPr>
        <xdr:cNvPr id="7" name="图片 6"/>
        <xdr:cNvPicPr>
          <a:picLocks noChangeAspect="1"/>
        </xdr:cNvPicPr>
      </xdr:nvPicPr>
      <xdr:blipFill>
        <a:blip xmlns:r="http://schemas.openxmlformats.org/officeDocument/2006/relationships" r:embed="rId6"/>
        <a:stretch>
          <a:fillRect/>
        </a:stretch>
      </xdr:blipFill>
      <xdr:spPr>
        <a:xfrm>
          <a:off x="269875" y="8782050"/>
          <a:ext cx="8584127" cy="2761917"/>
        </a:xfrm>
        <a:prstGeom prst="rect">
          <a:avLst/>
        </a:prstGeom>
      </xdr:spPr>
    </xdr:pic>
    <xdr:clientData/>
  </xdr:twoCellAnchor>
  <xdr:twoCellAnchor editAs="oneCell">
    <xdr:from>
      <xdr:col>0</xdr:col>
      <xdr:colOff>238125</xdr:colOff>
      <xdr:row>64</xdr:row>
      <xdr:rowOff>95250</xdr:rowOff>
    </xdr:from>
    <xdr:to>
      <xdr:col>8</xdr:col>
      <xdr:colOff>1478453</xdr:colOff>
      <xdr:row>85</xdr:row>
      <xdr:rowOff>18601</xdr:rowOff>
    </xdr:to>
    <xdr:pic>
      <xdr:nvPicPr>
        <xdr:cNvPr id="8" name="图片 7"/>
        <xdr:cNvPicPr>
          <a:picLocks noChangeAspect="1"/>
        </xdr:cNvPicPr>
      </xdr:nvPicPr>
      <xdr:blipFill>
        <a:blip xmlns:r="http://schemas.openxmlformats.org/officeDocument/2006/relationships" r:embed="rId7"/>
        <a:stretch>
          <a:fillRect/>
        </a:stretch>
      </xdr:blipFill>
      <xdr:spPr>
        <a:xfrm>
          <a:off x="238125" y="11677650"/>
          <a:ext cx="8774603" cy="3723826"/>
        </a:xfrm>
        <a:prstGeom prst="rect">
          <a:avLst/>
        </a:prstGeom>
      </xdr:spPr>
    </xdr:pic>
    <xdr:clientData/>
  </xdr:twoCellAnchor>
  <xdr:twoCellAnchor editAs="oneCell">
    <xdr:from>
      <xdr:col>0</xdr:col>
      <xdr:colOff>269875</xdr:colOff>
      <xdr:row>86</xdr:row>
      <xdr:rowOff>47625</xdr:rowOff>
    </xdr:from>
    <xdr:to>
      <xdr:col>8</xdr:col>
      <xdr:colOff>1253060</xdr:colOff>
      <xdr:row>106</xdr:row>
      <xdr:rowOff>155125</xdr:rowOff>
    </xdr:to>
    <xdr:pic>
      <xdr:nvPicPr>
        <xdr:cNvPr id="9" name="图片 8"/>
        <xdr:cNvPicPr>
          <a:picLocks noChangeAspect="1"/>
        </xdr:cNvPicPr>
      </xdr:nvPicPr>
      <xdr:blipFill>
        <a:blip xmlns:r="http://schemas.openxmlformats.org/officeDocument/2006/relationships" r:embed="rId8"/>
        <a:stretch>
          <a:fillRect/>
        </a:stretch>
      </xdr:blipFill>
      <xdr:spPr>
        <a:xfrm>
          <a:off x="269875" y="15611475"/>
          <a:ext cx="8517460" cy="3727000"/>
        </a:xfrm>
        <a:prstGeom prst="rect">
          <a:avLst/>
        </a:prstGeom>
      </xdr:spPr>
    </xdr:pic>
    <xdr:clientData/>
  </xdr:twoCellAnchor>
  <xdr:twoCellAnchor editAs="oneCell">
    <xdr:from>
      <xdr:col>0</xdr:col>
      <xdr:colOff>317500</xdr:colOff>
      <xdr:row>109</xdr:row>
      <xdr:rowOff>63500</xdr:rowOff>
    </xdr:from>
    <xdr:to>
      <xdr:col>11</xdr:col>
      <xdr:colOff>5090</xdr:colOff>
      <xdr:row>114</xdr:row>
      <xdr:rowOff>9423</xdr:rowOff>
    </xdr:to>
    <xdr:pic>
      <xdr:nvPicPr>
        <xdr:cNvPr id="10" name="图片 9"/>
        <xdr:cNvPicPr>
          <a:picLocks noChangeAspect="1"/>
        </xdr:cNvPicPr>
      </xdr:nvPicPr>
      <xdr:blipFill>
        <a:blip xmlns:r="http://schemas.openxmlformats.org/officeDocument/2006/relationships" r:embed="rId9"/>
        <a:stretch>
          <a:fillRect/>
        </a:stretch>
      </xdr:blipFill>
      <xdr:spPr>
        <a:xfrm>
          <a:off x="317500" y="19789775"/>
          <a:ext cx="10079365" cy="850798"/>
        </a:xfrm>
        <a:prstGeom prst="rect">
          <a:avLst/>
        </a:prstGeom>
      </xdr:spPr>
    </xdr:pic>
    <xdr:clientData/>
  </xdr:twoCellAnchor>
  <xdr:twoCellAnchor editAs="oneCell">
    <xdr:from>
      <xdr:col>0</xdr:col>
      <xdr:colOff>428625</xdr:colOff>
      <xdr:row>114</xdr:row>
      <xdr:rowOff>142875</xdr:rowOff>
    </xdr:from>
    <xdr:to>
      <xdr:col>9</xdr:col>
      <xdr:colOff>202096</xdr:colOff>
      <xdr:row>153</xdr:row>
      <xdr:rowOff>161072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28625" y="20774025"/>
          <a:ext cx="8831746" cy="7076222"/>
        </a:xfrm>
        <a:prstGeom prst="rect">
          <a:avLst/>
        </a:prstGeom>
      </xdr:spPr>
    </xdr:pic>
    <xdr:clientData/>
  </xdr:twoCellAnchor>
  <xdr:twoCellAnchor editAs="oneCell">
    <xdr:from>
      <xdr:col>0</xdr:col>
      <xdr:colOff>444500</xdr:colOff>
      <xdr:row>154</xdr:row>
      <xdr:rowOff>127000</xdr:rowOff>
    </xdr:from>
    <xdr:to>
      <xdr:col>8</xdr:col>
      <xdr:colOff>1399114</xdr:colOff>
      <xdr:row>175</xdr:row>
      <xdr:rowOff>69399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44500" y="27997150"/>
          <a:ext cx="8488889" cy="3742874"/>
        </a:xfrm>
        <a:prstGeom prst="rect">
          <a:avLst/>
        </a:prstGeom>
      </xdr:spPr>
    </xdr:pic>
    <xdr:clientData/>
  </xdr:twoCellAnchor>
  <xdr:twoCellAnchor editAs="oneCell">
    <xdr:from>
      <xdr:col>19</xdr:col>
      <xdr:colOff>1508125</xdr:colOff>
      <xdr:row>43</xdr:row>
      <xdr:rowOff>15875</xdr:rowOff>
    </xdr:from>
    <xdr:to>
      <xdr:col>28</xdr:col>
      <xdr:colOff>208840</xdr:colOff>
      <xdr:row>65</xdr:row>
      <xdr:rowOff>107459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967200" y="7797800"/>
          <a:ext cx="5711115" cy="4073034"/>
        </a:xfrm>
        <a:prstGeom prst="rect">
          <a:avLst/>
        </a:prstGeom>
      </xdr:spPr>
    </xdr:pic>
    <xdr:clientData/>
  </xdr:twoCellAnchor>
  <xdr:twoCellAnchor editAs="oneCell">
    <xdr:from>
      <xdr:col>19</xdr:col>
      <xdr:colOff>1444625</xdr:colOff>
      <xdr:row>68</xdr:row>
      <xdr:rowOff>127000</xdr:rowOff>
    </xdr:from>
    <xdr:to>
      <xdr:col>31</xdr:col>
      <xdr:colOff>135560</xdr:colOff>
      <xdr:row>73</xdr:row>
      <xdr:rowOff>91970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6903700" y="12433300"/>
          <a:ext cx="7758735" cy="869845"/>
        </a:xfrm>
        <a:prstGeom prst="rect">
          <a:avLst/>
        </a:prstGeom>
      </xdr:spPr>
    </xdr:pic>
    <xdr:clientData/>
  </xdr:twoCellAnchor>
  <xdr:twoCellAnchor editAs="oneCell">
    <xdr:from>
      <xdr:col>20</xdr:col>
      <xdr:colOff>0</xdr:colOff>
      <xdr:row>75</xdr:row>
      <xdr:rowOff>0</xdr:rowOff>
    </xdr:from>
    <xdr:to>
      <xdr:col>33</xdr:col>
      <xdr:colOff>49685</xdr:colOff>
      <xdr:row>96</xdr:row>
      <xdr:rowOff>18590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6983075" y="13573125"/>
          <a:ext cx="8965085" cy="3819065"/>
        </a:xfrm>
        <a:prstGeom prst="rect">
          <a:avLst/>
        </a:prstGeom>
      </xdr:spPr>
    </xdr:pic>
    <xdr:clientData/>
  </xdr:twoCellAnchor>
  <xdr:twoCellAnchor editAs="oneCell">
    <xdr:from>
      <xdr:col>20</xdr:col>
      <xdr:colOff>63500</xdr:colOff>
      <xdr:row>97</xdr:row>
      <xdr:rowOff>47625</xdr:rowOff>
    </xdr:from>
    <xdr:to>
      <xdr:col>32</xdr:col>
      <xdr:colOff>614858</xdr:colOff>
      <xdr:row>118</xdr:row>
      <xdr:rowOff>18595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7046575" y="17602200"/>
          <a:ext cx="8780958" cy="3771445"/>
        </a:xfrm>
        <a:prstGeom prst="rect">
          <a:avLst/>
        </a:prstGeom>
      </xdr:spPr>
    </xdr:pic>
    <xdr:clientData/>
  </xdr:twoCellAnchor>
  <xdr:twoCellAnchor editAs="oneCell">
    <xdr:from>
      <xdr:col>20</xdr:col>
      <xdr:colOff>0</xdr:colOff>
      <xdr:row>119</xdr:row>
      <xdr:rowOff>0</xdr:rowOff>
    </xdr:from>
    <xdr:to>
      <xdr:col>31</xdr:col>
      <xdr:colOff>272078</xdr:colOff>
      <xdr:row>123</xdr:row>
      <xdr:rowOff>158643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6983075" y="21536025"/>
          <a:ext cx="7815878" cy="882543"/>
        </a:xfrm>
        <a:prstGeom prst="rect">
          <a:avLst/>
        </a:prstGeom>
      </xdr:spPr>
    </xdr:pic>
    <xdr:clientData/>
  </xdr:twoCellAnchor>
  <xdr:twoCellAnchor editAs="oneCell">
    <xdr:from>
      <xdr:col>20</xdr:col>
      <xdr:colOff>0</xdr:colOff>
      <xdr:row>125</xdr:row>
      <xdr:rowOff>0</xdr:rowOff>
    </xdr:from>
    <xdr:to>
      <xdr:col>32</xdr:col>
      <xdr:colOff>522786</xdr:colOff>
      <xdr:row>141</xdr:row>
      <xdr:rowOff>72667</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6983075" y="22621875"/>
          <a:ext cx="8752386" cy="2968267"/>
        </a:xfrm>
        <a:prstGeom prst="rect">
          <a:avLst/>
        </a:prstGeom>
      </xdr:spPr>
    </xdr:pic>
    <xdr:clientData/>
  </xdr:twoCellAnchor>
  <xdr:twoCellAnchor editAs="oneCell">
    <xdr:from>
      <xdr:col>20</xdr:col>
      <xdr:colOff>0</xdr:colOff>
      <xdr:row>142</xdr:row>
      <xdr:rowOff>0</xdr:rowOff>
    </xdr:from>
    <xdr:to>
      <xdr:col>32</xdr:col>
      <xdr:colOff>589453</xdr:colOff>
      <xdr:row>162</xdr:row>
      <xdr:rowOff>117024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6983075" y="25698450"/>
          <a:ext cx="8819053" cy="3736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389448</xdr:colOff>
      <xdr:row>20</xdr:row>
      <xdr:rowOff>28165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8619048" cy="3285715"/>
        </a:xfrm>
        <a:prstGeom prst="rect">
          <a:avLst/>
        </a:prstGeom>
      </xdr:spPr>
    </xdr:pic>
    <xdr:clientData/>
  </xdr:twoCellAnchor>
  <xdr:twoCellAnchor editAs="oneCell">
    <xdr:from>
      <xdr:col>1</xdr:col>
      <xdr:colOff>0</xdr:colOff>
      <xdr:row>22</xdr:row>
      <xdr:rowOff>0</xdr:rowOff>
    </xdr:from>
    <xdr:to>
      <xdr:col>11</xdr:col>
      <xdr:colOff>113429</xdr:colOff>
      <xdr:row>32</xdr:row>
      <xdr:rowOff>171214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771900"/>
          <a:ext cx="6971429" cy="1885714"/>
        </a:xfrm>
        <a:prstGeom prst="rect">
          <a:avLst/>
        </a:prstGeom>
      </xdr:spPr>
    </xdr:pic>
    <xdr:clientData/>
  </xdr:twoCellAnchor>
  <xdr:twoCellAnchor editAs="oneCell">
    <xdr:from>
      <xdr:col>1</xdr:col>
      <xdr:colOff>0</xdr:colOff>
      <xdr:row>34</xdr:row>
      <xdr:rowOff>0</xdr:rowOff>
    </xdr:from>
    <xdr:to>
      <xdr:col>10</xdr:col>
      <xdr:colOff>65896</xdr:colOff>
      <xdr:row>46</xdr:row>
      <xdr:rowOff>18791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238096" cy="2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Dashboard,%20WS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GIC%20Commercial\Commercial\Monthly%20Report\GIC\Meeting%20materials%20020814\Stacking%20Plan%20Lo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ll2300\data\EWD_MARK\IRR%20Calculation\Offers%20for%20purchase\China\Shanghai\Others\Big%20Box\Zhabei%20Commercial\Zhebei%20Cash%20Flows\Feasibility%20Study_June-July%2003\Zhabei-CFA%20v6.0%20(Sensitivity%20Analysis)_7.14.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HJ&#23458;&#25143;&#26381;&#21153;&#37096;\01%20%20September%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Royce.Saw/Documents/WeChat%20Files/roycesaw/Files/&#39044;&#31639;&#32534;&#21046;&#39044;&#31639;&#27169;&#26495;A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wxy/Desktop/&#32463;&#33829;&#35745;&#21010;&#22823;&#32434;/&#32463;&#33829;&#35745;&#21010;&#24213;&#31295;&#27169;&#264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GIC\Meeting%20materials%20020814\Stacking%20Plan%20Lo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cquistions\Projects%20-%20China\Rabbit,%20Shanghai\Proforma\Rabbit%20Proforma%20Closing%20in%20March%2008012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Chap5_Traffic%20Ligh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chensh\Local%20Settings\Temporary%20Internet%20Files\OLK61\Documents%20and%20Settings\Luriem\Desktop\63816~~DASHBOARDWORKBOOKS\Sample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lisa.xu.AP\Local%20Settings\Temporary%20Internet%20Files\OLK63B\Australia\Letup%20Schedu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iuny/AppData/Local/Microsoft/Windows/INetCache/Content.Outlook/0A3M2IUT/&#22025;&#35465;/&#22823;&#23425;3&#20551;&#35774;20171219/2018&#24180;&#32463;&#33829;&#35745;&#21010;/&#36816;&#33829;&#20250;&#35758;20171128/kary/1st%20Revised%20FA5%20-%20Chines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02B7946\&#19978;&#28023;&#22823;&#23425;&#39033;&#30446;&#27979;&#31639;11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lshserver\acquisitions\DOCUME~1\user\LOCALS~1\Temp\Zhabei-CFA_Base%20Case_12.19.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C"/>
      <sheetName val="Report"/>
      <sheetName val="Xaxis"/>
      <sheetName val="A"/>
      <sheetName val="B"/>
      <sheetName val="N"/>
      <sheetName val="H"/>
      <sheetName val="U"/>
      <sheetName val="V"/>
      <sheetName val="C"/>
      <sheetName val="D"/>
      <sheetName val="E"/>
      <sheetName val="F"/>
      <sheetName val="G"/>
      <sheetName val="K"/>
      <sheetName val="L"/>
      <sheetName val="M"/>
      <sheetName val="O"/>
      <sheetName val="P"/>
      <sheetName val="Q"/>
      <sheetName val="R"/>
      <sheetName val="S"/>
      <sheetName val="T"/>
      <sheetName val="W"/>
      <sheetName val="X"/>
      <sheetName val="资金计划 "/>
      <sheetName val="Detail"/>
      <sheetName val="8-项目资源"/>
      <sheetName val="Base Case"/>
      <sheetName val="项目资源"/>
      <sheetName val="CASHFLOW"/>
      <sheetName val="CC"/>
      <sheetName val="出租率&amp;空置监控"/>
      <sheetName val="drivers"/>
    </sheetNames>
    <sheetDataSet>
      <sheetData sheetId="0" refreshError="1">
        <row r="3">
          <cell r="B3">
            <v>1</v>
          </cell>
          <cell r="C3" t="str">
            <v>Millions</v>
          </cell>
        </row>
        <row r="4">
          <cell r="B4">
            <v>1E-3</v>
          </cell>
          <cell r="C4" t="str">
            <v>Billions</v>
          </cell>
        </row>
        <row r="7">
          <cell r="B7" t="str">
            <v>Jun-2003</v>
          </cell>
        </row>
        <row r="8">
          <cell r="B8" t="str">
            <v>Dec-2004</v>
          </cell>
        </row>
        <row r="9">
          <cell r="B9" t="str">
            <v>5</v>
          </cell>
        </row>
        <row r="10">
          <cell r="B10" t="str">
            <v>Dec-2001</v>
          </cell>
        </row>
        <row r="11">
          <cell r="B11" t="str">
            <v>Dec-2004</v>
          </cell>
        </row>
        <row r="12">
          <cell r="B12">
            <v>8</v>
          </cell>
        </row>
        <row r="13">
          <cell r="B13">
            <v>5</v>
          </cell>
        </row>
      </sheetData>
      <sheetData sheetId="1" refreshError="1"/>
      <sheetData sheetId="2" refreshError="1"/>
      <sheetData sheetId="3" refreshError="1">
        <row r="4">
          <cell r="D4" t="str">
            <v>Dec-2003</v>
          </cell>
          <cell r="E4" t="str">
            <v>Mar-2004</v>
          </cell>
          <cell r="F4" t="str">
            <v>Jun-2004</v>
          </cell>
          <cell r="G4" t="str">
            <v>Sep-2004</v>
          </cell>
          <cell r="H4" t="str">
            <v>Dec-2004</v>
          </cell>
        </row>
      </sheetData>
      <sheetData sheetId="4" refreshError="1">
        <row r="18">
          <cell r="D18" t="str">
            <v>Acme, Inc.</v>
          </cell>
          <cell r="H18" t="str">
            <v>Phone:</v>
          </cell>
          <cell r="I18" t="str">
            <v>917-555-4000</v>
          </cell>
        </row>
        <row r="19">
          <cell r="D19" t="str">
            <v>121 Park Ave.</v>
          </cell>
          <cell r="H19" t="str">
            <v>Fax:</v>
          </cell>
          <cell r="I19" t="str">
            <v>917-555-2167</v>
          </cell>
        </row>
        <row r="20">
          <cell r="D20" t="str">
            <v>New York, NY 10017</v>
          </cell>
          <cell r="H20" t="str">
            <v>Toll Free</v>
          </cell>
          <cell r="I20" t="str">
            <v/>
          </cell>
        </row>
        <row r="22">
          <cell r="D22" t="str">
            <v>Top Competitors</v>
          </cell>
          <cell r="H22" t="str">
            <v>Web Site:</v>
          </cell>
          <cell r="I22" t="str">
            <v>http://www.acmenow.com</v>
          </cell>
        </row>
        <row r="23">
          <cell r="D23" t="str">
            <v>International Widgets</v>
          </cell>
          <cell r="H23" t="str">
            <v>Symbol:</v>
          </cell>
          <cell r="I23" t="str">
            <v>ACME (AMEX)</v>
          </cell>
        </row>
        <row r="24">
          <cell r="D24" t="str">
            <v>Tinsel Tools</v>
          </cell>
          <cell r="H24" t="str">
            <v>Quarter:</v>
          </cell>
          <cell r="I24" t="str">
            <v>December, 2004</v>
          </cell>
        </row>
        <row r="25">
          <cell r="D25" t="str">
            <v>Rust Belt Inc.</v>
          </cell>
          <cell r="H25" t="str">
            <v>FY Ends:</v>
          </cell>
          <cell r="I25" t="str">
            <v>December, 2005</v>
          </cell>
        </row>
        <row r="27">
          <cell r="D27" t="str">
            <v>Industry:</v>
          </cell>
          <cell r="E27" t="str">
            <v>Hand Tools, Power Tools, Lawn &amp; Garden Equipment</v>
          </cell>
        </row>
      </sheetData>
      <sheetData sheetId="5" refreshError="1">
        <row r="24">
          <cell r="D24" t="str">
            <v>(Millions of $)</v>
          </cell>
          <cell r="F24" t="str">
            <v>Qtr</v>
          </cell>
          <cell r="H24" t="str">
            <v>YTD</v>
          </cell>
        </row>
        <row r="26">
          <cell r="D26" t="str">
            <v>Revenue</v>
          </cell>
          <cell r="F26">
            <v>9268</v>
          </cell>
          <cell r="H26">
            <v>37172</v>
          </cell>
        </row>
        <row r="27">
          <cell r="D27" t="str">
            <v>Cost of Goods Sold</v>
          </cell>
          <cell r="F27">
            <v>4790</v>
          </cell>
          <cell r="H27">
            <v>18752</v>
          </cell>
        </row>
        <row r="28">
          <cell r="D28" t="str">
            <v>Gross Profit</v>
          </cell>
          <cell r="F28">
            <v>4478</v>
          </cell>
          <cell r="H28">
            <v>18420</v>
          </cell>
        </row>
        <row r="30">
          <cell r="D30" t="str">
            <v>Operating Income</v>
          </cell>
          <cell r="F30">
            <v>2196</v>
          </cell>
          <cell r="H30">
            <v>9551</v>
          </cell>
        </row>
        <row r="31">
          <cell r="D31" t="str">
            <v>% of Sales</v>
          </cell>
          <cell r="F31">
            <v>0.23699999999999999</v>
          </cell>
          <cell r="H31">
            <v>0.25694070805982999</v>
          </cell>
        </row>
        <row r="32">
          <cell r="D32" t="str">
            <v>Net Profit Margin</v>
          </cell>
          <cell r="F32">
            <v>1127</v>
          </cell>
          <cell r="H32">
            <v>5486</v>
          </cell>
        </row>
        <row r="33">
          <cell r="D33" t="str">
            <v>% of Sales</v>
          </cell>
          <cell r="F33">
            <v>0.1216012084592145</v>
          </cell>
          <cell r="H33">
            <v>0.14758420316367157</v>
          </cell>
        </row>
      </sheetData>
      <sheetData sheetId="6" refreshError="1"/>
      <sheetData sheetId="7" refreshError="1"/>
      <sheetData sheetId="8" refreshError="1"/>
      <sheetData sheetId="9" refreshError="1"/>
      <sheetData sheetId="10" refreshError="1">
        <row r="4">
          <cell r="B4">
            <v>2</v>
          </cell>
        </row>
        <row r="12">
          <cell r="E12">
            <v>8602</v>
          </cell>
          <cell r="F12">
            <v>9416</v>
          </cell>
          <cell r="G12">
            <v>9886</v>
          </cell>
          <cell r="H12">
            <v>9268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Cash Flow Annual"/>
      <sheetName val="drivers"/>
      <sheetName val="资金计划 "/>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Sensitivity Analysis"/>
      <sheetName val="资金计划 "/>
      <sheetName val="C"/>
      <sheetName val="Control"/>
      <sheetName val="Xaxis"/>
      <sheetName val="B"/>
      <sheetName val="A"/>
      <sheetName val="Detail"/>
      <sheetName val="8-项目资源"/>
      <sheetName val="9-项目资源"/>
      <sheetName val="drivers"/>
      <sheetName val="2-项目资源"/>
      <sheetName val="CASHFLOW"/>
      <sheetName val="初始设置"/>
    </sheetNames>
    <sheetDataSet>
      <sheetData sheetId="0" refreshError="1"/>
      <sheetData sheetId="1" refreshError="1"/>
      <sheetData sheetId="2" refreshError="1">
        <row r="152">
          <cell r="A152" t="str">
            <v>Zhabei Promenade</v>
          </cell>
        </row>
        <row r="153">
          <cell r="A153" t="str">
            <v>Forrester Group Limited</v>
          </cell>
        </row>
        <row r="154">
          <cell r="A154" t="str">
            <v xml:space="preserve">ANNUAL CASH FLOWS </v>
          </cell>
        </row>
        <row r="155">
          <cell r="A155">
            <v>37800</v>
          </cell>
        </row>
        <row r="157">
          <cell r="A157" t="str">
            <v>ASSUMPTIONS - REVENUE (USD/M2/day)</v>
          </cell>
        </row>
        <row r="158">
          <cell r="F158">
            <v>2003</v>
          </cell>
          <cell r="G158">
            <v>2004</v>
          </cell>
          <cell r="H158">
            <v>2005</v>
          </cell>
          <cell r="I158">
            <v>2006</v>
          </cell>
          <cell r="J158">
            <v>2007</v>
          </cell>
          <cell r="K158">
            <v>2008</v>
          </cell>
          <cell r="L158">
            <v>2009</v>
          </cell>
          <cell r="M158">
            <v>2010</v>
          </cell>
          <cell r="N158">
            <v>2011</v>
          </cell>
          <cell r="O158">
            <v>2012</v>
          </cell>
        </row>
        <row r="159">
          <cell r="A159" t="str">
            <v>Commercial (C2)</v>
          </cell>
          <cell r="G159" t="str">
            <v>.</v>
          </cell>
        </row>
        <row r="160">
          <cell r="A160" t="str">
            <v xml:space="preserve">  Big Box </v>
          </cell>
          <cell r="F160">
            <v>0</v>
          </cell>
          <cell r="G160">
            <v>0.21</v>
          </cell>
          <cell r="H160">
            <v>0.21316776308840324</v>
          </cell>
          <cell r="I160">
            <v>0.21638331057196958</v>
          </cell>
          <cell r="J160">
            <v>0.2196473632585238</v>
          </cell>
          <cell r="K160">
            <v>0.22296065282897831</v>
          </cell>
          <cell r="L160">
            <v>0.2263239220013494</v>
          </cell>
          <cell r="M160">
            <v>0.22973792469724719</v>
          </cell>
          <cell r="N160">
            <v>0.2332034262108772</v>
          </cell>
          <cell r="O160">
            <v>0.23672120338059141</v>
          </cell>
        </row>
        <row r="161">
          <cell r="A161" t="str">
            <v xml:space="preserve">  Retail</v>
          </cell>
          <cell r="F161">
            <v>0</v>
          </cell>
          <cell r="G161">
            <v>0.72</v>
          </cell>
          <cell r="H161">
            <v>0.73086090201738241</v>
          </cell>
          <cell r="I161">
            <v>0.74188563624675274</v>
          </cell>
          <cell r="J161">
            <v>0.75307667402922418</v>
          </cell>
          <cell r="K161">
            <v>0.76443652398506823</v>
          </cell>
          <cell r="L161">
            <v>0.77596773257605489</v>
          </cell>
          <cell r="M161">
            <v>0.78767288467627572</v>
          </cell>
          <cell r="N161">
            <v>0.79955460415157864</v>
          </cell>
          <cell r="O161">
            <v>0.81161555444774169</v>
          </cell>
        </row>
        <row r="162">
          <cell r="A162" t="str">
            <v xml:space="preserve">  Food and Beverage</v>
          </cell>
          <cell r="F162">
            <v>0</v>
          </cell>
          <cell r="G162">
            <v>0.72</v>
          </cell>
          <cell r="H162">
            <v>0.73086090201738241</v>
          </cell>
          <cell r="I162">
            <v>0.74188563624675274</v>
          </cell>
          <cell r="J162">
            <v>0.75307667402922418</v>
          </cell>
          <cell r="K162">
            <v>0.76443652398506823</v>
          </cell>
          <cell r="L162">
            <v>0.77596773257605489</v>
          </cell>
          <cell r="M162">
            <v>0.78767288467627572</v>
          </cell>
          <cell r="N162">
            <v>0.79955460415157864</v>
          </cell>
          <cell r="O162">
            <v>0.81161555444774169</v>
          </cell>
        </row>
        <row r="163">
          <cell r="A163" t="str">
            <v xml:space="preserve">  Other</v>
          </cell>
          <cell r="F163">
            <v>0</v>
          </cell>
          <cell r="G163">
            <v>0.3</v>
          </cell>
          <cell r="H163">
            <v>0.30452537584057604</v>
          </cell>
          <cell r="I163">
            <v>0.3091190151028137</v>
          </cell>
          <cell r="J163">
            <v>0.31378194751217686</v>
          </cell>
          <cell r="K163">
            <v>0.31851521832711188</v>
          </cell>
          <cell r="L163">
            <v>0.32331988857335631</v>
          </cell>
          <cell r="M163">
            <v>0.32819703528178173</v>
          </cell>
          <cell r="N163">
            <v>0.33314775172982464</v>
          </cell>
          <cell r="O163">
            <v>0.33817314768655926</v>
          </cell>
        </row>
        <row r="164">
          <cell r="A164" t="str">
            <v xml:space="preserve">  Other</v>
          </cell>
          <cell r="F164">
            <v>0</v>
          </cell>
          <cell r="G164">
            <v>0.3</v>
          </cell>
          <cell r="H164">
            <v>0.30452537584057604</v>
          </cell>
          <cell r="I164">
            <v>0.3091190151028137</v>
          </cell>
          <cell r="J164">
            <v>0.31378194751217686</v>
          </cell>
          <cell r="K164">
            <v>0.31851521832711188</v>
          </cell>
          <cell r="L164">
            <v>0.32331988857335631</v>
          </cell>
          <cell r="M164">
            <v>0.32819703528178173</v>
          </cell>
          <cell r="N164">
            <v>0.33314775172982464</v>
          </cell>
          <cell r="O164">
            <v>0.33817314768655926</v>
          </cell>
        </row>
        <row r="165">
          <cell r="A165" t="str">
            <v>Total Commercial (C2)</v>
          </cell>
        </row>
        <row r="167">
          <cell r="A167" t="str">
            <v>Culture/Entertainment (C3)</v>
          </cell>
        </row>
        <row r="168">
          <cell r="A168" t="str">
            <v xml:space="preserve">  MoviePlex</v>
          </cell>
          <cell r="F168">
            <v>0</v>
          </cell>
          <cell r="G168">
            <v>0.15</v>
          </cell>
          <cell r="H168">
            <v>0.15226268792028802</v>
          </cell>
          <cell r="I168">
            <v>0.15455950755140685</v>
          </cell>
          <cell r="J168">
            <v>0.15689097375608843</v>
          </cell>
          <cell r="K168">
            <v>0.15925760916355594</v>
          </cell>
          <cell r="L168">
            <v>0.16165994428667815</v>
          </cell>
          <cell r="M168">
            <v>0.16409851764089087</v>
          </cell>
          <cell r="N168">
            <v>0.16657387586491232</v>
          </cell>
          <cell r="O168">
            <v>0.16908657384327963</v>
          </cell>
        </row>
        <row r="169">
          <cell r="A169" t="str">
            <v xml:space="preserve">  Other</v>
          </cell>
          <cell r="F169">
            <v>0</v>
          </cell>
          <cell r="G169">
            <v>0.15</v>
          </cell>
          <cell r="H169">
            <v>0.15226268792028802</v>
          </cell>
          <cell r="I169">
            <v>0.15455950755140685</v>
          </cell>
          <cell r="J169">
            <v>0.15689097375608843</v>
          </cell>
          <cell r="K169">
            <v>0.15925760916355594</v>
          </cell>
          <cell r="L169">
            <v>0.16165994428667815</v>
          </cell>
          <cell r="M169">
            <v>0.16409851764089087</v>
          </cell>
          <cell r="N169">
            <v>0.16657387586491232</v>
          </cell>
          <cell r="O169">
            <v>0.16908657384327963</v>
          </cell>
        </row>
        <row r="170">
          <cell r="A170" t="str">
            <v xml:space="preserve">  Other</v>
          </cell>
          <cell r="F170">
            <v>0</v>
          </cell>
          <cell r="G170">
            <v>0.15</v>
          </cell>
          <cell r="H170">
            <v>0.15226268792028802</v>
          </cell>
          <cell r="I170">
            <v>0.15455950755140685</v>
          </cell>
          <cell r="J170">
            <v>0.15689097375608843</v>
          </cell>
          <cell r="K170">
            <v>0.15925760916355594</v>
          </cell>
          <cell r="L170">
            <v>0.16165994428667815</v>
          </cell>
          <cell r="M170">
            <v>0.16409851764089087</v>
          </cell>
          <cell r="N170">
            <v>0.16657387586491232</v>
          </cell>
          <cell r="O170">
            <v>0.16908657384327963</v>
          </cell>
        </row>
        <row r="171">
          <cell r="A171" t="str">
            <v>Total Culture/Entertainment (C3)</v>
          </cell>
        </row>
        <row r="173">
          <cell r="A173" t="str">
            <v>Education/Scientific (C6)</v>
          </cell>
        </row>
        <row r="174">
          <cell r="A174" t="str">
            <v xml:space="preserve">  N/A</v>
          </cell>
          <cell r="F174">
            <v>0</v>
          </cell>
          <cell r="G174">
            <v>0.3</v>
          </cell>
          <cell r="H174">
            <v>0.30452537584057604</v>
          </cell>
          <cell r="I174">
            <v>0.3091190151028137</v>
          </cell>
          <cell r="J174">
            <v>0.31378194751217686</v>
          </cell>
          <cell r="K174">
            <v>0.31851521832711188</v>
          </cell>
          <cell r="L174">
            <v>0.32331988857335631</v>
          </cell>
          <cell r="M174">
            <v>0.32819703528178173</v>
          </cell>
          <cell r="N174">
            <v>0.33314775172982464</v>
          </cell>
          <cell r="O174">
            <v>0.33817314768655926</v>
          </cell>
        </row>
        <row r="175">
          <cell r="A175" t="str">
            <v xml:space="preserve">  N/A</v>
          </cell>
          <cell r="F175">
            <v>0</v>
          </cell>
          <cell r="G175">
            <v>0.3</v>
          </cell>
          <cell r="H175">
            <v>0.30452537584057604</v>
          </cell>
          <cell r="I175">
            <v>0.3091190151028137</v>
          </cell>
          <cell r="J175">
            <v>0.31378194751217686</v>
          </cell>
          <cell r="K175">
            <v>0.31851521832711188</v>
          </cell>
          <cell r="L175">
            <v>0.32331988857335631</v>
          </cell>
          <cell r="M175">
            <v>0.32819703528178173</v>
          </cell>
          <cell r="N175">
            <v>0.33314775172982464</v>
          </cell>
          <cell r="O175">
            <v>0.33817314768655926</v>
          </cell>
        </row>
        <row r="176">
          <cell r="A176" t="str">
            <v xml:space="preserve">  N/A</v>
          </cell>
          <cell r="F176">
            <v>0</v>
          </cell>
          <cell r="G176">
            <v>0.3</v>
          </cell>
          <cell r="H176">
            <v>0.30452537584057604</v>
          </cell>
          <cell r="I176">
            <v>0.3091190151028137</v>
          </cell>
          <cell r="J176">
            <v>0.31378194751217686</v>
          </cell>
          <cell r="K176">
            <v>0.31851521832711188</v>
          </cell>
          <cell r="L176">
            <v>0.32331988857335631</v>
          </cell>
          <cell r="M176">
            <v>0.32819703528178173</v>
          </cell>
          <cell r="N176">
            <v>0.33314775172982464</v>
          </cell>
          <cell r="O176">
            <v>0.33817314768655926</v>
          </cell>
        </row>
        <row r="177">
          <cell r="A177" t="str">
            <v>Total Education/Scientific (C6)</v>
          </cell>
        </row>
        <row r="179">
          <cell r="A179" t="str">
            <v>Support Services</v>
          </cell>
        </row>
        <row r="180">
          <cell r="A180" t="str">
            <v xml:space="preserve">  Parking (S2)</v>
          </cell>
          <cell r="D180" t="str">
            <v>600-800</v>
          </cell>
          <cell r="F180">
            <v>0</v>
          </cell>
        </row>
        <row r="182">
          <cell r="A182" t="str">
            <v xml:space="preserve">  Total Land Sold (per buildable area)</v>
          </cell>
          <cell r="D182" t="str">
            <v>(RMB)</v>
          </cell>
          <cell r="F182" t="str">
            <v>(USD)</v>
          </cell>
        </row>
        <row r="183">
          <cell r="A183" t="str">
            <v xml:space="preserve">   Hotel</v>
          </cell>
          <cell r="C183" t="str">
            <v>250-300/m2</v>
          </cell>
          <cell r="D183">
            <v>0</v>
          </cell>
          <cell r="F183">
            <v>200</v>
          </cell>
          <cell r="G183">
            <v>202.99999999999997</v>
          </cell>
          <cell r="H183">
            <v>206.04499999999996</v>
          </cell>
          <cell r="I183">
            <v>209.13567499999994</v>
          </cell>
          <cell r="J183">
            <v>212.27271012499992</v>
          </cell>
          <cell r="K183">
            <v>215.4568007768749</v>
          </cell>
          <cell r="L183">
            <v>218.688652788528</v>
          </cell>
          <cell r="M183">
            <v>221.96898258035591</v>
          </cell>
          <cell r="N183">
            <v>225.29851731906123</v>
          </cell>
          <cell r="O183">
            <v>228.67799507884712</v>
          </cell>
        </row>
        <row r="184">
          <cell r="A184" t="str">
            <v xml:space="preserve">    Residential</v>
          </cell>
          <cell r="C184" t="str">
            <v>1500-2000</v>
          </cell>
          <cell r="D184">
            <v>0</v>
          </cell>
          <cell r="F184">
            <v>200</v>
          </cell>
          <cell r="G184">
            <v>202.99999999999997</v>
          </cell>
          <cell r="H184">
            <v>206.04499999999996</v>
          </cell>
          <cell r="I184">
            <v>209.13567499999994</v>
          </cell>
          <cell r="J184">
            <v>212.27271012499992</v>
          </cell>
          <cell r="K184">
            <v>215.4568007768749</v>
          </cell>
          <cell r="L184">
            <v>218.688652788528</v>
          </cell>
          <cell r="M184">
            <v>221.96898258035591</v>
          </cell>
          <cell r="N184">
            <v>225.29851731906123</v>
          </cell>
          <cell r="O184">
            <v>228.67799507884712</v>
          </cell>
        </row>
        <row r="185">
          <cell r="A185" t="str">
            <v xml:space="preserve">  Total Residential</v>
          </cell>
        </row>
        <row r="280">
          <cell r="A280" t="str">
            <v>Zhabei Promenade</v>
          </cell>
        </row>
        <row r="281">
          <cell r="A281" t="str">
            <v>Forrester Group Limited</v>
          </cell>
        </row>
        <row r="282">
          <cell r="A282" t="str">
            <v xml:space="preserve">PROJECTED CASH FLOWS </v>
          </cell>
        </row>
        <row r="283">
          <cell r="A283">
            <v>37800</v>
          </cell>
        </row>
        <row r="285">
          <cell r="A285" t="str">
            <v>CASH FLOW - PROJECTED REVENUE PHASE TWO</v>
          </cell>
        </row>
        <row r="287">
          <cell r="F287">
            <v>2003</v>
          </cell>
          <cell r="G287">
            <v>2004</v>
          </cell>
          <cell r="H287">
            <v>2005</v>
          </cell>
          <cell r="I287">
            <v>2006</v>
          </cell>
          <cell r="J287">
            <v>2007</v>
          </cell>
          <cell r="K287">
            <v>2008</v>
          </cell>
          <cell r="L287">
            <v>2009</v>
          </cell>
          <cell r="M287">
            <v>2010</v>
          </cell>
          <cell r="N287">
            <v>2011</v>
          </cell>
          <cell r="O287">
            <v>2012</v>
          </cell>
        </row>
        <row r="288">
          <cell r="A288" t="str">
            <v>REVENUE</v>
          </cell>
        </row>
        <row r="289">
          <cell r="A289" t="str">
            <v>Commercial (C2)</v>
          </cell>
        </row>
        <row r="290">
          <cell r="A290" t="str">
            <v xml:space="preserve">  Big Box </v>
          </cell>
          <cell r="F290">
            <v>0</v>
          </cell>
          <cell r="G290">
            <v>0</v>
          </cell>
          <cell r="H290">
            <v>0</v>
          </cell>
          <cell r="I290">
            <v>0</v>
          </cell>
          <cell r="J290">
            <v>0</v>
          </cell>
          <cell r="K290">
            <v>0</v>
          </cell>
          <cell r="L290">
            <v>0</v>
          </cell>
          <cell r="M290">
            <v>0</v>
          </cell>
          <cell r="N290">
            <v>0</v>
          </cell>
          <cell r="O290">
            <v>0</v>
          </cell>
        </row>
        <row r="291">
          <cell r="A291" t="str">
            <v xml:space="preserve">  Retail</v>
          </cell>
          <cell r="F291">
            <v>0</v>
          </cell>
          <cell r="G291">
            <v>0</v>
          </cell>
          <cell r="H291">
            <v>0</v>
          </cell>
          <cell r="I291">
            <v>0</v>
          </cell>
          <cell r="J291">
            <v>0</v>
          </cell>
          <cell r="K291">
            <v>0</v>
          </cell>
          <cell r="L291">
            <v>0</v>
          </cell>
          <cell r="M291">
            <v>0</v>
          </cell>
          <cell r="N291">
            <v>0</v>
          </cell>
          <cell r="O291">
            <v>0</v>
          </cell>
        </row>
        <row r="292">
          <cell r="A292" t="str">
            <v xml:space="preserve">  Food and Beverage</v>
          </cell>
          <cell r="F292">
            <v>0</v>
          </cell>
          <cell r="G292">
            <v>0</v>
          </cell>
          <cell r="H292">
            <v>0</v>
          </cell>
          <cell r="I292">
            <v>0</v>
          </cell>
          <cell r="J292">
            <v>0</v>
          </cell>
          <cell r="K292">
            <v>0</v>
          </cell>
          <cell r="L292">
            <v>0</v>
          </cell>
          <cell r="M292">
            <v>0</v>
          </cell>
          <cell r="N292">
            <v>0</v>
          </cell>
          <cell r="O292">
            <v>0</v>
          </cell>
        </row>
        <row r="293">
          <cell r="A293" t="str">
            <v xml:space="preserve">  Office/loft/upper floor</v>
          </cell>
          <cell r="F293">
            <v>0</v>
          </cell>
          <cell r="G293">
            <v>0</v>
          </cell>
          <cell r="H293">
            <v>0</v>
          </cell>
          <cell r="I293">
            <v>0</v>
          </cell>
          <cell r="J293">
            <v>0</v>
          </cell>
          <cell r="K293">
            <v>0</v>
          </cell>
          <cell r="L293">
            <v>0</v>
          </cell>
          <cell r="M293">
            <v>0</v>
          </cell>
          <cell r="N293">
            <v>0</v>
          </cell>
          <cell r="O293">
            <v>0</v>
          </cell>
        </row>
        <row r="294">
          <cell r="A294" t="str">
            <v xml:space="preserve">  Flexible</v>
          </cell>
          <cell r="F294">
            <v>0</v>
          </cell>
          <cell r="G294">
            <v>0</v>
          </cell>
          <cell r="H294">
            <v>0</v>
          </cell>
          <cell r="I294">
            <v>0</v>
          </cell>
          <cell r="J294">
            <v>0</v>
          </cell>
          <cell r="K294">
            <v>0</v>
          </cell>
          <cell r="L294">
            <v>0</v>
          </cell>
          <cell r="M294">
            <v>0</v>
          </cell>
          <cell r="N294">
            <v>0</v>
          </cell>
          <cell r="O294">
            <v>0</v>
          </cell>
        </row>
        <row r="295">
          <cell r="A295" t="str">
            <v>Total Commercial (C2)</v>
          </cell>
          <cell r="H295">
            <v>0</v>
          </cell>
          <cell r="I295">
            <v>0</v>
          </cell>
          <cell r="J295">
            <v>0</v>
          </cell>
          <cell r="K295">
            <v>0</v>
          </cell>
          <cell r="L295">
            <v>0</v>
          </cell>
          <cell r="M295">
            <v>0</v>
          </cell>
          <cell r="N295">
            <v>0</v>
          </cell>
          <cell r="O295">
            <v>0</v>
          </cell>
        </row>
        <row r="297">
          <cell r="A297" t="str">
            <v>Culture/Entertainment (C3)</v>
          </cell>
        </row>
        <row r="298">
          <cell r="A298" t="str">
            <v xml:space="preserve">  MoviePlex</v>
          </cell>
          <cell r="F298">
            <v>0</v>
          </cell>
          <cell r="G298">
            <v>0</v>
          </cell>
          <cell r="H298">
            <v>0</v>
          </cell>
          <cell r="I298">
            <v>0</v>
          </cell>
          <cell r="J298">
            <v>0</v>
          </cell>
          <cell r="K298">
            <v>0</v>
          </cell>
          <cell r="L298">
            <v>0</v>
          </cell>
          <cell r="M298">
            <v>0</v>
          </cell>
          <cell r="N298">
            <v>0</v>
          </cell>
          <cell r="O298">
            <v>0</v>
          </cell>
        </row>
        <row r="299">
          <cell r="A299" t="str">
            <v xml:space="preserve">  Other</v>
          </cell>
          <cell r="F299">
            <v>0</v>
          </cell>
          <cell r="G299">
            <v>0</v>
          </cell>
          <cell r="H299">
            <v>0</v>
          </cell>
          <cell r="I299">
            <v>0</v>
          </cell>
          <cell r="J299">
            <v>0</v>
          </cell>
          <cell r="K299">
            <v>0</v>
          </cell>
          <cell r="L299">
            <v>0</v>
          </cell>
          <cell r="M299">
            <v>0</v>
          </cell>
          <cell r="N299">
            <v>0</v>
          </cell>
          <cell r="O299">
            <v>0</v>
          </cell>
        </row>
        <row r="300">
          <cell r="A300" t="str">
            <v xml:space="preserve">  Clubhouse</v>
          </cell>
          <cell r="F300">
            <v>0</v>
          </cell>
          <cell r="G300">
            <v>0</v>
          </cell>
          <cell r="H300">
            <v>0</v>
          </cell>
          <cell r="I300">
            <v>0</v>
          </cell>
          <cell r="J300">
            <v>0</v>
          </cell>
          <cell r="K300">
            <v>0</v>
          </cell>
          <cell r="L300">
            <v>0</v>
          </cell>
          <cell r="M300">
            <v>0</v>
          </cell>
          <cell r="N300">
            <v>0</v>
          </cell>
          <cell r="O300">
            <v>0</v>
          </cell>
        </row>
        <row r="301">
          <cell r="A301" t="str">
            <v>Total Culture/Entertainment (C3)</v>
          </cell>
          <cell r="F301">
            <v>0</v>
          </cell>
          <cell r="G301">
            <v>0</v>
          </cell>
          <cell r="H301">
            <v>0</v>
          </cell>
          <cell r="I301">
            <v>0</v>
          </cell>
          <cell r="J301">
            <v>0</v>
          </cell>
          <cell r="K301">
            <v>0</v>
          </cell>
          <cell r="L301">
            <v>0</v>
          </cell>
          <cell r="M301">
            <v>0</v>
          </cell>
          <cell r="N301">
            <v>0</v>
          </cell>
          <cell r="O301">
            <v>0</v>
          </cell>
        </row>
        <row r="303">
          <cell r="A303" t="str">
            <v>Education/Scientific (C6)</v>
          </cell>
        </row>
        <row r="304">
          <cell r="A304" t="str">
            <v xml:space="preserve">  Executive Education</v>
          </cell>
          <cell r="F304">
            <v>0</v>
          </cell>
          <cell r="G304">
            <v>0</v>
          </cell>
          <cell r="H304">
            <v>0</v>
          </cell>
          <cell r="I304">
            <v>0</v>
          </cell>
          <cell r="J304">
            <v>0</v>
          </cell>
          <cell r="K304">
            <v>0</v>
          </cell>
          <cell r="L304">
            <v>0</v>
          </cell>
          <cell r="M304">
            <v>0</v>
          </cell>
          <cell r="N304">
            <v>0</v>
          </cell>
          <cell r="O304">
            <v>0</v>
          </cell>
        </row>
        <row r="305">
          <cell r="A305" t="str">
            <v xml:space="preserve">  Day Care Center</v>
          </cell>
          <cell r="F305">
            <v>0</v>
          </cell>
          <cell r="G305">
            <v>0</v>
          </cell>
          <cell r="H305">
            <v>0</v>
          </cell>
          <cell r="I305">
            <v>0</v>
          </cell>
          <cell r="J305">
            <v>0</v>
          </cell>
          <cell r="K305">
            <v>0</v>
          </cell>
          <cell r="L305">
            <v>0</v>
          </cell>
          <cell r="M305">
            <v>0</v>
          </cell>
          <cell r="N305">
            <v>0</v>
          </cell>
          <cell r="O305">
            <v>0</v>
          </cell>
        </row>
        <row r="306">
          <cell r="A306" t="str">
            <v xml:space="preserve">  Surplus</v>
          </cell>
          <cell r="F306">
            <v>0</v>
          </cell>
          <cell r="G306">
            <v>0</v>
          </cell>
          <cell r="H306">
            <v>0</v>
          </cell>
          <cell r="I306">
            <v>0</v>
          </cell>
          <cell r="J306">
            <v>0</v>
          </cell>
          <cell r="K306">
            <v>0</v>
          </cell>
          <cell r="L306">
            <v>0</v>
          </cell>
          <cell r="M306">
            <v>0</v>
          </cell>
          <cell r="N306">
            <v>0</v>
          </cell>
          <cell r="O306">
            <v>0</v>
          </cell>
        </row>
        <row r="307">
          <cell r="A307" t="str">
            <v>Total Education/Scientific (C6)</v>
          </cell>
          <cell r="F307">
            <v>0</v>
          </cell>
          <cell r="G307">
            <v>0</v>
          </cell>
          <cell r="H307">
            <v>0</v>
          </cell>
          <cell r="I307">
            <v>0</v>
          </cell>
          <cell r="J307">
            <v>0</v>
          </cell>
          <cell r="K307">
            <v>0</v>
          </cell>
          <cell r="L307">
            <v>0</v>
          </cell>
          <cell r="M307">
            <v>0</v>
          </cell>
          <cell r="N307">
            <v>0</v>
          </cell>
          <cell r="O307">
            <v>0</v>
          </cell>
        </row>
        <row r="309">
          <cell r="A309" t="str">
            <v>Support Services</v>
          </cell>
        </row>
        <row r="310">
          <cell r="A310" t="str">
            <v xml:space="preserve">  Parking (S2)</v>
          </cell>
        </row>
        <row r="312">
          <cell r="A312" t="str">
            <v xml:space="preserve">  Total Land Sold (per buildable area)</v>
          </cell>
        </row>
        <row r="313">
          <cell r="A313" t="str">
            <v xml:space="preserve">    Three Star Hotel</v>
          </cell>
          <cell r="F313">
            <v>0</v>
          </cell>
          <cell r="G313">
            <v>0</v>
          </cell>
          <cell r="H313">
            <v>0</v>
          </cell>
          <cell r="I313">
            <v>0</v>
          </cell>
          <cell r="J313">
            <v>0</v>
          </cell>
          <cell r="K313">
            <v>0</v>
          </cell>
          <cell r="L313">
            <v>0</v>
          </cell>
          <cell r="M313">
            <v>0</v>
          </cell>
          <cell r="N313">
            <v>0</v>
          </cell>
          <cell r="O313">
            <v>0</v>
          </cell>
        </row>
        <row r="314">
          <cell r="A314" t="str">
            <v xml:space="preserve">    Housing</v>
          </cell>
          <cell r="F314">
            <v>0</v>
          </cell>
          <cell r="G314">
            <v>0</v>
          </cell>
          <cell r="H314">
            <v>0</v>
          </cell>
          <cell r="I314">
            <v>0</v>
          </cell>
          <cell r="J314">
            <v>0</v>
          </cell>
          <cell r="K314">
            <v>0</v>
          </cell>
          <cell r="L314">
            <v>0</v>
          </cell>
          <cell r="M314">
            <v>0</v>
          </cell>
          <cell r="N314">
            <v>0</v>
          </cell>
          <cell r="O314">
            <v>0</v>
          </cell>
        </row>
        <row r="315">
          <cell r="A315" t="str">
            <v xml:space="preserve">  Total Residential</v>
          </cell>
          <cell r="F315">
            <v>0</v>
          </cell>
          <cell r="G315">
            <v>0</v>
          </cell>
          <cell r="H315">
            <v>0</v>
          </cell>
          <cell r="I315">
            <v>0</v>
          </cell>
          <cell r="J315">
            <v>0</v>
          </cell>
          <cell r="K315">
            <v>0</v>
          </cell>
          <cell r="L315">
            <v>0</v>
          </cell>
          <cell r="M315">
            <v>0</v>
          </cell>
          <cell r="N315">
            <v>0</v>
          </cell>
          <cell r="O315">
            <v>0</v>
          </cell>
        </row>
        <row r="317">
          <cell r="A317" t="str">
            <v>TOTAL REVENUE PHASE TWO</v>
          </cell>
          <cell r="F317">
            <v>0</v>
          </cell>
          <cell r="G317">
            <v>0</v>
          </cell>
          <cell r="H317">
            <v>0</v>
          </cell>
          <cell r="I317">
            <v>0</v>
          </cell>
          <cell r="J317">
            <v>0</v>
          </cell>
          <cell r="K317">
            <v>0</v>
          </cell>
          <cell r="L317">
            <v>0</v>
          </cell>
          <cell r="M317">
            <v>0</v>
          </cell>
          <cell r="N317">
            <v>0</v>
          </cell>
          <cell r="O317">
            <v>0</v>
          </cell>
        </row>
        <row r="319">
          <cell r="A319" t="str">
            <v>Zhabei Promenade</v>
          </cell>
        </row>
        <row r="320">
          <cell r="A320" t="str">
            <v>Forrester Group Limited</v>
          </cell>
        </row>
        <row r="321">
          <cell r="A321" t="str">
            <v xml:space="preserve">PROJECTED CASH FLOWS </v>
          </cell>
        </row>
        <row r="322">
          <cell r="A322">
            <v>37800</v>
          </cell>
        </row>
        <row r="324">
          <cell r="A324" t="str">
            <v>CASH FLOW - PROJECTED REVENUE PHASE THREE</v>
          </cell>
        </row>
        <row r="326">
          <cell r="F326">
            <v>2003</v>
          </cell>
          <cell r="G326">
            <v>2004</v>
          </cell>
          <cell r="H326">
            <v>2005</v>
          </cell>
          <cell r="I326">
            <v>2006</v>
          </cell>
          <cell r="J326">
            <v>2007</v>
          </cell>
          <cell r="K326">
            <v>2008</v>
          </cell>
          <cell r="L326">
            <v>2009</v>
          </cell>
          <cell r="M326">
            <v>2010</v>
          </cell>
          <cell r="N326">
            <v>2011</v>
          </cell>
          <cell r="O326">
            <v>2012</v>
          </cell>
        </row>
        <row r="327">
          <cell r="A327" t="str">
            <v>REVENUE</v>
          </cell>
        </row>
        <row r="328">
          <cell r="A328" t="str">
            <v>Commercial (C2)</v>
          </cell>
        </row>
        <row r="329">
          <cell r="A329" t="str">
            <v xml:space="preserve">  Big Box </v>
          </cell>
          <cell r="F329">
            <v>0</v>
          </cell>
          <cell r="G329">
            <v>0</v>
          </cell>
          <cell r="H329">
            <v>0</v>
          </cell>
          <cell r="I329">
            <v>0</v>
          </cell>
          <cell r="J329">
            <v>0</v>
          </cell>
          <cell r="K329">
            <v>0</v>
          </cell>
          <cell r="L329">
            <v>0</v>
          </cell>
          <cell r="M329">
            <v>0</v>
          </cell>
          <cell r="N329">
            <v>0</v>
          </cell>
          <cell r="O329">
            <v>0</v>
          </cell>
        </row>
        <row r="330">
          <cell r="A330" t="str">
            <v xml:space="preserve">  Retail</v>
          </cell>
          <cell r="F330">
            <v>0</v>
          </cell>
          <cell r="G330">
            <v>0</v>
          </cell>
          <cell r="H330">
            <v>0</v>
          </cell>
          <cell r="I330">
            <v>0</v>
          </cell>
          <cell r="J330">
            <v>0</v>
          </cell>
          <cell r="K330">
            <v>0</v>
          </cell>
          <cell r="L330">
            <v>0</v>
          </cell>
          <cell r="M330">
            <v>0</v>
          </cell>
          <cell r="N330">
            <v>0</v>
          </cell>
          <cell r="O330">
            <v>0</v>
          </cell>
        </row>
        <row r="331">
          <cell r="A331" t="str">
            <v xml:space="preserve">  Food and Beverage</v>
          </cell>
          <cell r="F331">
            <v>0</v>
          </cell>
          <cell r="G331">
            <v>0</v>
          </cell>
          <cell r="H331">
            <v>0</v>
          </cell>
          <cell r="I331">
            <v>0</v>
          </cell>
          <cell r="J331">
            <v>0</v>
          </cell>
          <cell r="K331">
            <v>0</v>
          </cell>
          <cell r="L331">
            <v>0</v>
          </cell>
          <cell r="M331">
            <v>0</v>
          </cell>
          <cell r="N331">
            <v>0</v>
          </cell>
          <cell r="O331">
            <v>0</v>
          </cell>
        </row>
        <row r="332">
          <cell r="A332" t="str">
            <v xml:space="preserve">  Office/loft/upper floor</v>
          </cell>
          <cell r="F332">
            <v>0</v>
          </cell>
          <cell r="G332">
            <v>0</v>
          </cell>
          <cell r="H332">
            <v>0</v>
          </cell>
          <cell r="I332">
            <v>0</v>
          </cell>
          <cell r="J332">
            <v>0</v>
          </cell>
          <cell r="K332">
            <v>0</v>
          </cell>
          <cell r="L332">
            <v>0</v>
          </cell>
          <cell r="M332">
            <v>0</v>
          </cell>
          <cell r="N332">
            <v>0</v>
          </cell>
          <cell r="O332">
            <v>0</v>
          </cell>
        </row>
        <row r="333">
          <cell r="A333" t="str">
            <v xml:space="preserve">  Flexible</v>
          </cell>
          <cell r="F333">
            <v>0</v>
          </cell>
          <cell r="G333">
            <v>0</v>
          </cell>
          <cell r="H333">
            <v>0</v>
          </cell>
          <cell r="I333">
            <v>0</v>
          </cell>
          <cell r="J333">
            <v>0</v>
          </cell>
          <cell r="K333">
            <v>0</v>
          </cell>
          <cell r="L333">
            <v>0</v>
          </cell>
          <cell r="M333">
            <v>0</v>
          </cell>
          <cell r="N333">
            <v>0</v>
          </cell>
          <cell r="O333">
            <v>0</v>
          </cell>
        </row>
        <row r="334">
          <cell r="A334" t="str">
            <v>Total Commercial (C2)</v>
          </cell>
          <cell r="F334">
            <v>0</v>
          </cell>
          <cell r="G334">
            <v>0</v>
          </cell>
          <cell r="H334">
            <v>0</v>
          </cell>
          <cell r="I334">
            <v>0</v>
          </cell>
          <cell r="J334">
            <v>0</v>
          </cell>
          <cell r="K334">
            <v>0</v>
          </cell>
          <cell r="L334">
            <v>0</v>
          </cell>
          <cell r="M334">
            <v>0</v>
          </cell>
          <cell r="N334">
            <v>0</v>
          </cell>
          <cell r="O334">
            <v>0</v>
          </cell>
        </row>
        <row r="336">
          <cell r="A336" t="str">
            <v>Culture/Entertainment (C3)</v>
          </cell>
        </row>
        <row r="337">
          <cell r="A337" t="str">
            <v xml:space="preserve">  MoviePlex</v>
          </cell>
          <cell r="F337">
            <v>0</v>
          </cell>
          <cell r="G337">
            <v>0</v>
          </cell>
          <cell r="H337">
            <v>0</v>
          </cell>
          <cell r="I337">
            <v>0</v>
          </cell>
          <cell r="J337">
            <v>0</v>
          </cell>
          <cell r="K337">
            <v>0</v>
          </cell>
          <cell r="L337">
            <v>0</v>
          </cell>
          <cell r="M337">
            <v>0</v>
          </cell>
          <cell r="N337">
            <v>0</v>
          </cell>
          <cell r="O337">
            <v>0</v>
          </cell>
        </row>
        <row r="338">
          <cell r="A338" t="str">
            <v xml:space="preserve">  Other</v>
          </cell>
          <cell r="F338">
            <v>0</v>
          </cell>
          <cell r="G338">
            <v>0</v>
          </cell>
          <cell r="H338">
            <v>0</v>
          </cell>
          <cell r="I338">
            <v>0</v>
          </cell>
          <cell r="J338">
            <v>0</v>
          </cell>
          <cell r="K338">
            <v>0</v>
          </cell>
          <cell r="L338">
            <v>0</v>
          </cell>
          <cell r="M338">
            <v>0</v>
          </cell>
          <cell r="N338">
            <v>0</v>
          </cell>
          <cell r="O338">
            <v>0</v>
          </cell>
        </row>
        <row r="339">
          <cell r="A339" t="str">
            <v xml:space="preserve">  Clubhouse</v>
          </cell>
          <cell r="F339">
            <v>0</v>
          </cell>
          <cell r="G339">
            <v>0</v>
          </cell>
          <cell r="H339">
            <v>0</v>
          </cell>
          <cell r="I339">
            <v>0</v>
          </cell>
          <cell r="J339">
            <v>0</v>
          </cell>
          <cell r="K339">
            <v>0</v>
          </cell>
          <cell r="L339">
            <v>0</v>
          </cell>
          <cell r="M339">
            <v>0</v>
          </cell>
          <cell r="N339">
            <v>0</v>
          </cell>
          <cell r="O339">
            <v>0</v>
          </cell>
        </row>
        <row r="340">
          <cell r="A340" t="str">
            <v>Total Culture/Entertainment (C3)</v>
          </cell>
          <cell r="F340">
            <v>0</v>
          </cell>
          <cell r="G340">
            <v>0</v>
          </cell>
          <cell r="H340">
            <v>0</v>
          </cell>
          <cell r="I340">
            <v>0</v>
          </cell>
          <cell r="J340">
            <v>0</v>
          </cell>
          <cell r="K340">
            <v>0</v>
          </cell>
          <cell r="L340">
            <v>0</v>
          </cell>
          <cell r="M340">
            <v>0</v>
          </cell>
          <cell r="N340">
            <v>0</v>
          </cell>
          <cell r="O340">
            <v>0</v>
          </cell>
        </row>
        <row r="342">
          <cell r="A342" t="str">
            <v>Education/Scientific (C6)</v>
          </cell>
        </row>
        <row r="343">
          <cell r="A343" t="str">
            <v xml:space="preserve">  Executive Education</v>
          </cell>
          <cell r="F343">
            <v>0</v>
          </cell>
          <cell r="G343">
            <v>0</v>
          </cell>
          <cell r="H343">
            <v>0</v>
          </cell>
          <cell r="I343">
            <v>0</v>
          </cell>
          <cell r="J343">
            <v>0</v>
          </cell>
          <cell r="K343">
            <v>0</v>
          </cell>
          <cell r="L343">
            <v>0</v>
          </cell>
          <cell r="M343">
            <v>0</v>
          </cell>
          <cell r="N343">
            <v>0</v>
          </cell>
          <cell r="O343">
            <v>0</v>
          </cell>
        </row>
        <row r="344">
          <cell r="A344" t="str">
            <v xml:space="preserve">  Day Care Center</v>
          </cell>
          <cell r="F344">
            <v>0</v>
          </cell>
          <cell r="G344">
            <v>0</v>
          </cell>
          <cell r="H344">
            <v>0</v>
          </cell>
          <cell r="I344">
            <v>0</v>
          </cell>
          <cell r="J344">
            <v>0</v>
          </cell>
          <cell r="K344">
            <v>0</v>
          </cell>
          <cell r="L344">
            <v>0</v>
          </cell>
          <cell r="M344">
            <v>0</v>
          </cell>
          <cell r="N344">
            <v>0</v>
          </cell>
          <cell r="O344">
            <v>0</v>
          </cell>
        </row>
        <row r="345">
          <cell r="A345" t="str">
            <v xml:space="preserve">  Surplus</v>
          </cell>
          <cell r="F345">
            <v>0</v>
          </cell>
          <cell r="G345">
            <v>0</v>
          </cell>
          <cell r="H345">
            <v>0</v>
          </cell>
          <cell r="I345">
            <v>0</v>
          </cell>
          <cell r="J345">
            <v>0</v>
          </cell>
          <cell r="K345">
            <v>0</v>
          </cell>
          <cell r="L345">
            <v>0</v>
          </cell>
          <cell r="M345">
            <v>0</v>
          </cell>
          <cell r="N345">
            <v>0</v>
          </cell>
          <cell r="O345">
            <v>0</v>
          </cell>
        </row>
        <row r="346">
          <cell r="A346" t="str">
            <v>Total Education/Scientific (C6)</v>
          </cell>
          <cell r="F346">
            <v>0</v>
          </cell>
          <cell r="G346">
            <v>0</v>
          </cell>
          <cell r="H346">
            <v>0</v>
          </cell>
          <cell r="I346">
            <v>0</v>
          </cell>
          <cell r="J346">
            <v>0</v>
          </cell>
          <cell r="K346">
            <v>0</v>
          </cell>
          <cell r="L346">
            <v>0</v>
          </cell>
          <cell r="M346">
            <v>0</v>
          </cell>
          <cell r="N346">
            <v>0</v>
          </cell>
          <cell r="O346">
            <v>0</v>
          </cell>
        </row>
        <row r="348">
          <cell r="A348" t="str">
            <v>Support Services</v>
          </cell>
        </row>
        <row r="349">
          <cell r="A349" t="str">
            <v xml:space="preserve">  Parking (S2)</v>
          </cell>
        </row>
        <row r="351">
          <cell r="A351" t="str">
            <v xml:space="preserve">  Total Land Sold (per buildable area)</v>
          </cell>
        </row>
        <row r="352">
          <cell r="A352" t="str">
            <v xml:space="preserve">    Three Star Hotel</v>
          </cell>
          <cell r="F352">
            <v>0</v>
          </cell>
          <cell r="G352">
            <v>0</v>
          </cell>
          <cell r="H352">
            <v>0</v>
          </cell>
          <cell r="I352">
            <v>0</v>
          </cell>
          <cell r="J352">
            <v>0</v>
          </cell>
          <cell r="K352">
            <v>0</v>
          </cell>
          <cell r="L352">
            <v>0</v>
          </cell>
          <cell r="M352">
            <v>0</v>
          </cell>
          <cell r="N352">
            <v>0</v>
          </cell>
          <cell r="O352">
            <v>0</v>
          </cell>
        </row>
        <row r="353">
          <cell r="A353" t="str">
            <v xml:space="preserve">    Housing</v>
          </cell>
          <cell r="F353">
            <v>0</v>
          </cell>
          <cell r="G353">
            <v>0</v>
          </cell>
          <cell r="H353">
            <v>0</v>
          </cell>
          <cell r="I353">
            <v>0</v>
          </cell>
          <cell r="J353">
            <v>0</v>
          </cell>
          <cell r="K353">
            <v>0</v>
          </cell>
          <cell r="L353">
            <v>0</v>
          </cell>
          <cell r="M353">
            <v>0</v>
          </cell>
          <cell r="N353">
            <v>0</v>
          </cell>
          <cell r="O353">
            <v>0</v>
          </cell>
        </row>
        <row r="354">
          <cell r="A354" t="str">
            <v xml:space="preserve">  Total Residential</v>
          </cell>
          <cell r="F354">
            <v>0</v>
          </cell>
          <cell r="G354">
            <v>0</v>
          </cell>
          <cell r="H354">
            <v>0</v>
          </cell>
          <cell r="I354">
            <v>0</v>
          </cell>
          <cell r="J354">
            <v>0</v>
          </cell>
          <cell r="K354">
            <v>0</v>
          </cell>
          <cell r="L354">
            <v>0</v>
          </cell>
          <cell r="M354">
            <v>0</v>
          </cell>
          <cell r="N354">
            <v>0</v>
          </cell>
          <cell r="O354">
            <v>0</v>
          </cell>
        </row>
        <row r="356">
          <cell r="A356" t="str">
            <v>TOTAL REVENUE PHASE THREE</v>
          </cell>
          <cell r="F356">
            <v>0</v>
          </cell>
          <cell r="G356">
            <v>0</v>
          </cell>
          <cell r="H356">
            <v>0</v>
          </cell>
          <cell r="I356">
            <v>0</v>
          </cell>
          <cell r="J356">
            <v>0</v>
          </cell>
          <cell r="K356">
            <v>0</v>
          </cell>
          <cell r="L356">
            <v>0</v>
          </cell>
          <cell r="M356">
            <v>0</v>
          </cell>
          <cell r="N356">
            <v>0</v>
          </cell>
          <cell r="O356">
            <v>0</v>
          </cell>
        </row>
        <row r="359">
          <cell r="A359" t="str">
            <v>Zhabei Promenade</v>
          </cell>
        </row>
        <row r="360">
          <cell r="A360" t="str">
            <v>Forrester Group Limited</v>
          </cell>
        </row>
        <row r="361">
          <cell r="A361" t="str">
            <v xml:space="preserve">PROJECTED CASH FLOWS </v>
          </cell>
        </row>
        <row r="362">
          <cell r="A362">
            <v>37800</v>
          </cell>
        </row>
        <row r="364">
          <cell r="A364" t="str">
            <v>CASH FLOW - PROJECTED REVENUE PHASE FOUR</v>
          </cell>
        </row>
        <row r="366">
          <cell r="F366">
            <v>2003</v>
          </cell>
          <cell r="G366">
            <v>2004</v>
          </cell>
          <cell r="H366">
            <v>2005</v>
          </cell>
          <cell r="I366">
            <v>2006</v>
          </cell>
          <cell r="J366">
            <v>2007</v>
          </cell>
          <cell r="K366">
            <v>2008</v>
          </cell>
          <cell r="L366">
            <v>2009</v>
          </cell>
          <cell r="M366">
            <v>2010</v>
          </cell>
          <cell r="N366">
            <v>2011</v>
          </cell>
          <cell r="O366">
            <v>2012</v>
          </cell>
        </row>
        <row r="367">
          <cell r="A367" t="str">
            <v>REVENUE</v>
          </cell>
        </row>
        <row r="368">
          <cell r="A368" t="str">
            <v>Commercial (C2)</v>
          </cell>
        </row>
        <row r="369">
          <cell r="A369" t="str">
            <v xml:space="preserve">  Big Box </v>
          </cell>
          <cell r="F369">
            <v>0</v>
          </cell>
          <cell r="G369">
            <v>0</v>
          </cell>
          <cell r="H369">
            <v>0</v>
          </cell>
          <cell r="I369">
            <v>0</v>
          </cell>
          <cell r="J369">
            <v>0</v>
          </cell>
          <cell r="K369">
            <v>0</v>
          </cell>
          <cell r="L369">
            <v>0</v>
          </cell>
          <cell r="M369">
            <v>0</v>
          </cell>
          <cell r="N369">
            <v>0</v>
          </cell>
          <cell r="O369">
            <v>0</v>
          </cell>
        </row>
        <row r="370">
          <cell r="A370" t="str">
            <v xml:space="preserve">  Retail</v>
          </cell>
          <cell r="F370">
            <v>0</v>
          </cell>
          <cell r="G370">
            <v>0</v>
          </cell>
          <cell r="H370">
            <v>0</v>
          </cell>
          <cell r="I370">
            <v>0</v>
          </cell>
          <cell r="J370">
            <v>0</v>
          </cell>
          <cell r="K370">
            <v>0</v>
          </cell>
          <cell r="L370">
            <v>0</v>
          </cell>
          <cell r="M370">
            <v>0</v>
          </cell>
          <cell r="N370">
            <v>0</v>
          </cell>
          <cell r="O370">
            <v>0</v>
          </cell>
        </row>
        <row r="371">
          <cell r="A371" t="str">
            <v xml:space="preserve">  Food and Beverage</v>
          </cell>
          <cell r="F371">
            <v>0</v>
          </cell>
          <cell r="G371">
            <v>0</v>
          </cell>
          <cell r="H371">
            <v>0</v>
          </cell>
          <cell r="I371">
            <v>0</v>
          </cell>
          <cell r="J371">
            <v>0</v>
          </cell>
          <cell r="K371">
            <v>0</v>
          </cell>
          <cell r="L371">
            <v>0</v>
          </cell>
          <cell r="M371">
            <v>0</v>
          </cell>
          <cell r="N371">
            <v>0</v>
          </cell>
          <cell r="O371">
            <v>0</v>
          </cell>
        </row>
        <row r="372">
          <cell r="A372" t="str">
            <v xml:space="preserve">  Office/loft/upper floor</v>
          </cell>
          <cell r="F372">
            <v>0</v>
          </cell>
          <cell r="G372">
            <v>0</v>
          </cell>
          <cell r="H372">
            <v>0</v>
          </cell>
          <cell r="I372">
            <v>0</v>
          </cell>
          <cell r="J372">
            <v>0</v>
          </cell>
          <cell r="K372">
            <v>0</v>
          </cell>
          <cell r="L372">
            <v>0</v>
          </cell>
          <cell r="M372">
            <v>0</v>
          </cell>
          <cell r="N372">
            <v>0</v>
          </cell>
          <cell r="O372">
            <v>0</v>
          </cell>
        </row>
        <row r="373">
          <cell r="A373" t="str">
            <v xml:space="preserve">  Flexible</v>
          </cell>
          <cell r="F373">
            <v>0</v>
          </cell>
          <cell r="G373">
            <v>0</v>
          </cell>
          <cell r="H373">
            <v>0</v>
          </cell>
          <cell r="I373">
            <v>0</v>
          </cell>
          <cell r="J373">
            <v>0</v>
          </cell>
          <cell r="K373">
            <v>0</v>
          </cell>
          <cell r="L373">
            <v>0</v>
          </cell>
          <cell r="M373">
            <v>0</v>
          </cell>
          <cell r="N373">
            <v>0</v>
          </cell>
          <cell r="O373">
            <v>0</v>
          </cell>
        </row>
        <row r="374">
          <cell r="A374" t="str">
            <v>Total Commercial (C2)</v>
          </cell>
          <cell r="F374">
            <v>0</v>
          </cell>
          <cell r="G374">
            <v>0</v>
          </cell>
          <cell r="H374">
            <v>0</v>
          </cell>
          <cell r="I374">
            <v>0</v>
          </cell>
          <cell r="J374">
            <v>0</v>
          </cell>
          <cell r="K374">
            <v>0</v>
          </cell>
          <cell r="L374">
            <v>0</v>
          </cell>
          <cell r="M374">
            <v>0</v>
          </cell>
          <cell r="N374">
            <v>0</v>
          </cell>
          <cell r="O374">
            <v>0</v>
          </cell>
        </row>
        <row r="376">
          <cell r="A376" t="str">
            <v>Culture/Entertainment (C3)</v>
          </cell>
        </row>
        <row r="377">
          <cell r="A377" t="str">
            <v xml:space="preserve">  MoviePlex</v>
          </cell>
          <cell r="F377">
            <v>0</v>
          </cell>
          <cell r="G377">
            <v>0</v>
          </cell>
          <cell r="H377">
            <v>0</v>
          </cell>
          <cell r="I377">
            <v>0</v>
          </cell>
          <cell r="J377">
            <v>0</v>
          </cell>
          <cell r="K377">
            <v>0</v>
          </cell>
          <cell r="L377">
            <v>0</v>
          </cell>
          <cell r="M377">
            <v>0</v>
          </cell>
          <cell r="N377">
            <v>0</v>
          </cell>
          <cell r="O377">
            <v>0</v>
          </cell>
        </row>
        <row r="378">
          <cell r="A378" t="str">
            <v xml:space="preserve">  Other</v>
          </cell>
          <cell r="F378">
            <v>0</v>
          </cell>
          <cell r="G378">
            <v>0</v>
          </cell>
          <cell r="H378">
            <v>0</v>
          </cell>
          <cell r="I378">
            <v>0</v>
          </cell>
          <cell r="J378">
            <v>0</v>
          </cell>
          <cell r="K378">
            <v>0</v>
          </cell>
          <cell r="L378">
            <v>0</v>
          </cell>
          <cell r="M378">
            <v>0</v>
          </cell>
          <cell r="N378">
            <v>0</v>
          </cell>
          <cell r="O378">
            <v>0</v>
          </cell>
        </row>
        <row r="379">
          <cell r="A379" t="str">
            <v xml:space="preserve">  Clubhouse</v>
          </cell>
          <cell r="F379">
            <v>0</v>
          </cell>
          <cell r="G379">
            <v>0</v>
          </cell>
          <cell r="H379">
            <v>0</v>
          </cell>
          <cell r="I379">
            <v>0</v>
          </cell>
          <cell r="J379">
            <v>0</v>
          </cell>
          <cell r="K379">
            <v>0</v>
          </cell>
          <cell r="L379">
            <v>0</v>
          </cell>
          <cell r="M379">
            <v>0</v>
          </cell>
          <cell r="N379">
            <v>0</v>
          </cell>
          <cell r="O379">
            <v>0</v>
          </cell>
        </row>
        <row r="380">
          <cell r="A380" t="str">
            <v>Total Culture/Entertainment (C3)</v>
          </cell>
          <cell r="F380">
            <v>0</v>
          </cell>
          <cell r="G380">
            <v>0</v>
          </cell>
          <cell r="H380">
            <v>0</v>
          </cell>
          <cell r="I380">
            <v>0</v>
          </cell>
          <cell r="J380">
            <v>0</v>
          </cell>
          <cell r="K380">
            <v>0</v>
          </cell>
          <cell r="L380">
            <v>0</v>
          </cell>
          <cell r="M380">
            <v>0</v>
          </cell>
          <cell r="N380">
            <v>0</v>
          </cell>
          <cell r="O380">
            <v>0</v>
          </cell>
        </row>
        <row r="382">
          <cell r="A382" t="str">
            <v>Education/Scientific (C6)</v>
          </cell>
        </row>
        <row r="383">
          <cell r="A383" t="str">
            <v xml:space="preserve">  Executive Education</v>
          </cell>
          <cell r="F383">
            <v>0</v>
          </cell>
          <cell r="G383">
            <v>0</v>
          </cell>
          <cell r="H383">
            <v>0</v>
          </cell>
          <cell r="I383">
            <v>0</v>
          </cell>
          <cell r="J383">
            <v>0</v>
          </cell>
          <cell r="K383">
            <v>0</v>
          </cell>
          <cell r="L383">
            <v>0</v>
          </cell>
          <cell r="M383">
            <v>0</v>
          </cell>
          <cell r="N383">
            <v>0</v>
          </cell>
          <cell r="O383">
            <v>0</v>
          </cell>
        </row>
        <row r="384">
          <cell r="A384" t="str">
            <v xml:space="preserve">  Day Care Center</v>
          </cell>
          <cell r="F384">
            <v>0</v>
          </cell>
          <cell r="G384">
            <v>0</v>
          </cell>
          <cell r="H384">
            <v>0</v>
          </cell>
          <cell r="I384">
            <v>0</v>
          </cell>
          <cell r="J384">
            <v>0</v>
          </cell>
          <cell r="K384">
            <v>0</v>
          </cell>
          <cell r="L384">
            <v>0</v>
          </cell>
          <cell r="M384">
            <v>0</v>
          </cell>
          <cell r="N384">
            <v>0</v>
          </cell>
          <cell r="O384">
            <v>0</v>
          </cell>
        </row>
        <row r="385">
          <cell r="A385" t="str">
            <v xml:space="preserve">  Surplus</v>
          </cell>
          <cell r="F385">
            <v>0</v>
          </cell>
          <cell r="G385">
            <v>0</v>
          </cell>
          <cell r="H385">
            <v>0</v>
          </cell>
          <cell r="I385">
            <v>0</v>
          </cell>
          <cell r="J385">
            <v>0</v>
          </cell>
          <cell r="K385">
            <v>0</v>
          </cell>
          <cell r="L385">
            <v>0</v>
          </cell>
          <cell r="M385">
            <v>0</v>
          </cell>
          <cell r="N385">
            <v>0</v>
          </cell>
          <cell r="O385">
            <v>0</v>
          </cell>
        </row>
        <row r="386">
          <cell r="A386" t="str">
            <v>Total Education/Scientific (C6)</v>
          </cell>
          <cell r="F386">
            <v>0</v>
          </cell>
          <cell r="G386">
            <v>0</v>
          </cell>
          <cell r="H386">
            <v>0</v>
          </cell>
          <cell r="I386">
            <v>0</v>
          </cell>
          <cell r="J386">
            <v>0</v>
          </cell>
          <cell r="K386">
            <v>0</v>
          </cell>
          <cell r="L386">
            <v>0</v>
          </cell>
          <cell r="M386">
            <v>0</v>
          </cell>
          <cell r="N386">
            <v>0</v>
          </cell>
          <cell r="O386">
            <v>0</v>
          </cell>
        </row>
        <row r="388">
          <cell r="A388" t="str">
            <v>Support Services</v>
          </cell>
        </row>
        <row r="389">
          <cell r="A389" t="str">
            <v xml:space="preserve">  Parking (S2)</v>
          </cell>
        </row>
        <row r="391">
          <cell r="A391" t="str">
            <v xml:space="preserve">  Total Land Sold (per buildable area)</v>
          </cell>
        </row>
        <row r="392">
          <cell r="A392" t="str">
            <v xml:space="preserve">    Three Star Hotel</v>
          </cell>
          <cell r="F392">
            <v>0</v>
          </cell>
          <cell r="G392">
            <v>0</v>
          </cell>
          <cell r="H392">
            <v>0</v>
          </cell>
          <cell r="I392">
            <v>0</v>
          </cell>
          <cell r="J392">
            <v>0</v>
          </cell>
          <cell r="K392">
            <v>0</v>
          </cell>
          <cell r="L392">
            <v>0</v>
          </cell>
          <cell r="M392">
            <v>0</v>
          </cell>
          <cell r="N392">
            <v>0</v>
          </cell>
          <cell r="O392">
            <v>0</v>
          </cell>
        </row>
        <row r="393">
          <cell r="A393" t="str">
            <v xml:space="preserve">    Housing</v>
          </cell>
          <cell r="F393">
            <v>0</v>
          </cell>
          <cell r="G393">
            <v>0</v>
          </cell>
          <cell r="H393">
            <v>0</v>
          </cell>
          <cell r="I393">
            <v>0</v>
          </cell>
          <cell r="J393">
            <v>0</v>
          </cell>
          <cell r="K393">
            <v>0</v>
          </cell>
          <cell r="L393">
            <v>0</v>
          </cell>
          <cell r="M393">
            <v>0</v>
          </cell>
          <cell r="N393">
            <v>0</v>
          </cell>
          <cell r="O393">
            <v>0</v>
          </cell>
        </row>
        <row r="394">
          <cell r="A394" t="str">
            <v xml:space="preserve">  Total Residential</v>
          </cell>
          <cell r="F394">
            <v>0</v>
          </cell>
          <cell r="G394">
            <v>0</v>
          </cell>
          <cell r="H394">
            <v>0</v>
          </cell>
          <cell r="I394">
            <v>0</v>
          </cell>
          <cell r="J394">
            <v>0</v>
          </cell>
          <cell r="K394">
            <v>0</v>
          </cell>
          <cell r="L394">
            <v>0</v>
          </cell>
          <cell r="M394">
            <v>0</v>
          </cell>
          <cell r="N394">
            <v>0</v>
          </cell>
          <cell r="O394">
            <v>0</v>
          </cell>
        </row>
        <row r="396">
          <cell r="A396" t="str">
            <v>TOTAL REVENUE PHASE FOUR</v>
          </cell>
          <cell r="F396">
            <v>0</v>
          </cell>
          <cell r="G396">
            <v>0</v>
          </cell>
          <cell r="H396">
            <v>0</v>
          </cell>
          <cell r="I396">
            <v>0</v>
          </cell>
          <cell r="J396">
            <v>0</v>
          </cell>
          <cell r="K396">
            <v>0</v>
          </cell>
          <cell r="L396">
            <v>0</v>
          </cell>
          <cell r="M396">
            <v>0</v>
          </cell>
          <cell r="N396">
            <v>0</v>
          </cell>
          <cell r="O396">
            <v>0</v>
          </cell>
        </row>
        <row r="402">
          <cell r="A402">
            <v>37800</v>
          </cell>
          <cell r="D402" t="str">
            <v>Land Preparation Cost</v>
          </cell>
          <cell r="E402">
            <v>45300000</v>
          </cell>
          <cell r="F402" t="str">
            <v>or</v>
          </cell>
          <cell r="G402">
            <v>500000</v>
          </cell>
          <cell r="H402" t="str">
            <v>RMB/MU of Land</v>
          </cell>
        </row>
        <row r="403">
          <cell r="D403" t="str">
            <v>Reimbursment Direct Cost</v>
          </cell>
          <cell r="E403">
            <v>2000000</v>
          </cell>
        </row>
        <row r="404">
          <cell r="D404" t="str">
            <v>Total Land Cost</v>
          </cell>
          <cell r="E404">
            <v>273800000</v>
          </cell>
          <cell r="F404" t="str">
            <v>RMB</v>
          </cell>
        </row>
        <row r="406">
          <cell r="D406" t="str">
            <v>Land Cost</v>
          </cell>
          <cell r="E406">
            <v>32987951.807228912</v>
          </cell>
          <cell r="F406" t="str">
            <v>USD</v>
          </cell>
        </row>
        <row r="407">
          <cell r="D407" t="str">
            <v>Introduction/Equity Syndication Fee</v>
          </cell>
          <cell r="E407">
            <v>500000</v>
          </cell>
          <cell r="F407" t="str">
            <v>USD</v>
          </cell>
        </row>
        <row r="408">
          <cell r="D408" t="str">
            <v>Total</v>
          </cell>
          <cell r="E408">
            <v>33487951.807228912</v>
          </cell>
          <cell r="F408" t="str">
            <v>USD</v>
          </cell>
          <cell r="G408">
            <v>148.30802394698367</v>
          </cell>
          <cell r="H408" t="str">
            <v>USD/M2 GFA</v>
          </cell>
        </row>
        <row r="411">
          <cell r="A411" t="str">
            <v>ASSUMPTIONS - DEVELOPMENT COSTS</v>
          </cell>
        </row>
        <row r="412">
          <cell r="E412" t="str">
            <v>Total</v>
          </cell>
          <cell r="F412">
            <v>2003</v>
          </cell>
          <cell r="G412">
            <v>2004</v>
          </cell>
          <cell r="H412">
            <v>2005</v>
          </cell>
          <cell r="I412">
            <v>2006</v>
          </cell>
          <cell r="J412">
            <v>2007</v>
          </cell>
          <cell r="K412">
            <v>2008</v>
          </cell>
          <cell r="L412">
            <v>2009</v>
          </cell>
          <cell r="M412">
            <v>2010</v>
          </cell>
          <cell r="N412">
            <v>2011</v>
          </cell>
          <cell r="O412">
            <v>2012</v>
          </cell>
        </row>
        <row r="413">
          <cell r="A413" t="str">
            <v>Total Site Clearance</v>
          </cell>
          <cell r="F413">
            <v>1</v>
          </cell>
          <cell r="G413">
            <v>0</v>
          </cell>
        </row>
        <row r="414">
          <cell r="A414" t="str">
            <v xml:space="preserve">  Phase 1 Site Cost and Clearance</v>
          </cell>
          <cell r="F414">
            <v>33487951.807228912</v>
          </cell>
          <cell r="G414">
            <v>0</v>
          </cell>
          <cell r="H414">
            <v>0</v>
          </cell>
          <cell r="I414">
            <v>0</v>
          </cell>
          <cell r="J414">
            <v>0</v>
          </cell>
          <cell r="K414">
            <v>0</v>
          </cell>
          <cell r="L414">
            <v>0</v>
          </cell>
          <cell r="M414">
            <v>0</v>
          </cell>
          <cell r="N414">
            <v>0</v>
          </cell>
          <cell r="O414">
            <v>0</v>
          </cell>
        </row>
        <row r="415">
          <cell r="A415" t="str">
            <v xml:space="preserve">  Other</v>
          </cell>
          <cell r="F415">
            <v>0</v>
          </cell>
          <cell r="G415">
            <v>0</v>
          </cell>
          <cell r="H415">
            <v>0</v>
          </cell>
          <cell r="I415">
            <v>0</v>
          </cell>
          <cell r="J415">
            <v>0</v>
          </cell>
          <cell r="K415">
            <v>0</v>
          </cell>
          <cell r="L415">
            <v>0</v>
          </cell>
          <cell r="M415">
            <v>0</v>
          </cell>
          <cell r="N415">
            <v>0</v>
          </cell>
          <cell r="O415">
            <v>0</v>
          </cell>
        </row>
        <row r="416">
          <cell r="A416" t="str">
            <v>Total Site Costs</v>
          </cell>
          <cell r="E416">
            <v>33487951.807228912</v>
          </cell>
          <cell r="F416">
            <v>33487951.807228912</v>
          </cell>
          <cell r="G416">
            <v>0</v>
          </cell>
          <cell r="H416">
            <v>0</v>
          </cell>
          <cell r="I416">
            <v>0</v>
          </cell>
          <cell r="J416">
            <v>0</v>
          </cell>
          <cell r="K416">
            <v>0</v>
          </cell>
          <cell r="L416">
            <v>0</v>
          </cell>
          <cell r="M416">
            <v>0</v>
          </cell>
          <cell r="N416">
            <v>0</v>
          </cell>
          <cell r="O416">
            <v>0</v>
          </cell>
        </row>
        <row r="418">
          <cell r="A418" t="str">
            <v>First Phase Development - Hard Construction Costs</v>
          </cell>
        </row>
        <row r="419">
          <cell r="A419" t="str">
            <v>HARD CONSTRUCTION COSTS</v>
          </cell>
        </row>
        <row r="420">
          <cell r="A420" t="str">
            <v>Commercial (C2)</v>
          </cell>
        </row>
        <row r="421">
          <cell r="A421" t="str">
            <v xml:space="preserve">  Big Box </v>
          </cell>
          <cell r="E421">
            <v>22258481.286339294</v>
          </cell>
          <cell r="F421">
            <v>0</v>
          </cell>
          <cell r="G421">
            <v>14838987.524226196</v>
          </cell>
          <cell r="H421">
            <v>7419493.7621130981</v>
          </cell>
          <cell r="I421">
            <v>0</v>
          </cell>
          <cell r="J421">
            <v>0</v>
          </cell>
          <cell r="K421">
            <v>0</v>
          </cell>
          <cell r="L421">
            <v>0</v>
          </cell>
          <cell r="M421">
            <v>0</v>
          </cell>
          <cell r="N421">
            <v>0</v>
          </cell>
          <cell r="O421">
            <v>0</v>
          </cell>
        </row>
        <row r="422">
          <cell r="A422" t="str">
            <v xml:space="preserve">  Retail</v>
          </cell>
          <cell r="E422">
            <v>12034255.816350475</v>
          </cell>
          <cell r="F422">
            <v>0</v>
          </cell>
          <cell r="G422">
            <v>8022837.2109003169</v>
          </cell>
          <cell r="H422">
            <v>4011418.6054501585</v>
          </cell>
          <cell r="I422">
            <v>0</v>
          </cell>
          <cell r="J422">
            <v>0</v>
          </cell>
          <cell r="K422">
            <v>0</v>
          </cell>
          <cell r="L422">
            <v>0</v>
          </cell>
          <cell r="M422">
            <v>0</v>
          </cell>
          <cell r="N422">
            <v>0</v>
          </cell>
          <cell r="O422">
            <v>0</v>
          </cell>
        </row>
        <row r="423">
          <cell r="A423" t="str">
            <v xml:space="preserve">  Food and Beverage</v>
          </cell>
          <cell r="E423">
            <v>6604164.7772655059</v>
          </cell>
          <cell r="F423">
            <v>0</v>
          </cell>
          <cell r="G423">
            <v>4402776.5181770036</v>
          </cell>
          <cell r="H423">
            <v>2201388.2590885018</v>
          </cell>
          <cell r="I423">
            <v>0</v>
          </cell>
          <cell r="J423">
            <v>0</v>
          </cell>
          <cell r="K423">
            <v>0</v>
          </cell>
          <cell r="L423">
            <v>0</v>
          </cell>
          <cell r="M423">
            <v>0</v>
          </cell>
          <cell r="N423">
            <v>0</v>
          </cell>
          <cell r="O423">
            <v>0</v>
          </cell>
        </row>
        <row r="424">
          <cell r="A424" t="str">
            <v xml:space="preserve">  Office/loft/upper floor</v>
          </cell>
          <cell r="E424">
            <v>1100694.1295442509</v>
          </cell>
          <cell r="F424">
            <v>0</v>
          </cell>
          <cell r="G424">
            <v>733796.08636283397</v>
          </cell>
          <cell r="H424">
            <v>366898.04318141699</v>
          </cell>
          <cell r="I424">
            <v>0</v>
          </cell>
          <cell r="J424">
            <v>0</v>
          </cell>
          <cell r="K424">
            <v>0</v>
          </cell>
          <cell r="L424">
            <v>0</v>
          </cell>
          <cell r="M424">
            <v>0</v>
          </cell>
          <cell r="N424">
            <v>0</v>
          </cell>
          <cell r="O424">
            <v>0</v>
          </cell>
        </row>
        <row r="425">
          <cell r="A425" t="str">
            <v xml:space="preserve">  Flexible</v>
          </cell>
          <cell r="E425">
            <v>0</v>
          </cell>
          <cell r="F425">
            <v>0</v>
          </cell>
          <cell r="G425">
            <v>0</v>
          </cell>
          <cell r="H425">
            <v>0</v>
          </cell>
          <cell r="I425">
            <v>0</v>
          </cell>
          <cell r="J425">
            <v>0</v>
          </cell>
          <cell r="K425">
            <v>0</v>
          </cell>
          <cell r="L425">
            <v>0</v>
          </cell>
          <cell r="M425">
            <v>0</v>
          </cell>
          <cell r="N425">
            <v>0</v>
          </cell>
          <cell r="O425">
            <v>0</v>
          </cell>
        </row>
        <row r="426">
          <cell r="A426" t="str">
            <v>Total Commercial (C2)</v>
          </cell>
          <cell r="E426">
            <v>41997596.009499528</v>
          </cell>
          <cell r="F426">
            <v>0</v>
          </cell>
          <cell r="G426">
            <v>27998397.339666352</v>
          </cell>
          <cell r="H426">
            <v>13999198.669833176</v>
          </cell>
          <cell r="I426">
            <v>0</v>
          </cell>
          <cell r="J426">
            <v>0</v>
          </cell>
          <cell r="K426">
            <v>0</v>
          </cell>
          <cell r="L426">
            <v>0</v>
          </cell>
          <cell r="M426">
            <v>0</v>
          </cell>
          <cell r="N426">
            <v>0</v>
          </cell>
          <cell r="O426">
            <v>0</v>
          </cell>
        </row>
        <row r="428">
          <cell r="A428" t="str">
            <v>Culture/Entertainment (C3)</v>
          </cell>
        </row>
        <row r="429">
          <cell r="A429" t="str">
            <v xml:space="preserve">  MoviePlex</v>
          </cell>
          <cell r="E429">
            <v>1100694.1295442509</v>
          </cell>
          <cell r="F429">
            <v>0</v>
          </cell>
          <cell r="G429">
            <v>733796.08636283397</v>
          </cell>
          <cell r="H429">
            <v>366898.04318141699</v>
          </cell>
          <cell r="I429">
            <v>0</v>
          </cell>
          <cell r="J429">
            <v>0</v>
          </cell>
          <cell r="K429">
            <v>0</v>
          </cell>
          <cell r="L429">
            <v>0</v>
          </cell>
          <cell r="M429">
            <v>0</v>
          </cell>
          <cell r="N429">
            <v>0</v>
          </cell>
          <cell r="O429">
            <v>0</v>
          </cell>
        </row>
        <row r="430">
          <cell r="A430" t="str">
            <v xml:space="preserve">  Other</v>
          </cell>
          <cell r="E430">
            <v>0</v>
          </cell>
          <cell r="F430">
            <v>0</v>
          </cell>
          <cell r="G430">
            <v>0</v>
          </cell>
          <cell r="H430">
            <v>0</v>
          </cell>
          <cell r="I430">
            <v>0</v>
          </cell>
          <cell r="J430">
            <v>0</v>
          </cell>
          <cell r="K430">
            <v>0</v>
          </cell>
          <cell r="L430">
            <v>0</v>
          </cell>
          <cell r="M430">
            <v>0</v>
          </cell>
          <cell r="N430">
            <v>0</v>
          </cell>
          <cell r="O430">
            <v>0</v>
          </cell>
        </row>
        <row r="431">
          <cell r="A431" t="str">
            <v xml:space="preserve">  Clubhouse</v>
          </cell>
          <cell r="E431">
            <v>0</v>
          </cell>
          <cell r="F431">
            <v>0</v>
          </cell>
          <cell r="G431">
            <v>0</v>
          </cell>
          <cell r="H431">
            <v>0</v>
          </cell>
          <cell r="I431">
            <v>0</v>
          </cell>
          <cell r="J431">
            <v>0</v>
          </cell>
          <cell r="K431">
            <v>0</v>
          </cell>
          <cell r="L431">
            <v>0</v>
          </cell>
          <cell r="M431">
            <v>0</v>
          </cell>
          <cell r="N431">
            <v>0</v>
          </cell>
          <cell r="O431">
            <v>0</v>
          </cell>
        </row>
        <row r="432">
          <cell r="A432" t="str">
            <v>Total Culture/Entertainment (C3)</v>
          </cell>
          <cell r="E432">
            <v>1100694.1295442509</v>
          </cell>
          <cell r="F432">
            <v>0</v>
          </cell>
          <cell r="G432">
            <v>733796.08636283397</v>
          </cell>
          <cell r="H432">
            <v>366898.04318141699</v>
          </cell>
          <cell r="I432">
            <v>0</v>
          </cell>
          <cell r="J432">
            <v>0</v>
          </cell>
          <cell r="K432">
            <v>0</v>
          </cell>
          <cell r="L432">
            <v>0</v>
          </cell>
          <cell r="M432">
            <v>0</v>
          </cell>
          <cell r="N432">
            <v>0</v>
          </cell>
          <cell r="O432">
            <v>0</v>
          </cell>
        </row>
        <row r="434">
          <cell r="A434" t="str">
            <v>Education/Scientific (C6)</v>
          </cell>
        </row>
        <row r="435">
          <cell r="A435" t="str">
            <v xml:space="preserve">  Executive Education</v>
          </cell>
          <cell r="E435">
            <v>0</v>
          </cell>
          <cell r="F435">
            <v>0</v>
          </cell>
          <cell r="G435">
            <v>0</v>
          </cell>
          <cell r="H435">
            <v>0</v>
          </cell>
          <cell r="I435">
            <v>0</v>
          </cell>
          <cell r="J435">
            <v>0</v>
          </cell>
          <cell r="K435">
            <v>0</v>
          </cell>
          <cell r="L435">
            <v>0</v>
          </cell>
          <cell r="M435">
            <v>0</v>
          </cell>
          <cell r="N435">
            <v>0</v>
          </cell>
          <cell r="O435">
            <v>0</v>
          </cell>
        </row>
        <row r="436">
          <cell r="A436" t="str">
            <v xml:space="preserve">  Day Care Center</v>
          </cell>
          <cell r="E436">
            <v>0</v>
          </cell>
          <cell r="F436">
            <v>0</v>
          </cell>
          <cell r="G436">
            <v>0</v>
          </cell>
          <cell r="H436">
            <v>0</v>
          </cell>
          <cell r="I436">
            <v>0</v>
          </cell>
          <cell r="J436">
            <v>0</v>
          </cell>
          <cell r="K436">
            <v>0</v>
          </cell>
          <cell r="L436">
            <v>0</v>
          </cell>
          <cell r="M436">
            <v>0</v>
          </cell>
          <cell r="N436">
            <v>0</v>
          </cell>
          <cell r="O436">
            <v>0</v>
          </cell>
        </row>
        <row r="437">
          <cell r="A437" t="str">
            <v xml:space="preserve">  Surplus</v>
          </cell>
          <cell r="E437">
            <v>0</v>
          </cell>
          <cell r="F437">
            <v>0</v>
          </cell>
          <cell r="G437">
            <v>0</v>
          </cell>
          <cell r="H437">
            <v>0</v>
          </cell>
          <cell r="I437">
            <v>0</v>
          </cell>
          <cell r="J437">
            <v>0</v>
          </cell>
          <cell r="K437">
            <v>0</v>
          </cell>
          <cell r="L437">
            <v>0</v>
          </cell>
          <cell r="M437">
            <v>0</v>
          </cell>
          <cell r="N437">
            <v>0</v>
          </cell>
          <cell r="O437">
            <v>0</v>
          </cell>
        </row>
        <row r="438">
          <cell r="A438" t="str">
            <v>Total Education/Scientific (C6)</v>
          </cell>
          <cell r="E438">
            <v>0</v>
          </cell>
          <cell r="F438">
            <v>0</v>
          </cell>
          <cell r="G438">
            <v>0</v>
          </cell>
          <cell r="H438">
            <v>0</v>
          </cell>
          <cell r="I438">
            <v>0</v>
          </cell>
          <cell r="J438">
            <v>0</v>
          </cell>
          <cell r="K438">
            <v>0</v>
          </cell>
          <cell r="L438">
            <v>0</v>
          </cell>
          <cell r="M438">
            <v>0</v>
          </cell>
          <cell r="N438">
            <v>0</v>
          </cell>
          <cell r="O438">
            <v>0</v>
          </cell>
        </row>
        <row r="440">
          <cell r="A440" t="str">
            <v>Support Services</v>
          </cell>
        </row>
        <row r="441">
          <cell r="A441" t="str">
            <v xml:space="preserve">  Parking (S2)</v>
          </cell>
          <cell r="E441">
            <v>8560954.3408997282</v>
          </cell>
          <cell r="F441">
            <v>0</v>
          </cell>
          <cell r="G441">
            <v>5707302.8939331518</v>
          </cell>
          <cell r="H441">
            <v>2853651.4469665759</v>
          </cell>
          <cell r="I441">
            <v>0</v>
          </cell>
          <cell r="J441">
            <v>0</v>
          </cell>
          <cell r="K441">
            <v>0</v>
          </cell>
          <cell r="L441">
            <v>0</v>
          </cell>
          <cell r="M441">
            <v>0</v>
          </cell>
          <cell r="N441">
            <v>0</v>
          </cell>
          <cell r="O441">
            <v>0</v>
          </cell>
        </row>
        <row r="442">
          <cell r="A442" t="str">
            <v xml:space="preserve">  Utilities (U1)</v>
          </cell>
          <cell r="E442">
            <v>9906247.1658982579</v>
          </cell>
          <cell r="F442">
            <v>0</v>
          </cell>
          <cell r="G442">
            <v>6604164.7772655049</v>
          </cell>
          <cell r="H442">
            <v>3302082.3886327525</v>
          </cell>
          <cell r="I442">
            <v>0</v>
          </cell>
          <cell r="J442">
            <v>0</v>
          </cell>
          <cell r="K442">
            <v>0</v>
          </cell>
          <cell r="L442">
            <v>0</v>
          </cell>
          <cell r="M442">
            <v>0</v>
          </cell>
          <cell r="N442">
            <v>0</v>
          </cell>
          <cell r="O442">
            <v>0</v>
          </cell>
        </row>
        <row r="443">
          <cell r="A443" t="str">
            <v xml:space="preserve">  Public Green Space (G1)</v>
          </cell>
          <cell r="E443">
            <v>843865.49931725883</v>
          </cell>
          <cell r="F443">
            <v>0</v>
          </cell>
          <cell r="G443">
            <v>562576.99954483926</v>
          </cell>
          <cell r="H443">
            <v>281288.49977241963</v>
          </cell>
          <cell r="I443">
            <v>0</v>
          </cell>
          <cell r="J443">
            <v>0</v>
          </cell>
          <cell r="K443">
            <v>0</v>
          </cell>
          <cell r="L443">
            <v>0</v>
          </cell>
          <cell r="M443">
            <v>0</v>
          </cell>
          <cell r="N443">
            <v>0</v>
          </cell>
          <cell r="O443">
            <v>0</v>
          </cell>
        </row>
        <row r="444">
          <cell r="A444" t="str">
            <v xml:space="preserve">  Setback Green Space (G2) </v>
          </cell>
          <cell r="E444">
            <v>0</v>
          </cell>
          <cell r="F444">
            <v>0</v>
          </cell>
          <cell r="G444">
            <v>0</v>
          </cell>
          <cell r="H444">
            <v>0</v>
          </cell>
          <cell r="I444">
            <v>0</v>
          </cell>
          <cell r="J444">
            <v>0</v>
          </cell>
          <cell r="K444">
            <v>0</v>
          </cell>
          <cell r="L444">
            <v>0</v>
          </cell>
          <cell r="M444">
            <v>0</v>
          </cell>
          <cell r="N444">
            <v>0</v>
          </cell>
          <cell r="O444">
            <v>0</v>
          </cell>
        </row>
        <row r="445">
          <cell r="A445" t="str">
            <v>Total Support Services</v>
          </cell>
          <cell r="E445">
            <v>19311067.006115243</v>
          </cell>
          <cell r="F445">
            <v>0</v>
          </cell>
          <cell r="G445">
            <v>12874044.670743495</v>
          </cell>
          <cell r="H445">
            <v>6437022.3353717476</v>
          </cell>
          <cell r="I445">
            <v>0</v>
          </cell>
          <cell r="J445">
            <v>0</v>
          </cell>
          <cell r="K445">
            <v>0</v>
          </cell>
          <cell r="L445">
            <v>0</v>
          </cell>
          <cell r="M445">
            <v>0</v>
          </cell>
          <cell r="N445">
            <v>0</v>
          </cell>
          <cell r="O445">
            <v>0</v>
          </cell>
        </row>
        <row r="447">
          <cell r="A447" t="str">
            <v>TOTAL CONSTRUCTION COSTS</v>
          </cell>
          <cell r="E447">
            <v>62409357.145159021</v>
          </cell>
          <cell r="F447">
            <v>0</v>
          </cell>
          <cell r="G447">
            <v>41606238.096772678</v>
          </cell>
          <cell r="H447">
            <v>20803119.048386339</v>
          </cell>
          <cell r="I447">
            <v>0</v>
          </cell>
          <cell r="J447">
            <v>0</v>
          </cell>
          <cell r="K447">
            <v>0</v>
          </cell>
          <cell r="L447">
            <v>0</v>
          </cell>
          <cell r="M447">
            <v>0</v>
          </cell>
          <cell r="N447">
            <v>0</v>
          </cell>
          <cell r="O447">
            <v>0</v>
          </cell>
        </row>
        <row r="448">
          <cell r="A448" t="str">
            <v>(Per DLS estimate dated 08.04.03)</v>
          </cell>
        </row>
        <row r="450">
          <cell r="A450" t="str">
            <v>Consultant Fees</v>
          </cell>
        </row>
        <row r="451">
          <cell r="A451" t="str">
            <v xml:space="preserve">  Professional / Consultant Fees</v>
          </cell>
          <cell r="C451">
            <v>0.1</v>
          </cell>
          <cell r="D451" t="str">
            <v>Hard Construction</v>
          </cell>
          <cell r="E451">
            <v>6240935.7145159021</v>
          </cell>
          <cell r="F451">
            <v>1560233.9286289755</v>
          </cell>
          <cell r="G451">
            <v>3120467.8572579511</v>
          </cell>
          <cell r="H451">
            <v>1560233.9286289755</v>
          </cell>
          <cell r="I451">
            <v>0</v>
          </cell>
          <cell r="J451">
            <v>0</v>
          </cell>
          <cell r="K451">
            <v>0</v>
          </cell>
          <cell r="L451">
            <v>0</v>
          </cell>
          <cell r="M451">
            <v>0</v>
          </cell>
          <cell r="N451">
            <v>0</v>
          </cell>
          <cell r="O451">
            <v>0</v>
          </cell>
        </row>
        <row r="452">
          <cell r="A452" t="str">
            <v xml:space="preserve">  Government Authority and Utilities</v>
          </cell>
          <cell r="C452">
            <v>0.05</v>
          </cell>
          <cell r="D452" t="str">
            <v>Hard Construction</v>
          </cell>
          <cell r="E452">
            <v>3120467.8572579511</v>
          </cell>
          <cell r="F452">
            <v>780116.96431448776</v>
          </cell>
          <cell r="G452">
            <v>1560233.9286289755</v>
          </cell>
          <cell r="H452">
            <v>780116.96431448776</v>
          </cell>
          <cell r="I452">
            <v>0</v>
          </cell>
          <cell r="J452">
            <v>0</v>
          </cell>
          <cell r="K452">
            <v>0</v>
          </cell>
          <cell r="L452">
            <v>0</v>
          </cell>
          <cell r="M452">
            <v>0</v>
          </cell>
          <cell r="N452">
            <v>0</v>
          </cell>
          <cell r="O452">
            <v>0</v>
          </cell>
        </row>
        <row r="453">
          <cell r="A453" t="str">
            <v xml:space="preserve">  Asset Management Fee</v>
          </cell>
          <cell r="C453">
            <v>0.01</v>
          </cell>
          <cell r="D453" t="str">
            <v>of Capital Invested p.a.</v>
          </cell>
          <cell r="E453">
            <v>700000</v>
          </cell>
          <cell r="F453">
            <v>175000</v>
          </cell>
          <cell r="G453">
            <v>350000</v>
          </cell>
          <cell r="H453">
            <v>175000</v>
          </cell>
          <cell r="I453">
            <v>0</v>
          </cell>
          <cell r="J453">
            <v>0</v>
          </cell>
          <cell r="K453">
            <v>0</v>
          </cell>
          <cell r="L453">
            <v>0</v>
          </cell>
          <cell r="M453">
            <v>0</v>
          </cell>
          <cell r="N453">
            <v>0</v>
          </cell>
          <cell r="O453">
            <v>0</v>
          </cell>
        </row>
        <row r="454">
          <cell r="A454" t="str">
            <v xml:space="preserve">  Leasing/Legal Fees for Big Box </v>
          </cell>
          <cell r="C454">
            <v>2</v>
          </cell>
          <cell r="D454" t="str">
            <v>Months Rent</v>
          </cell>
          <cell r="E454">
            <v>702000</v>
          </cell>
          <cell r="F454">
            <v>0</v>
          </cell>
          <cell r="G454">
            <v>468000</v>
          </cell>
          <cell r="H454">
            <v>234000</v>
          </cell>
          <cell r="I454">
            <v>0</v>
          </cell>
          <cell r="J454">
            <v>0</v>
          </cell>
          <cell r="K454">
            <v>0</v>
          </cell>
          <cell r="L454">
            <v>0</v>
          </cell>
          <cell r="M454">
            <v>0</v>
          </cell>
          <cell r="N454">
            <v>0</v>
          </cell>
          <cell r="O454">
            <v>0</v>
          </cell>
        </row>
        <row r="455">
          <cell r="A455" t="str">
            <v xml:space="preserve">  Project Management</v>
          </cell>
          <cell r="C455">
            <v>0.03</v>
          </cell>
          <cell r="D455" t="str">
            <v>Hard Construction</v>
          </cell>
          <cell r="E455">
            <v>1872280.7143547703</v>
          </cell>
          <cell r="F455">
            <v>468070.17858869256</v>
          </cell>
          <cell r="G455">
            <v>936140.35717738513</v>
          </cell>
          <cell r="H455">
            <v>468070.17858869256</v>
          </cell>
          <cell r="I455">
            <v>0</v>
          </cell>
          <cell r="J455">
            <v>0</v>
          </cell>
          <cell r="K455">
            <v>0</v>
          </cell>
          <cell r="L455">
            <v>0</v>
          </cell>
          <cell r="M455">
            <v>0</v>
          </cell>
          <cell r="N455">
            <v>0</v>
          </cell>
          <cell r="O455">
            <v>0</v>
          </cell>
        </row>
        <row r="456">
          <cell r="A456" t="str">
            <v>Total Consultant Fees</v>
          </cell>
          <cell r="E456">
            <v>12635684.286128623</v>
          </cell>
          <cell r="F456">
            <v>2983421.0715321559</v>
          </cell>
          <cell r="G456">
            <v>6434842.1430643117</v>
          </cell>
          <cell r="H456">
            <v>3217421.0715321559</v>
          </cell>
          <cell r="I456">
            <v>0</v>
          </cell>
          <cell r="J456">
            <v>0</v>
          </cell>
          <cell r="K456">
            <v>0</v>
          </cell>
          <cell r="L456">
            <v>0</v>
          </cell>
          <cell r="M456">
            <v>0</v>
          </cell>
          <cell r="N456">
            <v>0</v>
          </cell>
          <cell r="O456">
            <v>0</v>
          </cell>
        </row>
        <row r="458">
          <cell r="A458" t="str">
            <v>Sub-Total Hard Construction and Consultant Fees</v>
          </cell>
          <cell r="E458">
            <v>75045041.431287646</v>
          </cell>
          <cell r="F458">
            <v>2983421.0715321559</v>
          </cell>
          <cell r="G458">
            <v>48041080.239836998</v>
          </cell>
          <cell r="H458">
            <v>24020540.119918499</v>
          </cell>
          <cell r="I458">
            <v>0</v>
          </cell>
          <cell r="J458">
            <v>0</v>
          </cell>
          <cell r="K458">
            <v>0</v>
          </cell>
          <cell r="L458">
            <v>0</v>
          </cell>
          <cell r="M458">
            <v>0</v>
          </cell>
          <cell r="N458">
            <v>0</v>
          </cell>
          <cell r="O458">
            <v>0</v>
          </cell>
        </row>
        <row r="460">
          <cell r="A460" t="str">
            <v>Contingencies</v>
          </cell>
          <cell r="C460">
            <v>0.1</v>
          </cell>
          <cell r="E460">
            <v>7504504.1431287639</v>
          </cell>
          <cell r="F460">
            <v>0</v>
          </cell>
          <cell r="G460">
            <v>5003002.7620858429</v>
          </cell>
          <cell r="H460">
            <v>2501501.3810429214</v>
          </cell>
          <cell r="I460">
            <v>0</v>
          </cell>
          <cell r="J460">
            <v>0</v>
          </cell>
          <cell r="K460">
            <v>0</v>
          </cell>
          <cell r="L460">
            <v>0</v>
          </cell>
          <cell r="M460">
            <v>0</v>
          </cell>
          <cell r="N460">
            <v>0</v>
          </cell>
          <cell r="O460">
            <v>0</v>
          </cell>
        </row>
        <row r="462">
          <cell r="A462" t="str">
            <v>Construction Interest</v>
          </cell>
          <cell r="E462">
            <v>4480000</v>
          </cell>
          <cell r="F462">
            <v>0</v>
          </cell>
          <cell r="G462">
            <v>1930000</v>
          </cell>
          <cell r="H462">
            <v>2550000</v>
          </cell>
          <cell r="I462">
            <v>0</v>
          </cell>
          <cell r="J462">
            <v>0</v>
          </cell>
          <cell r="K462">
            <v>0</v>
          </cell>
          <cell r="L462">
            <v>0</v>
          </cell>
          <cell r="M462">
            <v>0</v>
          </cell>
          <cell r="N462">
            <v>0</v>
          </cell>
          <cell r="O462">
            <v>0</v>
          </cell>
        </row>
        <row r="463">
          <cell r="A463" t="str">
            <v xml:space="preserve">Interest Reserve and Exp. to Stablized OCC Contingency </v>
          </cell>
          <cell r="C463">
            <v>4</v>
          </cell>
          <cell r="D463" t="str">
            <v>Quarters</v>
          </cell>
          <cell r="E463">
            <v>5800000</v>
          </cell>
          <cell r="F463">
            <v>0</v>
          </cell>
          <cell r="G463">
            <v>0</v>
          </cell>
          <cell r="H463">
            <v>5800000</v>
          </cell>
          <cell r="I463">
            <v>0</v>
          </cell>
          <cell r="J463">
            <v>0</v>
          </cell>
          <cell r="K463">
            <v>0</v>
          </cell>
          <cell r="L463">
            <v>0</v>
          </cell>
          <cell r="M463">
            <v>0</v>
          </cell>
          <cell r="N463">
            <v>0</v>
          </cell>
          <cell r="O463">
            <v>0</v>
          </cell>
        </row>
        <row r="464">
          <cell r="A464" t="str">
            <v>Total Soft Construction Costs</v>
          </cell>
          <cell r="E464">
            <v>30420188.429257385</v>
          </cell>
          <cell r="F464">
            <v>0</v>
          </cell>
          <cell r="G464">
            <v>1930000</v>
          </cell>
          <cell r="H464">
            <v>8350000</v>
          </cell>
          <cell r="I464">
            <v>0</v>
          </cell>
          <cell r="J464">
            <v>0</v>
          </cell>
          <cell r="K464">
            <v>0</v>
          </cell>
          <cell r="L464">
            <v>0</v>
          </cell>
          <cell r="M464">
            <v>0</v>
          </cell>
          <cell r="N464">
            <v>0</v>
          </cell>
          <cell r="O464">
            <v>0</v>
          </cell>
        </row>
        <row r="467">
          <cell r="A467" t="str">
            <v>TOTAL LAND AND CONSTRUCTION COSTS</v>
          </cell>
          <cell r="E467">
            <v>126317497.38164532</v>
          </cell>
          <cell r="F467">
            <v>0</v>
          </cell>
          <cell r="G467">
            <v>43536238.096772678</v>
          </cell>
          <cell r="H467">
            <v>29153119.048386339</v>
          </cell>
          <cell r="I467">
            <v>0</v>
          </cell>
          <cell r="J467">
            <v>0</v>
          </cell>
          <cell r="K467">
            <v>0</v>
          </cell>
          <cell r="L467">
            <v>0</v>
          </cell>
          <cell r="M467">
            <v>0</v>
          </cell>
          <cell r="N467">
            <v>0</v>
          </cell>
          <cell r="O467">
            <v>0</v>
          </cell>
        </row>
        <row r="470">
          <cell r="A470" t="str">
            <v>Equity Contribution</v>
          </cell>
          <cell r="D470">
            <v>0.32831059622296715</v>
          </cell>
          <cell r="E470">
            <v>41471372.878761068</v>
          </cell>
          <cell r="F470">
            <v>36471372.878761068</v>
          </cell>
          <cell r="G470">
            <v>5000000</v>
          </cell>
          <cell r="H470">
            <v>0</v>
          </cell>
          <cell r="I470">
            <v>0</v>
          </cell>
          <cell r="J470">
            <v>0</v>
          </cell>
          <cell r="K470">
            <v>0</v>
          </cell>
          <cell r="L470">
            <v>0</v>
          </cell>
          <cell r="M470">
            <v>0</v>
          </cell>
          <cell r="N470">
            <v>0</v>
          </cell>
          <cell r="O470">
            <v>0</v>
          </cell>
        </row>
        <row r="471">
          <cell r="A471" t="str">
            <v>Less Equity Syndication Fee</v>
          </cell>
          <cell r="C471">
            <v>0</v>
          </cell>
          <cell r="E471">
            <v>0</v>
          </cell>
          <cell r="F471">
            <v>0</v>
          </cell>
          <cell r="G471">
            <v>0</v>
          </cell>
          <cell r="H471">
            <v>0</v>
          </cell>
          <cell r="I471">
            <v>0</v>
          </cell>
          <cell r="J471">
            <v>0</v>
          </cell>
          <cell r="K471">
            <v>0</v>
          </cell>
          <cell r="L471">
            <v>0</v>
          </cell>
          <cell r="M471">
            <v>0</v>
          </cell>
          <cell r="N471">
            <v>0</v>
          </cell>
          <cell r="O471">
            <v>0</v>
          </cell>
        </row>
        <row r="472">
          <cell r="A472" t="str">
            <v>Residential / Three Star Hotel Land Sale</v>
          </cell>
          <cell r="E472">
            <v>0</v>
          </cell>
          <cell r="F472">
            <v>0</v>
          </cell>
          <cell r="G472">
            <v>0</v>
          </cell>
          <cell r="H472">
            <v>0</v>
          </cell>
          <cell r="I472">
            <v>0</v>
          </cell>
          <cell r="J472">
            <v>0</v>
          </cell>
          <cell r="K472">
            <v>0</v>
          </cell>
          <cell r="L472">
            <v>0</v>
          </cell>
          <cell r="M472">
            <v>0</v>
          </cell>
          <cell r="N472">
            <v>0</v>
          </cell>
          <cell r="O472">
            <v>0</v>
          </cell>
        </row>
        <row r="473">
          <cell r="A473" t="str">
            <v>Total Debt Financing</v>
          </cell>
          <cell r="D473">
            <v>0.67168940377703301</v>
          </cell>
          <cell r="E473">
            <v>84846124.502884269</v>
          </cell>
          <cell r="F473">
            <v>0</v>
          </cell>
          <cell r="G473">
            <v>49974083.001922838</v>
          </cell>
          <cell r="H473">
            <v>34872041.500961423</v>
          </cell>
          <cell r="I473">
            <v>0</v>
          </cell>
          <cell r="J473">
            <v>0</v>
          </cell>
          <cell r="K473">
            <v>0</v>
          </cell>
          <cell r="L473">
            <v>0</v>
          </cell>
          <cell r="M473">
            <v>0</v>
          </cell>
          <cell r="N473">
            <v>0</v>
          </cell>
          <cell r="O473">
            <v>0</v>
          </cell>
        </row>
        <row r="477">
          <cell r="A477" t="str">
            <v>Construction Loan Debt Service</v>
          </cell>
        </row>
        <row r="478">
          <cell r="A478" t="str">
            <v xml:space="preserve">    Interest Rate (Annual)</v>
          </cell>
          <cell r="F478">
            <v>0.06</v>
          </cell>
          <cell r="G478">
            <v>0.06</v>
          </cell>
          <cell r="H478">
            <v>0.06</v>
          </cell>
        </row>
        <row r="479">
          <cell r="A479" t="str">
            <v xml:space="preserve">    Term </v>
          </cell>
          <cell r="F479" t="str">
            <v>Interest Only</v>
          </cell>
          <cell r="G479" t="str">
            <v>Interest Only</v>
          </cell>
          <cell r="H479" t="str">
            <v>Interest Only</v>
          </cell>
        </row>
        <row r="480">
          <cell r="A480" t="str">
            <v xml:space="preserve">    Principal Cumulative</v>
          </cell>
          <cell r="F480">
            <v>0</v>
          </cell>
          <cell r="G480">
            <v>49974083.001922838</v>
          </cell>
          <cell r="H480">
            <v>84846124.502884269</v>
          </cell>
        </row>
        <row r="481">
          <cell r="A481" t="str">
            <v xml:space="preserve">    Debt Service (Interest Only)</v>
          </cell>
          <cell r="F481">
            <v>0</v>
          </cell>
          <cell r="G481">
            <v>1743303.1125721065</v>
          </cell>
          <cell r="H481">
            <v>2237718.4238293171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Sheet1"/>
      <sheetName val="Stacking Plan"/>
      <sheetName val="Rent Roll"/>
      <sheetName val="Rent Roll - by Expiry"/>
      <sheetName val="Rental Arrears"/>
      <sheetName val="Management Declarations"/>
      <sheetName val="drivers"/>
      <sheetName val="CASHFLOW"/>
      <sheetName val="9-项目资源"/>
      <sheetName val="8-项目资源"/>
      <sheetName val="2-项目资源"/>
      <sheetName val="初始设置"/>
      <sheetName val="Cash Flow Annual"/>
      <sheetName val="资金计划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C2">
            <v>0.63069699999999995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始设置"/>
      <sheetName val="目录"/>
      <sheetName val="费用编制指导"/>
      <sheetName val="费用汇总表"/>
      <sheetName val="1.01-广告宣传费"/>
      <sheetName val="1.02-推广活动费"/>
      <sheetName val="1.03-市场调研咨询费"/>
      <sheetName val="1.04-标识导视、封铺物料"/>
      <sheetName val="1.05-停车券费用"/>
      <sheetName val="1.06-招商佣金"/>
      <sheetName val="1.07-会员活动费"/>
      <sheetName val="1.08-其他市场发展费用"/>
      <sheetName val="2.01-办公用品及消耗"/>
      <sheetName val="2.02-办公室供应"/>
      <sheetName val="2.03-报刊杂志费"/>
      <sheetName val="2.04-低值易耗品"/>
      <sheetName val="2.05-市内电话费"/>
      <sheetName val="2.06-长途电话费"/>
      <sheetName val="2.07-移动通讯费"/>
      <sheetName val="2.08-网络通讯费"/>
      <sheetName val="2.09-邮寄费"/>
      <sheetName val="2.10-境内差旅费"/>
      <sheetName val="2.11-境外差旅费"/>
      <sheetName val="2.12-市内交通费"/>
      <sheetName val="2.13-运杂费"/>
      <sheetName val="2.14-汽车费用"/>
      <sheetName val="2.15-会议费"/>
      <sheetName val="2.16-招待费"/>
      <sheetName val="2.17-会员费"/>
      <sheetName val="2.18-开办及登记费"/>
      <sheetName val="2.19-设备维修费"/>
      <sheetName val="2.20-晒图及印刷费"/>
      <sheetName val="2.21-其他营运费用"/>
      <sheetName val="3.01-审计费"/>
      <sheetName val="3.02-常年法律顾问费"/>
      <sheetName val="3.03-法律专案咨询费"/>
      <sheetName val="3.04-司法诉讼费"/>
      <sheetName val="3.05-税务咨询顾问费"/>
      <sheetName val="3.06-评估及咨询费"/>
      <sheetName val="3.07-其他咨询服务费"/>
      <sheetName val="4.01-职工薪金"/>
      <sheetName val="4.02-顾问费"/>
      <sheetName val="4.03-劳务费"/>
      <sheetName val="4.04-三项经费"/>
      <sheetName val="4.05-公积金款项"/>
      <sheetName val="4.06-员工社保费"/>
      <sheetName val="4.07-员工商业保险费"/>
      <sheetName val="4.08-员工活动费"/>
      <sheetName val="4.09-员工食堂费"/>
      <sheetName val="4.10-加班餐费"/>
      <sheetName val="4.11-员工培训费"/>
      <sheetName val="4.12-员工招聘费"/>
      <sheetName val="4.13-异地生活补贴"/>
      <sheetName val="4.14-其他人力资源费用"/>
      <sheetName val="5.03-租金"/>
      <sheetName val="5.04-水电汽暖费"/>
      <sheetName val="5.05-办公场所物业管理费"/>
      <sheetName val="5.07房屋维修及改良"/>
      <sheetName val="5.08-资产保险"/>
      <sheetName val="5.09-税项"/>
      <sheetName val="6.02-物业费补贴"/>
      <sheetName val="6.03-晶面护理"/>
      <sheetName val="6.04-物业清洁用品"/>
      <sheetName val="6.05-其他物业费"/>
      <sheetName val="7.01-银行手续费"/>
      <sheetName val="7.02-金融机构借款利息"/>
      <sheetName val="7.03-公司借款利息"/>
      <sheetName val="7.04-银行利息收入"/>
      <sheetName val="8.01-调商补偿"/>
      <sheetName val="固定资产"/>
      <sheetName val="部门人数预计"/>
      <sheetName val="固定资产 (w)"/>
      <sheetName val="费用汇总表 (万)"/>
      <sheetName val="Base Case"/>
      <sheetName val="8-项目资源"/>
      <sheetName val="C"/>
      <sheetName val="Control"/>
      <sheetName val="Xaxis"/>
      <sheetName val="B"/>
      <sheetName val="A"/>
      <sheetName val="资金计划 "/>
      <sheetName val="Detail"/>
      <sheetName val="CC"/>
      <sheetName val="Report"/>
      <sheetName val="Office only L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资源"/>
      <sheetName val="商务区销售计划表"/>
      <sheetName val="内部收益率(销售物业） "/>
      <sheetName val="整体收益率（资金占用）"/>
      <sheetName val="分产品收益测算(销售物业）"/>
      <sheetName val="分年度效益分析（销售物业）"/>
      <sheetName val="资金计划 "/>
      <sheetName val="成本分摊"/>
      <sheetName val="土增计算"/>
      <sheetName val="开发成本汇总表"/>
      <sheetName val="成本部09年度预算"/>
      <sheetName val="成本部数据"/>
      <sheetName val="成本基础底稿"/>
      <sheetName val="营销部2009年度预算"/>
      <sheetName val="收入结转表"/>
      <sheetName val="开发间接费及管理费"/>
      <sheetName val="分年度效益分析 (持有物业)"/>
      <sheetName val="分产品收益测算(持有物业）"/>
      <sheetName val="假设"/>
      <sheetName val="持有40年现金流"/>
      <sheetName val="持有20年出售"/>
      <sheetName val="硅谷亮城（续租为主4%）"/>
      <sheetName val="基础工程量估算"/>
      <sheetName val="SW-TEO"/>
      <sheetName val="B—3项目资源"/>
      <sheetName val="Financ. Overview"/>
      <sheetName val="Toolbox"/>
      <sheetName val="4.3.给排水 "/>
      <sheetName val="5.5.专业预留预埋"/>
      <sheetName val="#REF"/>
      <sheetName val="经营计划底稿模板"/>
      <sheetName val="Hic_150EOffice"/>
      <sheetName val="B-1规划指标"/>
      <sheetName val="6-项目资源分判"/>
      <sheetName val="10-成本计划"/>
      <sheetName val="核心结果呈现"/>
      <sheetName val="15-分期土地增值税"/>
      <sheetName val="内部收益率(销售物业）_"/>
      <sheetName val="资金计划_"/>
      <sheetName val="分年度效益分析_(持有物业)"/>
      <sheetName val="Financ__Overview"/>
      <sheetName val="4_3_给排水_"/>
      <sheetName val="5_5_专业预留预埋"/>
      <sheetName val="Sheet9"/>
      <sheetName val="D0026B3"/>
      <sheetName val="雨棚"/>
      <sheetName val="Sheet1"/>
      <sheetName val="材料"/>
      <sheetName val="11.1措施费清单明细"/>
      <sheetName val="预算封面"/>
      <sheetName val="Mp-team 1"/>
      <sheetName val="目录"/>
      <sheetName val="参数表"/>
      <sheetName val="General"/>
      <sheetName val="CC"/>
      <sheetName val="Report"/>
      <sheetName val="CASHFLOW"/>
      <sheetName val="Office only Letup"/>
      <sheetName val="C"/>
      <sheetName val="Control"/>
      <sheetName val="Xaxis"/>
      <sheetName val="B"/>
      <sheetName val="A"/>
      <sheetName val="2-项目资源"/>
      <sheetName val="初始设置"/>
      <sheetName val="Base Case"/>
      <sheetName val="Detail"/>
      <sheetName val="15.其他项目"/>
      <sheetName val="建造成本科目定义表(CHB-KMDY)"/>
      <sheetName val="本期基础设施费明细表（KF-4）"/>
      <sheetName val="数据定义2"/>
      <sheetName val="Cash Flow Annual"/>
      <sheetName val="8-项目资源"/>
      <sheetName val="BS"/>
      <sheetName val="for disclosure"/>
      <sheetName val="出租率&amp;空置监控"/>
      <sheetName val="租户表RR"/>
      <sheetName val="Sheet2"/>
      <sheetName val="基本数据"/>
      <sheetName val="梁墙"/>
      <sheetName val="六.构造柱"/>
      <sheetName val="九.楼梯"/>
      <sheetName val="十八.门窗表,门框塞缝"/>
      <sheetName val="台阶"/>
      <sheetName val="门窗表"/>
      <sheetName val="厨厕通用"/>
      <sheetName val="地坪"/>
      <sheetName val="A8独立基础 "/>
      <sheetName val="4.基础梁拉梁"/>
      <sheetName val="3.基础梁"/>
      <sheetName val="主要规划指标"/>
      <sheetName val="12.乙供材料清单 "/>
    </sheetNames>
    <sheetDataSet>
      <sheetData sheetId="0">
        <row r="42">
          <cell r="C42">
            <v>5.1000000000000004E-2</v>
          </cell>
        </row>
      </sheetData>
      <sheetData sheetId="1"/>
      <sheetData sheetId="2"/>
      <sheetData sheetId="3"/>
      <sheetData sheetId="4"/>
      <sheetData sheetId="5"/>
      <sheetData sheetId="6" refreshError="1">
        <row r="42">
          <cell r="C42">
            <v>5.1000000000000004E-2</v>
          </cell>
        </row>
        <row r="43">
          <cell r="C43">
            <v>3.5000000000000003E-2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000000"/>
      <sheetName val="100000"/>
      <sheetName val="200000"/>
      <sheetName val="VARIENCE"/>
      <sheetName val="Exe Sum"/>
      <sheetName val="CASHFLOW"/>
      <sheetName val="Budget vs Actual"/>
      <sheetName val="BASE RENTAL"/>
      <sheetName val="CAR PARK"/>
      <sheetName val="RATES REC."/>
      <sheetName val="MG FEE REC."/>
      <sheetName val="LEASING FEES"/>
      <sheetName val="SDP - Retail"/>
      <sheetName val="SDP - Office"/>
      <sheetName val="Light Box Deposit"/>
      <sheetName val="CPS"/>
      <sheetName val="Stacking Plan"/>
      <sheetName val="Leasing Management"/>
      <sheetName val="Base Case"/>
      <sheetName val="交一公水"/>
      <sheetName val="2-项目资源"/>
      <sheetName val="8-项目资源"/>
      <sheetName val="CC"/>
      <sheetName val="Report"/>
      <sheetName val="出租率&amp;空置监控"/>
      <sheetName val="Office only Letup"/>
      <sheetName val="Cash Flow Annual"/>
      <sheetName val="C"/>
      <sheetName val="Control"/>
      <sheetName val="Xaxis"/>
      <sheetName val="B"/>
      <sheetName val="A"/>
      <sheetName val="9.1-9.3"/>
      <sheetName val="8.3"/>
      <sheetName val="7.1.2 Daily Traffic &amp; Turnover"/>
      <sheetName val="8.4"/>
      <sheetName val="Insurance"/>
      <sheetName val="Cover"/>
      <sheetName val="Assumptions"/>
      <sheetName val="Property Model Outputs"/>
      <sheetName val="WFOE"/>
      <sheetName val="New BPG Model Outputs"/>
      <sheetName val="Mauritius Co Tfr + New Mortgage"/>
      <sheetName val="SH Loan Facility Limit 22 Jun"/>
      <sheetName val="0.0ControlSheet"/>
      <sheetName val="Rental Schedule updated to 1Jun"/>
      <sheetName val="Assumptions and Sensitivities"/>
      <sheetName val="BE"/>
      <sheetName val="MatMan"/>
      <sheetName val="FF-6"/>
      <sheetName val="A3 &amp; U 09-01"/>
      <sheetName val="ARP"/>
      <sheetName val="5.基础档案"/>
      <sheetName val="3-1-1现金"/>
      <sheetName val="3-1-2银存"/>
      <sheetName val="3-1-3其他货币"/>
      <sheetName val="10-1长借"/>
      <sheetName val="10-2应付债券"/>
      <sheetName val="10-3长期应付款"/>
      <sheetName val="10-4住房周转金"/>
      <sheetName val="10-5其他长期负债"/>
      <sheetName val="10-6递延税款贷项"/>
      <sheetName val="3-10存货汇总"/>
      <sheetName val="3-10-10委托代销"/>
      <sheetName val="3-10-11受托代销"/>
      <sheetName val="3-10-2材料采购"/>
      <sheetName val="3-10-3在库低值"/>
      <sheetName val="3-10-4包装物"/>
      <sheetName val="3-10-5委托加工"/>
      <sheetName val="3-10-7在产品"/>
      <sheetName val="3-10-8分期发出"/>
      <sheetName val="3-10-9在用低值"/>
      <sheetName val="3-11待摊"/>
      <sheetName val="3-12待处理流损"/>
      <sheetName val="3-13一年长债"/>
      <sheetName val="3-14其他流资"/>
      <sheetName val="3-2短投汇总"/>
      <sheetName val="3-3应收票据"/>
      <sheetName val="3-4应收帐"/>
      <sheetName val="3-5应收股利"/>
      <sheetName val="3-6应收利息"/>
      <sheetName val="3-7预付帐款"/>
      <sheetName val="3-8应收补贴"/>
      <sheetName val="3-9其他应收"/>
      <sheetName val="长投汇总"/>
      <sheetName val="固定汇总"/>
      <sheetName val="5-1-1房建"/>
      <sheetName val="5-1-2构筑"/>
      <sheetName val="5-1-3管沟"/>
      <sheetName val="5-2-1机器设备"/>
      <sheetName val="5-2-2车辆"/>
      <sheetName val="5-2-3电子设备"/>
      <sheetName val="5-3工程物资"/>
      <sheetName val="5-4-1在建土建"/>
      <sheetName val="5-4-2在建安装"/>
      <sheetName val="5-5固定清理"/>
      <sheetName val="5-6待处理固定损失"/>
      <sheetName val="6-1土地"/>
      <sheetName val="6-2其他无形"/>
      <sheetName val="7-1开办费"/>
      <sheetName val="7-2长期待摊"/>
      <sheetName val="8-1其他长期"/>
      <sheetName val="8-2递税借项"/>
      <sheetName val="9-1短期借款"/>
      <sheetName val="9-10应付利润"/>
      <sheetName val="9-11其他应交"/>
      <sheetName val="9-13一年内长债"/>
      <sheetName val="9-14其他流负"/>
      <sheetName val="9-2应付票据"/>
      <sheetName val="9-3应付帐款"/>
      <sheetName val="9-4预收帐款"/>
      <sheetName val="9-5代销商品款"/>
      <sheetName val="9-6其他应付款"/>
      <sheetName val="9-7应付工资"/>
      <sheetName val="9-8应付福利费"/>
      <sheetName val="9-9应交税金"/>
      <sheetName val="9-12预提"/>
      <sheetName val="CA_new"/>
      <sheetName val="以前年度损益调整"/>
      <sheetName val="资金计划 "/>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ase"/>
      <sheetName val="Rent Roll 071108 Updated"/>
      <sheetName val="Horizontal"/>
      <sheetName val="Stacking Plan"/>
      <sheetName val="初始设置"/>
      <sheetName val="8-项目资源"/>
      <sheetName val="CC"/>
      <sheetName val="Report"/>
      <sheetName val="资金计划 "/>
      <sheetName val="C"/>
      <sheetName val="Control"/>
      <sheetName val="Xaxis"/>
      <sheetName val="B"/>
      <sheetName val="A"/>
      <sheetName val="Detail"/>
      <sheetName val="drivers"/>
      <sheetName val="Cash Flow Annual"/>
      <sheetName val="CASHFLOW"/>
      <sheetName val="2-项目资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CC"/>
      <sheetName val="资金计划 "/>
      <sheetName val="Office only Letup"/>
      <sheetName val="8-项目资源"/>
      <sheetName val="CASHFLOW"/>
      <sheetName val="Detail"/>
      <sheetName val="Base Case"/>
      <sheetName val="2-项目资源"/>
    </sheetNames>
    <sheetDataSet>
      <sheetData sheetId="0" refreshError="1">
        <row r="2">
          <cell r="B2">
            <v>1</v>
          </cell>
        </row>
      </sheetData>
      <sheetData sheetId="1" refreshError="1">
        <row r="4">
          <cell r="D4" t="str">
            <v>Q1_x000D_01</v>
          </cell>
          <cell r="E4" t="str">
            <v>Q2</v>
          </cell>
          <cell r="F4" t="str">
            <v>Q3</v>
          </cell>
          <cell r="G4" t="str">
            <v>Q4</v>
          </cell>
          <cell r="H4" t="str">
            <v>Q1_x000D_02</v>
          </cell>
        </row>
        <row r="5">
          <cell r="D5">
            <v>667</v>
          </cell>
          <cell r="E5">
            <v>483</v>
          </cell>
          <cell r="F5">
            <v>678</v>
          </cell>
          <cell r="G5">
            <v>620</v>
          </cell>
          <cell r="H5">
            <v>825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sheetName val="SampleData"/>
      <sheetName val="资金计划 "/>
      <sheetName val="Detail"/>
      <sheetName val="Office only Letup"/>
      <sheetName val="出租率&amp;空置监控"/>
      <sheetName val="Base Case"/>
      <sheetName val="9-项目资源"/>
      <sheetName val="Cash Flow Annual"/>
      <sheetName val="CC"/>
      <sheetName val="Report"/>
    </sheetNames>
    <definedNames>
      <definedName name="DataNums"/>
      <definedName name="DataText"/>
      <definedName name="DataYr"/>
      <definedName name="DescQtr"/>
      <definedName name="DescText"/>
      <definedName name="DescYr"/>
      <definedName name="Name"/>
      <definedName name="Quarter"/>
      <definedName name="Year"/>
      <definedName name="Year_End"/>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only Letup"/>
      <sheetName val="Retail Letup"/>
      <sheetName val="Retail Rent Review "/>
      <sheetName val="Twr&amp;Rtl Letup"/>
      <sheetName val="Retail Letup "/>
      <sheetName val="Tower Rent Review"/>
      <sheetName val="Tower Option"/>
      <sheetName val="LREG_SPACE"/>
      <sheetName val="Retail Option"/>
      <sheetName val="drivers"/>
      <sheetName val="2-项目资源"/>
      <sheetName val="Detail"/>
      <sheetName val="C"/>
      <sheetName val="Control"/>
      <sheetName val="Xaxis"/>
      <sheetName val="B"/>
      <sheetName va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Sheet1"/>
      <sheetName val="Detail"/>
      <sheetName val="Assumption1"/>
      <sheetName val="Assumption2"/>
      <sheetName val="Cashflow"/>
      <sheetName val="SA1"/>
      <sheetName val="SA2"/>
      <sheetName val="SA3"/>
      <sheetName val="楼栋"/>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0-测算汇总"/>
      <sheetName val="敏感性分析"/>
      <sheetName val="1-项目信息"/>
      <sheetName val="2-项目资源"/>
      <sheetName val="3-成本计划（含税）"/>
      <sheetName val="4-销售计划（含税）"/>
      <sheetName val="5-销售现金流（含税）"/>
      <sheetName val="6-销售损益表"/>
      <sheetName val="7-土增测算（不含税）"/>
      <sheetName val="8-租金预测"/>
      <sheetName val="9-持有运营计划"/>
      <sheetName val="10-持有现金流"/>
      <sheetName val="11-持有损益表"/>
      <sheetName val="附-租户明细"/>
      <sheetName val="CASHFLOW"/>
      <sheetName val="Cash Flow Annual"/>
      <sheetName val="drivers"/>
      <sheetName val="CC"/>
      <sheetName val="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Highlight"/>
      <sheetName val="Summary"/>
      <sheetName val="Cash Flow Annual"/>
      <sheetName val="Cash Flow Quarterly"/>
      <sheetName val="General Assumptions"/>
      <sheetName val="Rental Projections"/>
      <sheetName val="Cost Calculation"/>
      <sheetName val="Financing"/>
      <sheetName val="Original Vs Latest"/>
      <sheetName val="drivers"/>
      <sheetName val="资金计划 "/>
      <sheetName val="8-项目资源"/>
      <sheetName val="Office only Letup"/>
      <sheetName val="CASHFLOW"/>
      <sheetName val="2-项目资源"/>
      <sheetName val="Detail"/>
      <sheetName val="租金 押金 物业费收费明细表"/>
      <sheetName val="租赁台账-W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估价对象为北京市房地产，为所有。根据《国有土地使用证》[]，估价对象（分摊）出让国有建设用地使用权面积为10186.06平方米，建筑面积为34740.85平方米。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估价对象为北京市房地产,属开发建设的，该项目尚在开发建设中。根据《国有土地使用证》[]，估价对象（分摊）出让国有建设用地使用权面积为10186.06平方米，规划建筑面积为34740.85平方米。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2023年8月14日（评估专业人员实地查勘之日）</v>
      </c>
    </row>
    <row r="13" spans="1:2" s="1202" customFormat="1">
      <c r="A13" s="1200" t="s">
        <v>529</v>
      </c>
      <c r="B13" s="1201" t="str">
        <f>'预评函-1'!A18</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95801</v>
      </c>
    </row>
    <row r="21" spans="1:2" s="1202" customFormat="1">
      <c r="A21" s="1200" t="s">
        <v>537</v>
      </c>
      <c r="B21" s="1201">
        <f ca="1">'预评函-2'!D7</f>
        <v>27576</v>
      </c>
    </row>
    <row r="22" spans="1:2" s="1202" customFormat="1">
      <c r="A22" s="1200" t="s">
        <v>538</v>
      </c>
      <c r="B22" s="1201" t="str">
        <f ca="1">'预评函-2'!D6</f>
        <v>玖亿伍仟捌佰零壹万元整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95801</v>
      </c>
    </row>
    <row r="31" spans="1:2" s="1202" customFormat="1">
      <c r="A31" s="1200" t="s">
        <v>576</v>
      </c>
      <c r="B31" s="1201">
        <f ca="1">'预评函-2'!D15</f>
        <v>27576</v>
      </c>
    </row>
    <row r="32" spans="1:2" s="1202" customFormat="1">
      <c r="A32" s="1200" t="s">
        <v>543</v>
      </c>
      <c r="B32" s="1201" t="str">
        <f ca="1">'预评函-2'!D14</f>
        <v>玖亿伍仟捌佰零壹万元整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68222</v>
      </c>
    </row>
    <row r="39" spans="1:2" s="1202" customFormat="1">
      <c r="A39" s="1200" t="s">
        <v>545</v>
      </c>
      <c r="B39" s="1201">
        <f ca="1">'预评函-2'!D21</f>
        <v>19637</v>
      </c>
    </row>
    <row r="40" spans="1:2" s="1202" customFormat="1">
      <c r="A40" s="1200" t="s">
        <v>546</v>
      </c>
      <c r="B40" s="1201" t="str">
        <f ca="1">'预评函-2'!D20</f>
        <v>陆亿捌仟贰佰贰拾贰万元整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34740.85</v>
      </c>
    </row>
    <row r="44" spans="1:2" s="1202" customFormat="1">
      <c r="A44" s="1200" t="s">
        <v>575</v>
      </c>
      <c r="B44" s="1201" t="str">
        <f>'预评函-3'!C2</f>
        <v>(分摊)土地面积</v>
      </c>
    </row>
    <row r="45" spans="1:2" s="1202" customFormat="1">
      <c r="A45" s="1200" t="s">
        <v>547</v>
      </c>
      <c r="B45" s="1201">
        <f>'预评函-3'!C4</f>
        <v>10186.06</v>
      </c>
    </row>
    <row r="46" spans="1:2" s="1202" customFormat="1">
      <c r="A46" s="1200" t="s">
        <v>573</v>
      </c>
      <c r="B46" s="1201" t="str">
        <f>'预评函-3'!D2</f>
        <v>出让国有建设用地使用权价值</v>
      </c>
    </row>
    <row r="47" spans="1:2" s="1202" customFormat="1">
      <c r="A47" s="1200" t="s">
        <v>548</v>
      </c>
      <c r="B47" s="1201">
        <f ca="1">'预评函-3'!D4</f>
        <v>76066</v>
      </c>
    </row>
    <row r="48" spans="1:2" s="1202" customFormat="1">
      <c r="A48" s="1200" t="s">
        <v>549</v>
      </c>
      <c r="B48" s="1201">
        <f ca="1">'预评函-3'!E4</f>
        <v>21895</v>
      </c>
    </row>
    <row r="49" spans="1:2" s="1202" customFormat="1">
      <c r="A49" s="1200" t="s">
        <v>550</v>
      </c>
      <c r="B49" s="1201" t="str">
        <f ca="1">'预评函-3'!D5</f>
        <v>柒亿陆仟零陆拾陆万元整</v>
      </c>
    </row>
    <row r="50" spans="1:2" s="1202" customFormat="1">
      <c r="A50" s="1200" t="s">
        <v>574</v>
      </c>
      <c r="B50" s="1201" t="str">
        <f>'预评函-3'!F2</f>
        <v>在建建筑物价值</v>
      </c>
    </row>
    <row r="51" spans="1:2" s="1202" customFormat="1">
      <c r="A51" s="1200" t="s">
        <v>551</v>
      </c>
      <c r="B51" s="1201">
        <f ca="1">'预评函-3'!F4</f>
        <v>19735</v>
      </c>
    </row>
    <row r="52" spans="1:2" s="1202" customFormat="1">
      <c r="A52" s="1200" t="s">
        <v>552</v>
      </c>
      <c r="B52" s="1201">
        <f ca="1">'预评函-3'!G4</f>
        <v>5681</v>
      </c>
    </row>
    <row r="53" spans="1:2" s="1202" customFormat="1">
      <c r="A53" s="1200" t="s">
        <v>580</v>
      </c>
      <c r="B53" s="1201" t="str">
        <f ca="1">'预评函-3'!F5</f>
        <v>壹亿玖仟柒佰叁拾伍万元整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3418</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28" t="s">
        <v>2584</v>
      </c>
      <c r="J2" s="3528"/>
      <c r="K2" s="3528"/>
      <c r="L2" s="3528"/>
      <c r="M2" s="3528"/>
      <c r="N2" s="3528"/>
      <c r="O2" s="3528"/>
      <c r="P2" s="3528"/>
      <c r="Q2" s="3528"/>
      <c r="R2" s="3528"/>
    </row>
    <row r="3" spans="1:18">
      <c r="A3" s="3019" t="s">
        <v>2505</v>
      </c>
      <c r="B3" s="3020">
        <f>项目基本情况!D3</f>
        <v>45152</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3.35</v>
      </c>
      <c r="D5" s="3024">
        <f>IF(ISERROR(ROUND(POWER(1+E5,A5-C5)*(POWER(1+E5,C5)-1)/(POWER(1+E5,A5)-1),3)),0,ROUND(POWER(1+E5,A5-C5)*(POWER(1+E5,C5)-1)/(POWER(1+E5,A5)-1),4))</f>
        <v>0.1555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13.35</v>
      </c>
      <c r="D6" s="3024">
        <f>IF(ISERROR(ROUND(POWER(1+E6,A6-C6)*(POWER(1+E6,C6)-1)/(POWER(1+E6,A6)-1),3)),0,ROUND(POWER(1+E6,A6-C6)*(POWER(1+E6,C6)-1)/(POWER(1+E6,A6)-1),4))</f>
        <v>0.47439999999999999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33.369999999999997</v>
      </c>
      <c r="D7" s="3024">
        <f>IF(ISERROR(ROUND(POWER(1+E7,A7-C7)*(POWER(1+E7,C7)-1)/(POWER(1+E7,A7)-1),3)),0,ROUND(POWER(1+E7,A7-C7)*(POWER(1+E7,C7)-1)/(POWER(1+E7,A7)-1),4))</f>
        <v>0.77990000000000004</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I7" sqref="I7"/>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9" t="str">
        <f>IF(B10="北京市","北京市",C10)&amp;F10&amp;IF(结果表!G1="在建","出让国有建设用地使用权及在建建筑物",IF(结果表!G1="土地","出让国有建设用地使用权",))&amp;B9&amp;"预评估"</f>
        <v>北京市房地产抵押价值预评估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45152</v>
      </c>
      <c r="C3" s="2373" t="s">
        <v>2171</v>
      </c>
      <c r="D3" s="2372">
        <v>45152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3379</v>
      </c>
      <c r="C4" s="2375">
        <f ca="1">SUMIF(注册房地产估价师,B4,估价师及机构信息!B3:B24)</f>
        <v>1120070131</v>
      </c>
      <c r="D4" s="2374" t="s">
        <v>3380</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3381</v>
      </c>
      <c r="C8" s="2389"/>
      <c r="D8" s="3532" t="s">
        <v>2177</v>
      </c>
      <c r="E8" s="2390" t="s">
        <v>3382</v>
      </c>
      <c r="F8" s="2391"/>
      <c r="G8" s="2662"/>
      <c r="H8" s="2662"/>
      <c r="I8" s="2662"/>
      <c r="J8" s="2438"/>
      <c r="K8" s="2613"/>
      <c r="L8" s="2612"/>
      <c r="M8" s="2612"/>
      <c r="N8" s="2438"/>
      <c r="O8" s="2449"/>
      <c r="P8" s="2438"/>
      <c r="Q8" s="2438"/>
      <c r="R8" s="2438"/>
    </row>
    <row r="9" spans="1:30" ht="13.5" thickBot="1">
      <c r="A9" s="2392" t="s">
        <v>2178</v>
      </c>
      <c r="B9" s="2393" t="s">
        <v>3382</v>
      </c>
      <c r="C9" s="2394"/>
      <c r="D9" s="3533"/>
      <c r="E9" s="2393" t="s">
        <v>587</v>
      </c>
      <c r="F9" s="2395"/>
      <c r="G9" s="2664"/>
      <c r="H9" s="2664"/>
      <c r="I9" s="2664"/>
      <c r="J9" s="2438"/>
      <c r="K9" s="2615"/>
      <c r="L9" s="2612"/>
      <c r="M9" s="2612"/>
      <c r="N9" s="2438"/>
      <c r="O9" s="2449"/>
      <c r="P9" s="2438"/>
      <c r="Q9" s="2438"/>
      <c r="R9" s="2438"/>
    </row>
    <row r="10" spans="1:30" ht="13.5" thickTop="1">
      <c r="A10" s="2396" t="s">
        <v>2179</v>
      </c>
      <c r="B10" s="2397" t="s">
        <v>3383</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3338</v>
      </c>
      <c r="B13" s="2406" t="s">
        <v>2190</v>
      </c>
      <c r="C13" s="856"/>
      <c r="D13" s="856">
        <v>53332</v>
      </c>
      <c r="E13" s="856"/>
      <c r="F13" s="856">
        <v>56984</v>
      </c>
      <c r="G13" s="856"/>
      <c r="H13" s="856"/>
      <c r="I13" s="856"/>
      <c r="J13" s="3061"/>
      <c r="K13" s="2612"/>
      <c r="L13" s="2612"/>
      <c r="M13" s="2438"/>
      <c r="N13" s="2449"/>
      <c r="O13" s="2438"/>
      <c r="P13" s="2438"/>
      <c r="Q13" s="2438"/>
      <c r="AD13" s="1744"/>
    </row>
    <row r="14" spans="1:30">
      <c r="A14" s="1081"/>
      <c r="B14" s="2406" t="s">
        <v>2191</v>
      </c>
      <c r="C14" s="2407"/>
      <c r="D14" s="2407">
        <v>40</v>
      </c>
      <c r="E14" s="2407"/>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22.41</v>
      </c>
      <c r="E15" s="2409" t="str">
        <f>IF(A13="出让",IF(E13="","",ROUNDDOWN(MIN((E13-$D$3)/365,E14),2)),E14)</f>
        <v/>
      </c>
      <c r="F15" s="2409">
        <f>IF(A13="出让",IF(F13="","",ROUNDDOWN(MIN((F13-$D$3)/365,F14),2)),F14)</f>
        <v>32.409999999999997</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39"/>
      <c r="C16" s="3540"/>
      <c r="D16" s="3541"/>
      <c r="E16" s="2412" t="s">
        <v>2194</v>
      </c>
      <c r="F16" s="3542"/>
      <c r="G16" s="3543"/>
      <c r="H16" s="3543"/>
      <c r="I16" s="3544"/>
      <c r="J16" s="2438"/>
      <c r="K16" s="2616"/>
      <c r="L16" s="2450"/>
      <c r="M16" s="2450"/>
      <c r="N16" s="2508"/>
      <c r="O16" s="2450"/>
      <c r="P16" s="2508"/>
      <c r="Q16" s="2438"/>
      <c r="R16" s="2438"/>
    </row>
    <row r="17" spans="1:28">
      <c r="A17" s="313" t="s">
        <v>2195</v>
      </c>
      <c r="B17" s="302" t="s">
        <v>2196</v>
      </c>
      <c r="C17" s="8">
        <f>'数据-汇总表'!E3</f>
        <v>34740.85</v>
      </c>
      <c r="D17" s="2321" t="s">
        <v>2197</v>
      </c>
      <c r="E17" s="3545" t="s">
        <v>2198</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10186.06</v>
      </c>
      <c r="D18" s="1092" t="s">
        <v>2201</v>
      </c>
      <c r="E18" s="3548" t="s">
        <v>2202</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5" t="s">
        <v>2206</v>
      </c>
      <c r="C20" s="3536"/>
      <c r="D20" s="3537" t="s">
        <v>2207</v>
      </c>
      <c r="E20" s="3538"/>
      <c r="F20" s="2646" t="s">
        <v>1056</v>
      </c>
      <c r="G20" s="2663"/>
      <c r="H20" s="2663"/>
      <c r="I20" s="2663"/>
      <c r="J20" s="2438"/>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3"/>
      <c r="B30" s="302" t="s">
        <v>2218</v>
      </c>
      <c r="C30" s="3554"/>
      <c r="D30" s="3555"/>
      <c r="E30" s="2663"/>
      <c r="F30" s="2663"/>
      <c r="G30" s="2663"/>
      <c r="H30" s="2663"/>
      <c r="I30" s="2663"/>
      <c r="J30" s="2438"/>
      <c r="K30" s="2615"/>
      <c r="L30" s="2612"/>
      <c r="M30" s="2612"/>
      <c r="N30" s="2438"/>
      <c r="O30" s="2449"/>
      <c r="P30" s="2438"/>
      <c r="Q30" s="2438"/>
      <c r="R30" s="2438"/>
      <c r="S30" s="2438"/>
      <c r="T30" s="2438"/>
      <c r="U30" s="2438"/>
      <c r="V30" s="2438"/>
    </row>
    <row r="31" spans="1:28">
      <c r="A31" s="355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1" t="s">
        <v>2228</v>
      </c>
      <c r="T34" s="2427" t="str">
        <f>NUMBERSTRING(7-K34,1)&amp;"通"</f>
        <v>七通</v>
      </c>
      <c r="U34" s="2438"/>
      <c r="V34" s="2438"/>
    </row>
    <row r="35" spans="1:30">
      <c r="A35" s="2428"/>
      <c r="B35" s="3558" t="s">
        <v>2229</v>
      </c>
      <c r="C35" s="3558"/>
      <c r="D35" s="3558"/>
      <c r="E35" s="355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2989</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10186.06</v>
      </c>
      <c r="B3" s="11">
        <f>IF(C3="否",G5-AT5,G5)</f>
        <v>34740.85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34740.85</v>
      </c>
      <c r="H5" s="13">
        <f t="shared" ref="H5:AT5" si="0">SUM(H13:H656)</f>
        <v>34740.85</v>
      </c>
      <c r="I5" s="13">
        <f t="shared" si="0"/>
        <v>24964.55</v>
      </c>
      <c r="J5" s="13">
        <f t="shared" si="0"/>
        <v>0</v>
      </c>
      <c r="K5" s="13">
        <f t="shared" si="0"/>
        <v>6216.72</v>
      </c>
      <c r="L5" s="13">
        <f t="shared" si="0"/>
        <v>0</v>
      </c>
      <c r="M5" s="13">
        <f t="shared" si="0"/>
        <v>3559.58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34740.85</v>
      </c>
      <c r="BA5" s="15">
        <f t="shared" si="1"/>
        <v>34740.85</v>
      </c>
      <c r="BB5" s="15">
        <f t="shared" si="1"/>
        <v>24964.55</v>
      </c>
      <c r="BC5" s="15">
        <f t="shared" si="1"/>
        <v>6216.72</v>
      </c>
      <c r="BD5" s="15">
        <f t="shared" si="1"/>
        <v>3559.58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10186.06</v>
      </c>
      <c r="F6" s="13" t="s">
        <v>0</v>
      </c>
      <c r="G6" s="13" t="s">
        <v>1</v>
      </c>
      <c r="H6" s="17">
        <f>SUMIF(I$12:AB$12,"总值",I6:AB6)</f>
        <v>10186.06</v>
      </c>
      <c r="I6" s="13">
        <f t="shared" ref="I6:AB6" si="2">ROUND($A$3*I5/$B$3,2)</f>
        <v>7319.64</v>
      </c>
      <c r="J6" s="13">
        <f t="shared" si="2"/>
        <v>0</v>
      </c>
      <c r="K6" s="13">
        <f t="shared" si="2"/>
        <v>1822.75</v>
      </c>
      <c r="L6" s="13">
        <f t="shared" si="2"/>
        <v>0</v>
      </c>
      <c r="M6" s="13">
        <f t="shared" si="2"/>
        <v>1043.67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10186.06</v>
      </c>
      <c r="AZ6" s="13" t="s">
        <v>2</v>
      </c>
      <c r="BA6" s="13">
        <f>ROUND($AY$6*BA5/$AZ$5,2)</f>
        <v>10186.06</v>
      </c>
      <c r="BB6" s="13">
        <f>ROUND($AY$6*BB5/$AZ$5,2)</f>
        <v>7319.64</v>
      </c>
      <c r="BC6" s="13">
        <f t="shared" ref="BC6:BH6" si="4">ROUND($AY$6*BC5/$AZ$5,2)</f>
        <v>1822.75</v>
      </c>
      <c r="BD6" s="13">
        <f t="shared" si="4"/>
        <v>1043.67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3386</v>
      </c>
      <c r="J9" s="809"/>
      <c r="K9" s="1602" t="s">
        <v>3387</v>
      </c>
      <c r="L9" s="809"/>
      <c r="M9" s="1602" t="s">
        <v>3387</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t="s">
        <v>673</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3385</v>
      </c>
      <c r="E13" s="13">
        <f>IF($C$3="是",ROUND($A$3*G13/$B$3,2),ROUND($A$3*(G13-AT13)/$B$3,2))</f>
        <v>10186.06</v>
      </c>
      <c r="F13" s="29"/>
      <c r="G13" s="30">
        <f>H13+AC13+AT13</f>
        <v>34740.85</v>
      </c>
      <c r="H13" s="17">
        <f>SUMIF(I$12:AB$12,"总值",I13:AB13)</f>
        <v>34740.85</v>
      </c>
      <c r="I13" s="1625">
        <f>Sheet1!D3+Sheet1!D4+Sheet1!D5+Sheet1!D6</f>
        <v>24964.55</v>
      </c>
      <c r="J13" s="1625"/>
      <c r="K13" s="1625">
        <f>Sheet1!D7</f>
        <v>6216.72</v>
      </c>
      <c r="L13" s="1625"/>
      <c r="M13" s="1625">
        <f>Sheet1!D8</f>
        <v>3559.58</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10186.06</v>
      </c>
      <c r="AZ13" s="13">
        <f>BA13+BL13</f>
        <v>34740.85</v>
      </c>
      <c r="BA13" s="13">
        <f>SUM(BB13:BK13)</f>
        <v>34740.85</v>
      </c>
      <c r="BB13" s="13">
        <f>IF($D13="是",I13-J13,0)</f>
        <v>24964.55</v>
      </c>
      <c r="BC13" s="13">
        <f>IF($D13="是",K13-L13,0)</f>
        <v>6216.72</v>
      </c>
      <c r="BD13" s="13">
        <f>IF($D13="是",M13-N13,0)</f>
        <v>3559.58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workbookViewId="0">
      <selection activeCell="F8" sqref="F8"/>
    </sheetView>
  </sheetViews>
  <sheetFormatPr defaultRowHeight="14.25"/>
  <cols>
    <col min="1" max="16384" width="9" style="3460"/>
  </cols>
  <sheetData>
    <row r="2" spans="1:6">
      <c r="A2" s="3460" t="s">
        <v>3412</v>
      </c>
      <c r="B2" s="3460" t="s">
        <v>3388</v>
      </c>
      <c r="C2" s="3460" t="s">
        <v>3392</v>
      </c>
      <c r="D2" s="3460" t="s">
        <v>3389</v>
      </c>
      <c r="E2" s="3460" t="s">
        <v>3415</v>
      </c>
      <c r="F2" s="3460" t="s">
        <v>3416</v>
      </c>
    </row>
    <row r="3" spans="1:6">
      <c r="A3" s="3460">
        <v>1</v>
      </c>
      <c r="B3" s="3460">
        <v>1</v>
      </c>
      <c r="C3" s="3460" t="s">
        <v>3393</v>
      </c>
      <c r="D3" s="3460">
        <v>5971.11</v>
      </c>
      <c r="E3" s="3460">
        <v>10</v>
      </c>
      <c r="F3" s="3460">
        <v>1</v>
      </c>
    </row>
    <row r="4" spans="1:6">
      <c r="A4" s="3460">
        <v>2</v>
      </c>
      <c r="B4" s="3460">
        <v>2</v>
      </c>
      <c r="C4" s="3460" t="s">
        <v>3393</v>
      </c>
      <c r="D4" s="3460">
        <v>5964.67</v>
      </c>
      <c r="E4" s="3460">
        <f>E3*F4</f>
        <v>7</v>
      </c>
      <c r="F4" s="3460">
        <v>0.7</v>
      </c>
    </row>
    <row r="5" spans="1:6">
      <c r="A5" s="3460">
        <v>3</v>
      </c>
      <c r="B5" s="3460">
        <v>3</v>
      </c>
      <c r="C5" s="3460" t="s">
        <v>3393</v>
      </c>
      <c r="D5" s="3460">
        <v>6506.73</v>
      </c>
      <c r="E5" s="3460">
        <f>E3*F5</f>
        <v>6</v>
      </c>
      <c r="F5" s="3460">
        <v>0.6</v>
      </c>
    </row>
    <row r="6" spans="1:6">
      <c r="A6" s="3460">
        <v>4</v>
      </c>
      <c r="B6" s="3460">
        <v>4</v>
      </c>
      <c r="C6" s="3460" t="s">
        <v>3393</v>
      </c>
      <c r="D6" s="3460">
        <v>6522.04</v>
      </c>
      <c r="E6" s="3460">
        <f>E3*F6</f>
        <v>6</v>
      </c>
      <c r="F6" s="3460">
        <v>0.6</v>
      </c>
    </row>
    <row r="7" spans="1:6">
      <c r="A7" s="3460">
        <v>5</v>
      </c>
      <c r="B7" s="3460" t="s">
        <v>3390</v>
      </c>
      <c r="C7" s="3460" t="s">
        <v>3393</v>
      </c>
      <c r="D7" s="3460">
        <v>6216.72</v>
      </c>
      <c r="E7" s="3460">
        <f>E3*F7</f>
        <v>7</v>
      </c>
      <c r="F7" s="3460">
        <v>0.7</v>
      </c>
    </row>
    <row r="8" spans="1:6">
      <c r="A8" s="3460">
        <v>6</v>
      </c>
      <c r="B8" s="3460" t="s">
        <v>3391</v>
      </c>
      <c r="C8" s="3460" t="s">
        <v>3394</v>
      </c>
      <c r="D8" s="3460">
        <v>3559.58</v>
      </c>
    </row>
    <row r="9" spans="1:6">
      <c r="A9" s="3460" t="s">
        <v>3413</v>
      </c>
      <c r="B9" s="3460" t="s">
        <v>3414</v>
      </c>
      <c r="C9" s="3460" t="s">
        <v>3414</v>
      </c>
      <c r="D9" s="3460">
        <v>34740.85</v>
      </c>
      <c r="E9" s="3460">
        <f>ROUND((D3*E3+D4*E4+D5*E5+D6*E6+D7*E7)/(D9-D8),2)</f>
        <v>7.16</v>
      </c>
    </row>
  </sheetData>
  <phoneticPr fontId="13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10186.06</v>
      </c>
      <c r="E3" s="43">
        <f>'数据-基础表'!AZ5</f>
        <v>34740.85</v>
      </c>
      <c r="F3" s="2658"/>
      <c r="G3" s="1145"/>
      <c r="H3" s="1026" t="s">
        <v>1106</v>
      </c>
      <c r="I3" s="855">
        <f>ROUND('数据-基础表'!B3/'数据-基础表'!A3,2)</f>
        <v>3.41</v>
      </c>
      <c r="J3" s="2658"/>
      <c r="K3" s="2658"/>
      <c r="L3" s="2658"/>
      <c r="M3" s="2658"/>
      <c r="N3" s="2660"/>
      <c r="O3" s="2658"/>
      <c r="P3" s="2658"/>
    </row>
    <row r="4" spans="1:16" ht="15">
      <c r="A4" s="3570"/>
      <c r="B4" s="3571"/>
      <c r="C4" s="3572"/>
      <c r="D4" s="1640" t="s">
        <v>1107</v>
      </c>
      <c r="E4" s="1641" t="s">
        <v>1108</v>
      </c>
      <c r="F4" s="2658"/>
      <c r="G4" s="2651" t="s">
        <v>1133</v>
      </c>
      <c r="H4" s="1026" t="s">
        <v>1113</v>
      </c>
      <c r="I4" s="855">
        <f>ROUND(SUMIF('数据-基础表'!I9:AS9,"地上",'数据-基础表'!I5:AS5)/'数据-基础表'!A3,2)</f>
        <v>2.4500000000000002</v>
      </c>
      <c r="J4" s="2658"/>
      <c r="K4" s="2658"/>
      <c r="L4" s="2658"/>
      <c r="M4" s="2658"/>
      <c r="N4" s="2660"/>
      <c r="O4" s="2658"/>
      <c r="P4" s="2658"/>
    </row>
    <row r="5" spans="1:16">
      <c r="A5" s="44" t="s">
        <v>1109</v>
      </c>
      <c r="B5" s="3573" t="s">
        <v>1110</v>
      </c>
      <c r="C5" s="3573"/>
      <c r="D5" s="45">
        <f>ROUND($D$3*E5/$E$3,2)</f>
        <v>0</v>
      </c>
      <c r="E5" s="46">
        <f>SUMIF('数据-基础表'!$11:$11,"住宅",'数据-基础表'!$5:$5)</f>
        <v>0</v>
      </c>
      <c r="F5" s="2658"/>
      <c r="G5" s="1145"/>
      <c r="H5" s="1026" t="s">
        <v>1106</v>
      </c>
      <c r="I5" s="855">
        <f>ROUND(E31/D31,2)</f>
        <v>3.41</v>
      </c>
      <c r="J5" s="2658"/>
      <c r="K5" s="2658"/>
      <c r="L5" s="2658"/>
      <c r="M5" s="2658"/>
      <c r="N5" s="2658"/>
      <c r="O5" s="2658"/>
      <c r="P5" s="2658"/>
    </row>
    <row r="6" spans="1:16" ht="15" thickBot="1">
      <c r="A6" s="1643"/>
      <c r="B6" s="3573" t="s">
        <v>1111</v>
      </c>
      <c r="C6" s="3573"/>
      <c r="D6" s="45">
        <f>ROUND($D$3*E6/$E$3,2)</f>
        <v>10186.06</v>
      </c>
      <c r="E6" s="46">
        <f>E3-E5</f>
        <v>34740.85</v>
      </c>
      <c r="F6" s="2658"/>
      <c r="G6" s="2652" t="s">
        <v>1112</v>
      </c>
      <c r="H6" s="1146" t="s">
        <v>1113</v>
      </c>
      <c r="I6" s="2653">
        <f>ROUND(F31/D31,2)</f>
        <v>2.4500000000000002</v>
      </c>
      <c r="J6" s="2658"/>
      <c r="K6" s="2658"/>
      <c r="L6" s="2658"/>
      <c r="M6" s="2658"/>
      <c r="N6" s="2658"/>
      <c r="O6" s="2658"/>
      <c r="P6" s="2658"/>
    </row>
    <row r="7" spans="1:16" ht="15.75" thickBot="1">
      <c r="A7" s="3565"/>
      <c r="B7" s="3566"/>
      <c r="C7" s="356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7319.64</v>
      </c>
      <c r="E8" s="48">
        <f>SUMIF('数据-基础表'!BB10:BK10,"地上",'数据-基础表'!BB5:BK5)</f>
        <v>24964.55</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1822.75</v>
      </c>
      <c r="E10" s="48">
        <f>SUMPRODUCT(('数据-基础表'!BB10:BK10="地下")*('数据-基础表'!BB11:BK11="商业")*('数据-基础表'!BB5:BK5))</f>
        <v>6216.72</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1043.67</v>
      </c>
      <c r="E13" s="48">
        <f>SUMPRODUCT(('数据-基础表'!BB10:BK10="地下")*('数据-基础表'!BB11:BK11="车库")*('数据-基础表'!BB5:BK5))</f>
        <v>3559.58</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10186.06</v>
      </c>
      <c r="E16" s="50">
        <f>SUM(E8:E15)</f>
        <v>34740.85</v>
      </c>
      <c r="F16" s="2658"/>
      <c r="G16" s="2659"/>
      <c r="H16" s="1647" t="s">
        <v>1135</v>
      </c>
      <c r="I16" s="1648"/>
      <c r="J16" s="1139"/>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9"/>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3395</v>
      </c>
      <c r="D19" s="45">
        <f>ROUND($D$3*E19/$E$3,2)</f>
        <v>9142.39</v>
      </c>
      <c r="E19" s="53">
        <f t="shared" ref="E19:E26" si="1">SUM(F19:G19)</f>
        <v>31181.27</v>
      </c>
      <c r="F19" s="2794">
        <f>'数据-基础表'!I13</f>
        <v>24964.55</v>
      </c>
      <c r="G19" s="2795">
        <f>'数据-基础表'!K13</f>
        <v>6216.72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9142.39</v>
      </c>
      <c r="S19" s="1027">
        <f t="shared" si="5"/>
        <v>31181.27</v>
      </c>
    </row>
    <row r="20" spans="1:19">
      <c r="A20" s="1669"/>
      <c r="B20" s="47" t="s">
        <v>1153</v>
      </c>
      <c r="C20" s="3416" t="s">
        <v>3396</v>
      </c>
      <c r="D20" s="45">
        <f t="shared" ref="D20:D26" si="6">ROUND($D$3*E20/$E$3,2)</f>
        <v>1043.67</v>
      </c>
      <c r="E20" s="53">
        <f t="shared" si="1"/>
        <v>3559.58</v>
      </c>
      <c r="F20" s="2794"/>
      <c r="G20" s="2795">
        <f>'数据-基础表'!M13</f>
        <v>3559.58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1043.67</v>
      </c>
      <c r="S20" s="1027">
        <f t="shared" si="5"/>
        <v>3559.58</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10186.06</v>
      </c>
      <c r="E27" s="1141">
        <f>IF(SUM(E19:E26)='数据-基础表'!BA5,SUM(E19:E26),IF(F27="地上面积有误","面积有误","地下面积有误"))</f>
        <v>34740.85</v>
      </c>
      <c r="F27" s="1140">
        <f>IF(SUM(F19:F26)=E8,SUM(F19:F26),"地上面积有误")</f>
        <v>24964.55</v>
      </c>
      <c r="G27" s="1142">
        <f>SUM(G19:G26)</f>
        <v>9776.2999999999993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10186.06</v>
      </c>
      <c r="S27" s="1026">
        <f>IF(SUM(S19:S26)=$E$3,SUM(S19:S26),SUM(S19:S26)&amp;"误差"&amp;ROUND(SUM(S19:S26)-E3,2))</f>
        <v>34740.85</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10186.06</v>
      </c>
      <c r="E31" s="676">
        <f>E27+E30</f>
        <v>34740.85</v>
      </c>
      <c r="F31" s="677">
        <f>F27+F30</f>
        <v>24964.55</v>
      </c>
      <c r="G31" s="678">
        <f>G27+G30</f>
        <v>9776.2999999999993</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45152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53332</v>
      </c>
      <c r="F6" s="64">
        <f>SUMIF(项目基本情况!C$12:I$12,C6,项目基本情况!C$15:I$15)</f>
        <v>22.41</v>
      </c>
      <c r="G6" s="65">
        <f>IF(ISERROR(ROUND(POWER(1+H6,D6-F6)*(POWER(1+H6,F6)-1)/(POWER(1+H6,D6)-1),3)),0,ROUND(POWER(1+H6,D6-F6)*(POWER(1+H6,F6)-1)/(POWER(1+H6,D6)-1),3))</f>
        <v>0.77500000000000002</v>
      </c>
      <c r="H6" s="732">
        <v>0.05</v>
      </c>
      <c r="I6" s="732">
        <v>5.5E-2</v>
      </c>
      <c r="J6" s="66">
        <v>7.4999999999999997E-2</v>
      </c>
      <c r="K6" s="1030">
        <f>SUMIF('数据-汇总表'!C$19:C$33,A6,'数据-汇总表'!E$19:E$33)</f>
        <v>31181.27</v>
      </c>
      <c r="L6" s="733">
        <v>4800</v>
      </c>
      <c r="M6" s="67">
        <f t="shared" ref="M6:M14" si="0">ROUND(K6*L6/10000,0)</f>
        <v>14967</v>
      </c>
      <c r="N6" s="731">
        <v>0.83</v>
      </c>
      <c r="O6" s="67" t="str">
        <f>IF($N$5="成新度","——",ROUND(M6*N6,0))</f>
        <v>——</v>
      </c>
      <c r="P6" s="68" t="str">
        <f>IF($N$5="成新度","——",M6-O6)</f>
        <v>——</v>
      </c>
      <c r="Q6" s="734">
        <v>0.2</v>
      </c>
      <c r="R6" s="69">
        <f ca="1">SUMIF('数据-汇总表'!C$19:C$33,A6,'数据-汇总表'!R$19:R$27)</f>
        <v>9142.39</v>
      </c>
      <c r="S6" s="51">
        <f>IF('数据-汇总表'!$I$17="按面积比例",SUMIF('数据-汇总表'!C$19:C$33,A6,'数据-汇总表'!K$19:K$33),SUMIF('数据-汇总表'!C$19:C$33,A6,'数据-汇总表'!N$19:N$33))</f>
        <v>0</v>
      </c>
      <c r="T6" s="1172">
        <f>ROUND($L$14*S6/10000,0)</f>
        <v>0</v>
      </c>
      <c r="U6" s="3427">
        <f>Sheet1!E9</f>
        <v>7.16</v>
      </c>
      <c r="V6" s="70">
        <v>2.5000000000000001E-2</v>
      </c>
      <c r="W6" s="70">
        <v>0.1</v>
      </c>
      <c r="X6" s="1040"/>
      <c r="Y6" s="71">
        <f>N6</f>
        <v>0.83</v>
      </c>
      <c r="Z6" s="72"/>
      <c r="AA6" s="66"/>
      <c r="AB6" s="66"/>
      <c r="AC6" s="1040"/>
      <c r="AD6" s="73"/>
      <c r="AE6" s="1041">
        <f ca="1">IF(AN6="",0,SUMIF(INDIRECT("'"&amp;AN6&amp;"'"&amp;"!E:E"),$AE$5,INDIRECT("'"&amp;AN6&amp;"'"&amp;"!F:F")))</f>
        <v>22.41</v>
      </c>
      <c r="AF6" s="1347"/>
      <c r="AG6" s="138">
        <f>IF(AF6="",0,AE6-AF6)</f>
        <v>0</v>
      </c>
      <c r="AH6" s="74"/>
      <c r="AI6" s="76">
        <v>365</v>
      </c>
      <c r="AJ6" s="77"/>
      <c r="AK6" s="78">
        <v>5.0000000000000001E-3</v>
      </c>
      <c r="AL6" s="79">
        <v>1.5E-3</v>
      </c>
      <c r="AM6" s="80">
        <v>1.4999999999999999E-2</v>
      </c>
      <c r="AN6" s="1714" t="s">
        <v>3398</v>
      </c>
      <c r="AO6" s="52">
        <f ca="1">SUMIF(INDIRECT("'"&amp;AN6&amp;"'"&amp;"!A:A"),"总价",INDIRECT("'"&amp;AN6&amp;"'"&amp;"!B:B"))</f>
        <v>94634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3339</v>
      </c>
      <c r="D7" s="858">
        <f>SUMIF(项目基本情况!C$12:I$12,C7,项目基本情况!C$14:I$14)</f>
        <v>50</v>
      </c>
      <c r="E7" s="857">
        <f>IF(B7="","",SUMIF(项目基本情况!C$12:I$12,C7,项目基本情况!C$13:I$13))</f>
        <v>56984</v>
      </c>
      <c r="F7" s="64">
        <f>SUMIF(项目基本情况!C$12:I$12,C7,项目基本情况!C$15:I$15)</f>
        <v>32.409999999999997</v>
      </c>
      <c r="G7" s="65">
        <f t="shared" ref="G7:G11" si="2">IF(ISERROR(ROUND(POWER(1+H7,D7-F7)*(POWER(1+H7,F7)-1)/(POWER(1+H7,D7)-1),3)),0,ROUND(POWER(1+H7,D7-F7)*(POWER(1+H7,F7)-1)/(POWER(1+H7,D7)-1),3))</f>
        <v>0.85399999999999998</v>
      </c>
      <c r="H7" s="732">
        <v>4.4999999999999998E-2</v>
      </c>
      <c r="I7" s="732">
        <v>0.05</v>
      </c>
      <c r="J7" s="66">
        <v>7.4999999999999997E-2</v>
      </c>
      <c r="K7" s="1030">
        <f>SUMIF('数据-汇总表'!C$19:C$33,A7,'数据-汇总表'!E$19:E$33)</f>
        <v>3559.58</v>
      </c>
      <c r="L7" s="733">
        <v>3500</v>
      </c>
      <c r="M7" s="67">
        <f t="shared" si="0"/>
        <v>1246</v>
      </c>
      <c r="N7" s="731">
        <f>N6</f>
        <v>0.83</v>
      </c>
      <c r="O7" s="67" t="str">
        <f t="shared" ref="O7:O14" si="3">IF($N$5="成新度","——",ROUND(M7*N7,0))</f>
        <v>——</v>
      </c>
      <c r="P7" s="68" t="str">
        <f t="shared" ref="P7:P14" si="4">IF($N$5="成新度","——",M7-O7)</f>
        <v>——</v>
      </c>
      <c r="Q7" s="734">
        <v>0.05</v>
      </c>
      <c r="R7" s="69">
        <f ca="1">SUMIF('数据-汇总表'!C$19:C$33,A7,'数据-汇总表'!R$19:R$27)</f>
        <v>1043.67</v>
      </c>
      <c r="S7" s="51">
        <f>IF('数据-汇总表'!$I$17="按面积比例",SUMIF('数据-汇总表'!C$19:C$33,A7,'数据-汇总表'!K$19:K$33),SUMIF('数据-汇总表'!C$19:C$33,A7,'数据-汇总表'!N$19:N$33))</f>
        <v>0</v>
      </c>
      <c r="T7" s="1172">
        <f t="shared" ref="T7:T13" si="5">ROUND($L$14*S7/10000,0)</f>
        <v>0</v>
      </c>
      <c r="U7" s="3427">
        <v>0.8</v>
      </c>
      <c r="V7" s="70">
        <v>0.02</v>
      </c>
      <c r="W7" s="70">
        <v>0.1</v>
      </c>
      <c r="X7" s="1040"/>
      <c r="Y7" s="71">
        <f>Y6</f>
        <v>0.83</v>
      </c>
      <c r="Z7" s="72"/>
      <c r="AA7" s="66"/>
      <c r="AB7" s="66"/>
      <c r="AC7" s="1040"/>
      <c r="AD7" s="73"/>
      <c r="AE7" s="1041">
        <f t="shared" ref="AE7:AE13" ca="1" si="6">IF(AN7="",0,SUMIF(INDIRECT("'"&amp;AN7&amp;"'"&amp;"!E:E"),$AE$5,INDIRECT("'"&amp;AN7&amp;"'"&amp;"!F:F")))</f>
        <v>32.409999999999997</v>
      </c>
      <c r="AF7" s="1347"/>
      <c r="AG7" s="138">
        <f t="shared" ref="AG7:AG13" si="7">IF(AF7="",0,AE7-AF7)</f>
        <v>0</v>
      </c>
      <c r="AH7" s="74"/>
      <c r="AI7" s="76">
        <v>365</v>
      </c>
      <c r="AJ7" s="77"/>
      <c r="AK7" s="78">
        <v>5.0000000000000001E-3</v>
      </c>
      <c r="AL7" s="79">
        <v>1E-3</v>
      </c>
      <c r="AM7" s="80">
        <v>0.01</v>
      </c>
      <c r="AN7" s="1714" t="s">
        <v>3417</v>
      </c>
      <c r="AO7" s="52">
        <f t="shared" ref="AO7:AO13" ca="1" si="8">SUMIF(INDIRECT("'"&amp;AN7&amp;"'"&amp;"!A:A"),"总价",INDIRECT("'"&amp;AN7&amp;"'"&amp;"!B:B"))</f>
        <v>1435</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0.78300000000000003</v>
      </c>
      <c r="H16" s="90">
        <f>ROUND(SUMPRODUCT(H6:H13,K6:K13)/SUMPRODUCT((H6:H13&gt;0)*(K6:K13)),3)</f>
        <v>4.9000000000000002E-2</v>
      </c>
      <c r="I16" s="91"/>
      <c r="J16" s="91"/>
      <c r="K16" s="92">
        <f>SUM(K6:K15)</f>
        <v>34740.85</v>
      </c>
      <c r="L16" s="93">
        <f>ROUND(M16*10000/SUM(K6:K14),0)</f>
        <v>4667</v>
      </c>
      <c r="M16" s="93">
        <f>SUM(M6:M14)</f>
        <v>16213</v>
      </c>
      <c r="N16" s="94">
        <f>ROUND(SUMPRODUCT(M6:M14,N6:N14)/M16,3)</f>
        <v>0.83</v>
      </c>
      <c r="O16" s="93">
        <f>SUM(O6:O14)</f>
        <v>0</v>
      </c>
      <c r="P16" s="93">
        <f>SUM(P6:P14)</f>
        <v>0</v>
      </c>
      <c r="Q16" s="95">
        <f>ROUND(SUMPRODUCT(Q6:Q13,K6:K13)/SUMPRODUCT((Q6:Q13&gt;0)*(K6:K13)),2)</f>
        <v>0.18</v>
      </c>
      <c r="R16" s="1034">
        <f ca="1">SUM(R6:R13)</f>
        <v>10186.06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f>1-(2023-N18)/60</f>
        <v>0.75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v>0.9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(N19+N20)/2</f>
        <v>0.82499999999999996</v>
      </c>
      <c r="O21" s="2670"/>
      <c r="P21" s="2670"/>
      <c r="Q21" s="2670"/>
      <c r="R21" s="2670"/>
      <c r="S21" s="2670"/>
      <c r="T21" s="2670"/>
      <c r="U21" s="2670">
        <f>450/35/30</f>
        <v>0.4285714285714286</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695</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4" t="s">
        <v>2286</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2" customWidth="1"/>
    <col min="2" max="9" width="15.75" style="2512" customWidth="1"/>
    <col min="10" max="16384" width="9" style="2512"/>
  </cols>
  <sheetData>
    <row r="1" spans="1:11">
      <c r="A1" s="2511" t="s">
        <v>665</v>
      </c>
      <c r="B1" s="2511">
        <f>SUM(B14:B23)</f>
        <v>34740.85</v>
      </c>
      <c r="C1" s="2685"/>
      <c r="D1" s="2685"/>
      <c r="E1" s="2685"/>
      <c r="F1" s="2685"/>
      <c r="G1" s="2686"/>
      <c r="H1" s="2687"/>
      <c r="I1" s="2687"/>
      <c r="J1" s="2687"/>
      <c r="K1" s="2687"/>
    </row>
    <row r="2" spans="1:11">
      <c r="A2" s="2511" t="s">
        <v>653</v>
      </c>
      <c r="B2" s="2511">
        <f>SUM(C14:C23)</f>
        <v>10186.06</v>
      </c>
      <c r="C2" s="2685"/>
      <c r="D2" s="2685"/>
      <c r="E2" s="2685"/>
      <c r="F2" s="2685"/>
      <c r="G2" s="2686"/>
      <c r="H2" s="2687"/>
      <c r="I2" s="2687"/>
      <c r="J2" s="2687"/>
      <c r="K2" s="2687"/>
    </row>
    <row r="3" spans="1:11">
      <c r="A3" s="2511" t="s">
        <v>662</v>
      </c>
      <c r="B3" s="2513">
        <f>项目基本情况!D3</f>
        <v>45152</v>
      </c>
      <c r="C3" s="2685"/>
      <c r="D3" s="2685"/>
      <c r="E3" s="2685"/>
      <c r="F3" s="2685"/>
      <c r="G3" s="2686"/>
      <c r="H3" s="2687"/>
      <c r="I3" s="2687"/>
      <c r="J3" s="2687"/>
      <c r="K3" s="2687"/>
    </row>
    <row r="4" spans="1:11" ht="27">
      <c r="A4" s="2511" t="s">
        <v>661</v>
      </c>
      <c r="B4" s="2511" t="s">
        <v>660</v>
      </c>
      <c r="C4" s="2511" t="s">
        <v>659</v>
      </c>
      <c r="D4" s="2511" t="s">
        <v>658</v>
      </c>
      <c r="E4" s="2685"/>
      <c r="F4" s="2686"/>
      <c r="G4" s="2686"/>
      <c r="H4" s="2687"/>
      <c r="I4" s="2687"/>
      <c r="J4" s="2687"/>
      <c r="K4" s="2687"/>
    </row>
    <row r="5" spans="1:11">
      <c r="A5" s="2511" t="s">
        <v>657</v>
      </c>
      <c r="B5" s="2511">
        <f ca="1">SUM(D14:D23)</f>
        <v>95801</v>
      </c>
      <c r="C5" s="2511">
        <f ca="1">IF(B5=D14,结果表!H102,ROUND(B5*10000/$B$1,0))</f>
        <v>27576</v>
      </c>
      <c r="D5" s="2511">
        <f ca="1">ROUND(B5*10000/$B$2,0)</f>
        <v>94051</v>
      </c>
      <c r="E5" s="2685"/>
      <c r="F5" s="2686"/>
      <c r="G5" s="2686"/>
      <c r="H5" s="2687"/>
      <c r="I5" s="2687"/>
      <c r="J5" s="2687"/>
      <c r="K5" s="2687"/>
    </row>
    <row r="6" spans="1:11">
      <c r="A6" s="2511" t="s">
        <v>656</v>
      </c>
      <c r="B6" s="2511">
        <f ca="1">SUM(G14:G23)</f>
        <v>95801</v>
      </c>
      <c r="C6" s="2511">
        <f ca="1">IF(B6=G14,结果表!H108,ROUND(B6*10000/$B$1,0))</f>
        <v>27576</v>
      </c>
      <c r="D6" s="2511">
        <f ca="1">ROUND(B6*10000/$B$2,0)</f>
        <v>94051</v>
      </c>
      <c r="E6" s="2685"/>
      <c r="F6" s="2686"/>
      <c r="G6" s="2686"/>
      <c r="H6" s="2687"/>
      <c r="I6" s="2687"/>
      <c r="J6" s="2687"/>
      <c r="K6" s="2687"/>
    </row>
    <row r="7" spans="1:11">
      <c r="A7" s="2511" t="s">
        <v>664</v>
      </c>
      <c r="B7" s="2511">
        <f>SUM(H14:H23)</f>
        <v>0</v>
      </c>
      <c r="C7" s="2511" t="str">
        <f>IF(B7=H14,结果表!H110,ROUND(B7*10000/$B$1,0))</f>
        <v>——</v>
      </c>
      <c r="D7" s="2511">
        <f>ROUND(B7*10000/$B$2,0)</f>
        <v>0</v>
      </c>
      <c r="E7" s="2685"/>
      <c r="F7" s="2686"/>
      <c r="G7" s="2686"/>
      <c r="H7" s="2687"/>
      <c r="I7" s="2687"/>
      <c r="J7" s="2687"/>
      <c r="K7" s="2687"/>
    </row>
    <row r="8" spans="1:11">
      <c r="A8" s="2511" t="s">
        <v>587</v>
      </c>
      <c r="B8" s="2511">
        <f ca="1">SUM(I14:I23)</f>
        <v>68222</v>
      </c>
      <c r="C8" s="2511">
        <f ca="1">IF(B8=I14,结果表!H112,ROUND(B8*10000/$B$1,0))</f>
        <v>19637</v>
      </c>
      <c r="D8" s="2511">
        <f ca="1">ROUND(B8*10000/$B$2,0)</f>
        <v>66976</v>
      </c>
      <c r="E8" s="2685"/>
      <c r="F8" s="2686"/>
      <c r="G8" s="2686"/>
      <c r="H8" s="2687"/>
      <c r="I8" s="2687"/>
      <c r="J8" s="2687"/>
      <c r="K8" s="2687"/>
    </row>
    <row r="9" spans="1:11">
      <c r="A9" s="2511" t="s">
        <v>655</v>
      </c>
      <c r="B9" s="2519"/>
      <c r="C9" s="2685"/>
      <c r="D9" s="2685"/>
      <c r="E9" s="2685"/>
      <c r="F9" s="2686"/>
      <c r="G9" s="2686"/>
      <c r="H9" s="2687"/>
      <c r="I9" s="2687"/>
      <c r="J9" s="2687"/>
      <c r="K9" s="2687"/>
    </row>
    <row r="10" spans="1:11">
      <c r="A10" s="2511" t="s">
        <v>654</v>
      </c>
      <c r="B10" s="2511">
        <f>IF(E10="",0,ROUND(B1*(E10*365/G10)/10000,0))</f>
        <v>0</v>
      </c>
      <c r="C10" s="2511" t="s">
        <v>3361</v>
      </c>
      <c r="D10" s="2511" t="s">
        <v>3362</v>
      </c>
      <c r="E10" s="3440"/>
      <c r="F10" s="3444" t="s">
        <v>3363</v>
      </c>
      <c r="G10" s="3441"/>
      <c r="H10" s="2687"/>
      <c r="I10" s="2687"/>
      <c r="J10" s="2687"/>
      <c r="K10" s="2687"/>
    </row>
    <row r="11" spans="1:11">
      <c r="A11" s="2511" t="s">
        <v>670</v>
      </c>
      <c r="B11" s="2519"/>
      <c r="C11" s="2685"/>
      <c r="D11" s="2685"/>
      <c r="E11" s="2685"/>
      <c r="F11" s="2686"/>
      <c r="G11" s="2686"/>
      <c r="H11" s="2687"/>
      <c r="I11" s="2687"/>
      <c r="J11" s="2687"/>
      <c r="K11" s="2687"/>
    </row>
    <row r="12" spans="1:11">
      <c r="A12" s="2685"/>
      <c r="B12" s="2685"/>
      <c r="C12" s="2685"/>
      <c r="D12" s="2685"/>
      <c r="E12" s="2685"/>
      <c r="F12" s="2686"/>
      <c r="G12" s="2686"/>
      <c r="H12" s="2687"/>
      <c r="I12" s="2687"/>
      <c r="J12" s="2687"/>
      <c r="K12" s="2687"/>
    </row>
    <row r="13" spans="1:11" ht="27">
      <c r="A13" s="2514" t="s">
        <v>669</v>
      </c>
      <c r="B13" s="2515" t="s">
        <v>666</v>
      </c>
      <c r="C13" s="2515" t="s">
        <v>668</v>
      </c>
      <c r="D13" s="2515" t="s">
        <v>667</v>
      </c>
      <c r="E13" s="2511" t="s">
        <v>659</v>
      </c>
      <c r="F13" s="2511" t="s">
        <v>658</v>
      </c>
      <c r="G13" s="2515" t="s">
        <v>652</v>
      </c>
      <c r="H13" s="2515" t="s">
        <v>663</v>
      </c>
      <c r="I13" s="2515" t="s">
        <v>651</v>
      </c>
      <c r="J13" s="2686"/>
      <c r="K13" s="2687"/>
    </row>
    <row r="14" spans="1:11">
      <c r="A14" s="2516" t="s">
        <v>650</v>
      </c>
      <c r="B14" s="2517">
        <f>'数据-汇总表'!E27</f>
        <v>34740.85</v>
      </c>
      <c r="C14" s="2517">
        <f>'数据-基础表'!A3</f>
        <v>10186.06</v>
      </c>
      <c r="D14" s="2517">
        <f ca="1">结果表!H101</f>
        <v>95801</v>
      </c>
      <c r="E14" s="2517">
        <f ca="1">ROUND(D14*10000/B14,0)</f>
        <v>27576</v>
      </c>
      <c r="F14" s="2517">
        <f ca="1">ROUND(D14*10000/C14,0)</f>
        <v>94051</v>
      </c>
      <c r="G14" s="2517">
        <f ca="1">D14</f>
        <v>95801</v>
      </c>
      <c r="H14" s="2517"/>
      <c r="I14" s="2517">
        <f ca="1">结果表!N59</f>
        <v>68222</v>
      </c>
      <c r="J14" s="2686"/>
      <c r="K14" s="2687"/>
    </row>
    <row r="15" spans="1:11">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c r="A16" s="2516" t="s">
        <v>648</v>
      </c>
      <c r="B16" s="2518"/>
      <c r="C16" s="2518"/>
      <c r="D16" s="2518"/>
      <c r="E16" s="2517" t="e">
        <f t="shared" si="0"/>
        <v>#DIV/0!</v>
      </c>
      <c r="F16" s="2517" t="e">
        <f t="shared" si="1"/>
        <v>#DIV/0!</v>
      </c>
      <c r="G16" s="1330"/>
      <c r="H16" s="1330"/>
      <c r="I16" s="2518"/>
      <c r="J16" s="2687"/>
      <c r="K16" s="2687"/>
    </row>
    <row r="17" spans="1:11">
      <c r="A17" s="2516" t="s">
        <v>647</v>
      </c>
      <c r="B17" s="2518"/>
      <c r="C17" s="2518"/>
      <c r="D17" s="2518"/>
      <c r="E17" s="2517" t="e">
        <f t="shared" si="0"/>
        <v>#DIV/0!</v>
      </c>
      <c r="F17" s="2517" t="e">
        <f t="shared" si="1"/>
        <v>#DIV/0!</v>
      </c>
      <c r="G17" s="1330"/>
      <c r="H17" s="1330"/>
      <c r="I17" s="2518"/>
      <c r="J17" s="2687"/>
      <c r="K17" s="2687"/>
    </row>
    <row r="18" spans="1:11">
      <c r="A18" s="2516" t="s">
        <v>646</v>
      </c>
      <c r="B18" s="2518"/>
      <c r="C18" s="2518"/>
      <c r="D18" s="2518"/>
      <c r="E18" s="2517" t="e">
        <f t="shared" si="0"/>
        <v>#DIV/0!</v>
      </c>
      <c r="F18" s="2517" t="e">
        <f t="shared" si="1"/>
        <v>#DIV/0!</v>
      </c>
      <c r="G18" s="2518"/>
      <c r="H18" s="2518"/>
      <c r="I18" s="2518"/>
      <c r="J18" s="2687"/>
      <c r="K18" s="2687"/>
    </row>
    <row r="19" spans="1:11">
      <c r="A19" s="2516" t="s">
        <v>645</v>
      </c>
      <c r="B19" s="2518"/>
      <c r="C19" s="2518"/>
      <c r="D19" s="2518"/>
      <c r="E19" s="2517" t="e">
        <f t="shared" si="0"/>
        <v>#DIV/0!</v>
      </c>
      <c r="F19" s="2517" t="e">
        <f t="shared" si="1"/>
        <v>#DIV/0!</v>
      </c>
      <c r="G19" s="2518"/>
      <c r="H19" s="2518"/>
      <c r="I19" s="2518"/>
      <c r="J19" s="2687"/>
      <c r="K19" s="2687"/>
    </row>
    <row r="20" spans="1:11">
      <c r="A20" s="2516" t="s">
        <v>644</v>
      </c>
      <c r="B20" s="2518"/>
      <c r="C20" s="2518"/>
      <c r="D20" s="2518"/>
      <c r="E20" s="2517" t="e">
        <f t="shared" si="0"/>
        <v>#DIV/0!</v>
      </c>
      <c r="F20" s="2517" t="e">
        <f t="shared" si="1"/>
        <v>#DIV/0!</v>
      </c>
      <c r="G20" s="2518"/>
      <c r="H20" s="2518"/>
      <c r="I20" s="2518"/>
      <c r="J20" s="2687"/>
      <c r="K20" s="2687"/>
    </row>
    <row r="21" spans="1:11">
      <c r="A21" s="2516" t="s">
        <v>643</v>
      </c>
      <c r="B21" s="2518"/>
      <c r="C21" s="2518"/>
      <c r="D21" s="2518"/>
      <c r="E21" s="2517" t="e">
        <f t="shared" si="0"/>
        <v>#DIV/0!</v>
      </c>
      <c r="F21" s="2517" t="e">
        <f t="shared" si="1"/>
        <v>#DIV/0!</v>
      </c>
      <c r="G21" s="2518"/>
      <c r="H21" s="2518"/>
      <c r="I21" s="2518"/>
      <c r="J21" s="2687"/>
      <c r="K21" s="2687"/>
    </row>
    <row r="22" spans="1:11">
      <c r="A22" s="2516" t="s">
        <v>642</v>
      </c>
      <c r="B22" s="2518"/>
      <c r="C22" s="2518"/>
      <c r="D22" s="2518"/>
      <c r="E22" s="2517" t="e">
        <f t="shared" si="0"/>
        <v>#DIV/0!</v>
      </c>
      <c r="F22" s="2517" t="e">
        <f t="shared" si="1"/>
        <v>#DIV/0!</v>
      </c>
      <c r="G22" s="2518"/>
      <c r="H22" s="2518"/>
      <c r="I22" s="2518"/>
      <c r="J22" s="2687"/>
      <c r="K22" s="2687"/>
    </row>
    <row r="23" spans="1:11">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55" zoomScaleNormal="100" zoomScaleSheetLayoutView="100" zoomScalePageLayoutView="80" workbookViewId="0">
      <selection activeCell="F130" sqref="F13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3" t="str">
        <f>项目基本情况!S2</f>
        <v>北京市房地产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3422</v>
      </c>
      <c r="D4" s="1755" t="s">
        <v>3419</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1" t="s">
        <v>1269</v>
      </c>
      <c r="F5" s="1756"/>
      <c r="G5" s="1756"/>
      <c r="H5" s="1756"/>
      <c r="I5" s="1372"/>
    </row>
    <row r="6" spans="1:12" ht="12.75">
      <c r="A6" s="3591"/>
      <c r="B6" s="3646"/>
      <c r="C6" s="3651"/>
      <c r="D6" s="3637"/>
      <c r="E6" s="131" t="s">
        <v>1270</v>
      </c>
      <c r="F6" s="1756"/>
      <c r="G6" s="1756"/>
      <c r="H6" s="1756"/>
      <c r="I6" s="1372"/>
    </row>
    <row r="7" spans="1:12" ht="12.75">
      <c r="A7" s="3591"/>
      <c r="B7" s="3646"/>
      <c r="C7" s="3650"/>
      <c r="D7" s="3637"/>
      <c r="E7" s="131" t="s">
        <v>1271</v>
      </c>
      <c r="F7" s="1756"/>
      <c r="G7" s="1756"/>
      <c r="H7" s="1756"/>
      <c r="I7" s="1372"/>
    </row>
    <row r="8" spans="1:12" ht="12.75">
      <c r="A8" s="3591" t="s">
        <v>1272</v>
      </c>
      <c r="B8" s="3646">
        <v>15</v>
      </c>
      <c r="C8" s="3649"/>
      <c r="D8" s="3637"/>
      <c r="E8" s="131" t="s">
        <v>1273</v>
      </c>
      <c r="F8" s="1756"/>
      <c r="G8" s="1756"/>
      <c r="H8" s="1756"/>
      <c r="I8" s="1372"/>
    </row>
    <row r="9" spans="1:12" ht="12.75">
      <c r="A9" s="3591"/>
      <c r="B9" s="3646"/>
      <c r="C9" s="3650"/>
      <c r="D9" s="3637"/>
      <c r="E9" s="131" t="s">
        <v>1274</v>
      </c>
      <c r="F9" s="1756"/>
      <c r="G9" s="1756"/>
      <c r="H9" s="1756"/>
      <c r="I9" s="1372"/>
    </row>
    <row r="10" spans="1:12" ht="12.75">
      <c r="A10" s="3591" t="s">
        <v>1275</v>
      </c>
      <c r="B10" s="3646">
        <v>15</v>
      </c>
      <c r="C10" s="3649"/>
      <c r="D10" s="3637"/>
      <c r="E10" s="131" t="s">
        <v>1276</v>
      </c>
      <c r="F10" s="1756"/>
      <c r="G10" s="1756"/>
      <c r="H10" s="1756"/>
      <c r="I10" s="1372"/>
    </row>
    <row r="11" spans="1:12" ht="12.75">
      <c r="A11" s="3591"/>
      <c r="B11" s="3646"/>
      <c r="C11" s="3650"/>
      <c r="D11" s="3637"/>
      <c r="E11" s="131" t="s">
        <v>1277</v>
      </c>
      <c r="F11" s="1756"/>
      <c r="G11" s="1756"/>
      <c r="H11" s="1756"/>
      <c r="I11" s="1372"/>
    </row>
    <row r="12" spans="1:12" ht="12.75">
      <c r="A12" s="3591" t="s">
        <v>1278</v>
      </c>
      <c r="B12" s="3646">
        <v>15</v>
      </c>
      <c r="C12" s="3649"/>
      <c r="D12" s="3637"/>
      <c r="E12" s="131" t="s">
        <v>1279</v>
      </c>
      <c r="F12" s="1756"/>
      <c r="G12" s="1756"/>
      <c r="H12" s="1756"/>
      <c r="I12" s="1372"/>
    </row>
    <row r="13" spans="1:12" ht="12.75">
      <c r="A13" s="3591"/>
      <c r="B13" s="3646"/>
      <c r="C13" s="3650"/>
      <c r="D13" s="3637"/>
      <c r="E13" s="131" t="s">
        <v>1280</v>
      </c>
      <c r="F13" s="1756"/>
      <c r="G13" s="1756"/>
      <c r="H13" s="1756"/>
      <c r="I13" s="1372"/>
    </row>
    <row r="14" spans="1:12" ht="12.75">
      <c r="A14" s="3591" t="s">
        <v>1281</v>
      </c>
      <c r="B14" s="3646">
        <v>30</v>
      </c>
      <c r="C14" s="3649">
        <v>5</v>
      </c>
      <c r="D14" s="3637">
        <v>5</v>
      </c>
      <c r="E14" s="131" t="s">
        <v>1282</v>
      </c>
      <c r="F14" s="1756"/>
      <c r="G14" s="1756"/>
      <c r="H14" s="1756"/>
      <c r="I14" s="1372"/>
    </row>
    <row r="15" spans="1:12" ht="12.75">
      <c r="A15" s="3591"/>
      <c r="B15" s="3646"/>
      <c r="C15" s="3651"/>
      <c r="D15" s="3637"/>
      <c r="E15" s="131" t="s">
        <v>1283</v>
      </c>
      <c r="F15" s="1756"/>
      <c r="G15" s="1756"/>
      <c r="H15" s="1756"/>
      <c r="I15" s="1372"/>
    </row>
    <row r="16" spans="1:12" ht="12.75">
      <c r="A16" s="3591"/>
      <c r="B16" s="3646"/>
      <c r="C16" s="3650"/>
      <c r="D16" s="363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8" t="s">
        <v>2131</v>
      </c>
      <c r="F18" s="3669"/>
      <c r="G18" s="3669"/>
      <c r="H18" s="3669"/>
      <c r="I18" s="3669"/>
      <c r="K18" s="302" t="s">
        <v>1289</v>
      </c>
      <c r="L18" s="302">
        <f>IF(C1="",'数据-汇总表'!E3,SUMIF(项目类型,C1,'数据-汇总表'!E17:E26)+SUMIF(项目类型,C1,'数据-汇总表'!I17:I26))</f>
        <v>34740.85</v>
      </c>
      <c r="M18" s="302">
        <f>IF(C1="",'数据-汇总表'!E3,SUMIF(项目类型,C1,'数据-汇总表'!E17:E26))</f>
        <v>34740.85</v>
      </c>
    </row>
    <row r="19" spans="1:36" ht="15">
      <c r="A19" s="1760" t="s">
        <v>1290</v>
      </c>
      <c r="B19" s="1761" t="s">
        <v>1291</v>
      </c>
      <c r="C19" s="134">
        <f ca="1">SUMIF(INDIRECT("'"&amp;C4&amp;"'"&amp;"!A:A"),结果表!B19,INDIRECT("'"&amp;C4&amp;"'"&amp;"!B:B"))</f>
        <v>95533</v>
      </c>
      <c r="D19" s="135">
        <f ca="1">SUMIF(INDIRECT("'"&amp;D4&amp;"'"&amp;"!A:A"),结果表!B19,INDIRECT("'"&amp;D4&amp;"'"&amp;"!B:B"))</f>
        <v>96069</v>
      </c>
      <c r="E19" s="1760" t="s">
        <v>1292</v>
      </c>
      <c r="F19" s="1761" t="s">
        <v>1291</v>
      </c>
      <c r="G19" s="136">
        <f ca="1">ROUND(C19*$C$18+D19*$D$18,0)</f>
        <v>95801</v>
      </c>
      <c r="H19" s="1762" t="s">
        <v>1293</v>
      </c>
      <c r="I19" s="129"/>
      <c r="K19" s="302" t="s">
        <v>1294</v>
      </c>
      <c r="L19" s="302">
        <f>IF(C1="",'数据-汇总表'!D3,SUMIF(项目类型,C1,'数据-汇总表'!D17:D26)+SUMIF(项目类型,C1,'数据-汇总表'!H17:H27))</f>
        <v>10186.06</v>
      </c>
      <c r="M19" s="302">
        <f>IF(C1="",'数据-汇总表'!D3,SUMIF(项目类型,C1,'数据-汇总表'!D17:D26))</f>
        <v>10186.06</v>
      </c>
    </row>
    <row r="20" spans="1:36" ht="15">
      <c r="A20" s="1763"/>
      <c r="B20" s="1026" t="s">
        <v>1295</v>
      </c>
      <c r="C20" s="137">
        <f ca="1">SUMIF(INDIRECT("'"&amp;C4&amp;"'"&amp;"!A:A"),结果表!B20,INDIRECT("'"&amp;C4&amp;"'"&amp;"!B:B"))</f>
        <v>27499</v>
      </c>
      <c r="D20" s="138">
        <f ca="1">SUMIF(INDIRECT("'"&amp;D4&amp;"'"&amp;"!A:A"),结果表!B20,INDIRECT("'"&amp;D4&amp;"'"&amp;"!B:B"))</f>
        <v>27653</v>
      </c>
      <c r="E20" s="1763"/>
      <c r="F20" s="1026" t="s">
        <v>1295</v>
      </c>
      <c r="G20" s="139">
        <f ca="1">ROUND(C20*$C$18+D20*$D$18,0)</f>
        <v>27576</v>
      </c>
      <c r="H20" s="808" t="s">
        <v>1296</v>
      </c>
      <c r="I20" s="129"/>
    </row>
    <row r="21" spans="1:36" ht="15" customHeight="1" thickBot="1">
      <c r="A21" s="828"/>
      <c r="B21" s="1764" t="s">
        <v>1297</v>
      </c>
      <c r="C21" s="719">
        <f ca="1">ROUND(C19*10000/L19,0)</f>
        <v>93788</v>
      </c>
      <c r="D21" s="720">
        <f ca="1">ROUND(D19*10000/L19,0)</f>
        <v>94314</v>
      </c>
      <c r="E21" s="828"/>
      <c r="F21" s="1764" t="s">
        <v>1297</v>
      </c>
      <c r="G21" s="140">
        <f ca="1">ROUND(G19*10000/L19,0)</f>
        <v>94051</v>
      </c>
      <c r="H21" s="1765" t="s">
        <v>1296</v>
      </c>
      <c r="I21" s="129"/>
    </row>
    <row r="22" spans="1:36" ht="15" thickBot="1">
      <c r="A22" s="1687" t="s">
        <v>1298</v>
      </c>
      <c r="B22" s="1766"/>
      <c r="C22" s="1767"/>
      <c r="D22" s="721">
        <f ca="1">IF(C19&lt;D19,D19/C19-1,C19/D19-1)</f>
        <v>5.6106266944406791E-3</v>
      </c>
      <c r="E22" s="129"/>
      <c r="F22" s="129"/>
      <c r="G22" s="129"/>
      <c r="H22" s="129"/>
      <c r="I22" s="129"/>
    </row>
    <row r="23" spans="1:36" ht="13.5" thickBot="1">
      <c r="A23" s="1746"/>
      <c r="B23" s="1746"/>
      <c r="C23" s="1746"/>
      <c r="D23" s="1746"/>
      <c r="E23" s="129"/>
      <c r="F23" s="129"/>
      <c r="G23" s="129"/>
      <c r="H23" s="129"/>
      <c r="I23" s="129"/>
    </row>
    <row r="24" spans="1:36" ht="14.25">
      <c r="A24" s="3661" t="s">
        <v>1299</v>
      </c>
      <c r="B24" s="1761" t="s">
        <v>1291</v>
      </c>
      <c r="C24" s="136">
        <f>IF(B30=0,0,D30)</f>
        <v>0</v>
      </c>
      <c r="D24" s="1768"/>
      <c r="E24" s="129"/>
      <c r="F24" s="129"/>
      <c r="G24" s="129"/>
      <c r="H24" s="129"/>
      <c r="I24" s="129"/>
    </row>
    <row r="25" spans="1:36" ht="14.25">
      <c r="A25" s="366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f ca="1">G19/'数据-汇总表'!E19</f>
        <v>3.0723892901090943</v>
      </c>
      <c r="D27" s="143">
        <f ca="1">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95801</v>
      </c>
      <c r="D32" s="1774" t="s">
        <v>3420</v>
      </c>
      <c r="E32" s="129"/>
      <c r="F32" s="129"/>
      <c r="G32" s="129"/>
      <c r="H32" s="129"/>
      <c r="I32" s="129"/>
    </row>
    <row r="33" spans="1:15" ht="15">
      <c r="A33" s="786" t="s">
        <v>1306</v>
      </c>
      <c r="B33" s="1775"/>
      <c r="C33" s="1776" t="s">
        <v>3421</v>
      </c>
      <c r="D33" s="1777" t="s">
        <v>3422</v>
      </c>
      <c r="E33" s="1778" t="s">
        <v>1307</v>
      </c>
      <c r="F33" s="1779" t="str">
        <f>IF(D32="楼面单价","取值（单价）","取值（总价）")</f>
        <v>取值（总价）</v>
      </c>
      <c r="G33" s="129"/>
      <c r="H33" s="129"/>
      <c r="I33" s="129"/>
    </row>
    <row r="34" spans="1:15" ht="15">
      <c r="A34" s="1780"/>
      <c r="B34" s="1781" t="s">
        <v>1308</v>
      </c>
      <c r="C34" s="148">
        <f ca="1">IF(C33="自定义",F34,C32-C35)</f>
        <v>76066</v>
      </c>
      <c r="D34" s="861">
        <f ca="1">IF(C33="自定义",ROUND(C34/C32,3),IF(C33="收益比率",SUMIF(INDIRECT("'"&amp;D33&amp;"'"&amp;"!b:b"),"土地收益比率",INDIRECT("'"&amp;D33&amp;"'"&amp;"!c:c")),SUMIF(INDIRECT("'"&amp;D33&amp;"'"&amp;"!b:b"),"土地成本比率",INDIRECT("'"&amp;D33&amp;"'"&amp;"!c:c"))))</f>
        <v>0.79400000000000004</v>
      </c>
      <c r="E34" s="1782" t="s">
        <v>1309</v>
      </c>
      <c r="F34" s="1329"/>
      <c r="G34" s="129"/>
      <c r="H34" s="129"/>
      <c r="I34" s="129"/>
    </row>
    <row r="35" spans="1:15" ht="15.75" thickBot="1">
      <c r="A35" s="1783"/>
      <c r="B35" s="1784" t="s">
        <v>1310</v>
      </c>
      <c r="C35" s="1170">
        <f ca="1">IF(C33="自定义",F35,ROUND(C32*D35,0))</f>
        <v>19735</v>
      </c>
      <c r="D35" s="1171">
        <f ca="1">IF(C33="自定义",ROUND(C35/C32,3),IF(C33="收益比率",SUMIF(INDIRECT("'"&amp;D33&amp;"'"&amp;"!b:b"),"建筑物收益比率",INDIRECT("'"&amp;D33&amp;"'"&amp;"!c:c")),SUMIF(INDIRECT("'"&amp;D33&amp;"'"&amp;"!b:b"),"建筑物成本比率",INDIRECT("'"&amp;D33&amp;"'"&amp;"!c:c"))))</f>
        <v>0.20599999999999999</v>
      </c>
      <c r="E35" s="1785" t="s">
        <v>1311</v>
      </c>
      <c r="F35" s="154"/>
      <c r="G35" s="129"/>
      <c r="H35" s="129"/>
      <c r="I35" s="129"/>
    </row>
    <row r="36" spans="1:15" ht="15.75" thickBot="1">
      <c r="A36" s="3638" t="s">
        <v>1312</v>
      </c>
      <c r="B36" s="1786" t="s">
        <v>1313</v>
      </c>
      <c r="C36" s="145"/>
      <c r="D36" s="1787"/>
      <c r="E36" s="1788"/>
      <c r="F36" s="1789"/>
      <c r="G36" s="129"/>
      <c r="H36" s="129"/>
      <c r="I36" s="129"/>
    </row>
    <row r="37" spans="1:15" ht="15.75" thickBot="1">
      <c r="A37" s="3639"/>
      <c r="B37" s="1673" t="s">
        <v>1314</v>
      </c>
      <c r="C37" s="147"/>
      <c r="D37" s="1139"/>
      <c r="E37" s="1139"/>
      <c r="F37" s="1789"/>
      <c r="G37" s="129"/>
      <c r="H37" s="129"/>
      <c r="I37" s="129"/>
    </row>
    <row r="38" spans="1:15" ht="15.75" thickBot="1">
      <c r="A38" s="364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5">
        <f ca="1">ROUND(H101*F45,0)</f>
        <v>95801</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5"/>
      <c r="I46" s="159"/>
      <c r="J46" s="2522">
        <v>1</v>
      </c>
      <c r="K46" s="3579" t="s">
        <v>1331</v>
      </c>
      <c r="L46" s="3579"/>
      <c r="M46" s="3580"/>
      <c r="N46" s="3580"/>
      <c r="O46" s="3580"/>
    </row>
    <row r="47" spans="1:15" ht="12" customHeight="1">
      <c r="A47" s="160" t="s">
        <v>1332</v>
      </c>
      <c r="B47" s="161"/>
      <c r="C47" s="162"/>
      <c r="D47" s="1087" t="s">
        <v>1333</v>
      </c>
      <c r="E47" s="302" t="s">
        <v>1334</v>
      </c>
      <c r="F47" s="163" t="s">
        <v>1335</v>
      </c>
      <c r="G47" s="2545" t="s">
        <v>1336</v>
      </c>
      <c r="H47" s="2546"/>
      <c r="I47" s="159"/>
      <c r="J47" s="2522">
        <v>2</v>
      </c>
      <c r="K47" s="3579" t="s">
        <v>1337</v>
      </c>
      <c r="L47" s="3579"/>
      <c r="M47" s="3581">
        <f>'数据-取费表'!B2</f>
        <v>45152</v>
      </c>
      <c r="N47" s="3581"/>
      <c r="O47" s="3581"/>
    </row>
    <row r="48" spans="1:15" ht="25.5">
      <c r="A48" s="3641" t="s">
        <v>1338</v>
      </c>
      <c r="B48" s="3642"/>
      <c r="C48" s="3642"/>
      <c r="D48" s="2323">
        <f ca="1">IF(H48="情况1",0,IF(H48="情况2",D52,IF(H48="情况3",D53,IF(H48="情况4",D54))))</f>
        <v>5109</v>
      </c>
      <c r="E48" s="2333" t="str">
        <f>IF(H48="情况4","(销售额-原购置价)×税（费）率","销售额×税（费）率")</f>
        <v>销售额×税（费）率</v>
      </c>
      <c r="F48" s="2547">
        <f>IF(H48="情况1","免征",'数据-取费表'!B41)</f>
        <v>5.6000000000000001E-2</v>
      </c>
      <c r="G48" s="2548" t="s">
        <v>1339</v>
      </c>
      <c r="H48" s="2549" t="s">
        <v>3556</v>
      </c>
      <c r="I48" s="1805"/>
      <c r="J48" s="2522">
        <v>3</v>
      </c>
      <c r="K48" s="3579" t="s">
        <v>1340</v>
      </c>
      <c r="L48" s="3579"/>
      <c r="M48" s="3582">
        <f ca="1">H101</f>
        <v>95801</v>
      </c>
      <c r="N48" s="3582"/>
      <c r="O48" s="3582"/>
    </row>
    <row r="49" spans="1:35" ht="25.5" customHeight="1">
      <c r="A49" s="2332" t="s">
        <v>1341</v>
      </c>
      <c r="B49" s="3627" t="s">
        <v>1342</v>
      </c>
      <c r="C49" s="3627"/>
      <c r="D49" s="1589">
        <v>0</v>
      </c>
      <c r="E49" s="324" t="s">
        <v>1343</v>
      </c>
      <c r="F49" s="2423" t="s">
        <v>28</v>
      </c>
      <c r="G49" s="3610"/>
      <c r="H49" s="2309" t="s">
        <v>2134</v>
      </c>
      <c r="I49" s="2310"/>
      <c r="J49" s="2522">
        <v>4</v>
      </c>
      <c r="K49" s="3579" t="str">
        <f>IF(项目基本情况!E8="房地产抵押价值","房地产抵押价值","抵押担保权已注销时的房地产抵押价值")</f>
        <v>房地产抵押价值</v>
      </c>
      <c r="L49" s="3579"/>
      <c r="M49" s="3582">
        <f ca="1">IF(项目基本情况!E8="房地产抵押价值",H107,H109)</f>
        <v>95801</v>
      </c>
      <c r="N49" s="3582"/>
      <c r="O49" s="3582"/>
    </row>
    <row r="50" spans="1:35" ht="25.5" customHeight="1">
      <c r="A50" s="2550"/>
      <c r="B50" s="3627" t="s">
        <v>1344</v>
      </c>
      <c r="C50" s="3627"/>
      <c r="D50" s="2551"/>
      <c r="E50" s="332"/>
      <c r="F50" s="2423"/>
      <c r="G50" s="3611"/>
      <c r="H50" s="2311" t="s">
        <v>2135</v>
      </c>
      <c r="I50" s="2310"/>
      <c r="J50" s="3578" t="s">
        <v>1345</v>
      </c>
      <c r="K50" s="3578"/>
      <c r="L50" s="3578"/>
      <c r="M50" s="3578"/>
      <c r="N50" s="3578"/>
      <c r="O50" s="3578"/>
    </row>
    <row r="51" spans="1:35" ht="20.45" customHeight="1">
      <c r="A51" s="2552"/>
      <c r="B51" s="3627" t="s">
        <v>1346</v>
      </c>
      <c r="C51" s="3627"/>
      <c r="D51" s="1087"/>
      <c r="E51" s="327"/>
      <c r="F51" s="2423"/>
      <c r="G51" s="3612"/>
      <c r="H51" s="2311" t="s">
        <v>2136</v>
      </c>
      <c r="I51" s="2310"/>
      <c r="J51" s="2523" t="s">
        <v>1347</v>
      </c>
      <c r="K51" s="3579" t="s">
        <v>1348</v>
      </c>
      <c r="L51" s="3579"/>
      <c r="M51" s="2523" t="s">
        <v>1349</v>
      </c>
      <c r="N51" s="2523" t="s">
        <v>1350</v>
      </c>
      <c r="O51" s="2523" t="s">
        <v>1351</v>
      </c>
    </row>
    <row r="52" spans="1:35" ht="24" customHeight="1">
      <c r="A52" s="2334" t="s">
        <v>1352</v>
      </c>
      <c r="B52" s="3627" t="s">
        <v>1353</v>
      </c>
      <c r="C52" s="3627"/>
      <c r="D52" s="1087">
        <f ca="1">ROUND(D45*'数据-取费表'!B41/(1+'数据-取费表'!C42),0)</f>
        <v>5109</v>
      </c>
      <c r="E52" s="2333" t="s">
        <v>1354</v>
      </c>
      <c r="F52" s="2553">
        <f>'数据-取费表'!B41</f>
        <v>5.6000000000000001E-2</v>
      </c>
      <c r="G52" s="2554"/>
      <c r="H52" s="2543"/>
      <c r="I52" s="1806"/>
      <c r="J52" s="2522">
        <v>1</v>
      </c>
      <c r="K52" s="3604" t="s">
        <v>1355</v>
      </c>
      <c r="L52" s="3604"/>
      <c r="M52" s="2524">
        <f ca="1">D48</f>
        <v>5109</v>
      </c>
      <c r="N52" s="2522" t="str">
        <f>E48</f>
        <v>销售额×税（费）率</v>
      </c>
      <c r="O52" s="2525">
        <f>F48</f>
        <v>5.6000000000000001E-2</v>
      </c>
    </row>
    <row r="53" spans="1:35" ht="12" customHeight="1">
      <c r="A53" s="2334" t="s">
        <v>1356</v>
      </c>
      <c r="B53" s="3628" t="s">
        <v>2291</v>
      </c>
      <c r="C53" s="3629"/>
      <c r="D53" s="1087">
        <f ca="1">ROUND(D45*'数据-取费表'!B41/(1+'数据-取费表'!C42),0)</f>
        <v>5109</v>
      </c>
      <c r="E53" s="2333" t="s">
        <v>1354</v>
      </c>
      <c r="F53" s="2553">
        <f>'数据-取费表'!B41</f>
        <v>5.6000000000000001E-2</v>
      </c>
      <c r="G53" s="2554"/>
      <c r="H53" s="2543"/>
      <c r="I53" s="1806"/>
      <c r="J53" s="2522">
        <v>2</v>
      </c>
      <c r="K53" s="3604" t="s">
        <v>1357</v>
      </c>
      <c r="L53" s="3604"/>
      <c r="M53" s="2524">
        <f t="shared" ref="M53:O54" ca="1" si="0">D55</f>
        <v>48</v>
      </c>
      <c r="N53" s="2522" t="str">
        <f t="shared" si="0"/>
        <v>销售额×税（费）率</v>
      </c>
      <c r="O53" s="2525">
        <f t="shared" si="0"/>
        <v>5.0000000000000001E-4</v>
      </c>
    </row>
    <row r="54" spans="1:35" ht="12" customHeight="1">
      <c r="A54" s="2334" t="s">
        <v>1358</v>
      </c>
      <c r="B54" s="3628" t="s">
        <v>2292</v>
      </c>
      <c r="C54" s="3629"/>
      <c r="D54" s="1087">
        <f ca="1">C68</f>
        <v>5109</v>
      </c>
      <c r="E54" s="327" t="s">
        <v>1359</v>
      </c>
      <c r="F54" s="2553">
        <f>'数据-取费表'!B41</f>
        <v>5.6000000000000001E-2</v>
      </c>
      <c r="G54" s="2554"/>
      <c r="H54" s="2555"/>
      <c r="I54" s="1806"/>
      <c r="J54" s="2522">
        <v>3</v>
      </c>
      <c r="K54" s="3604" t="s">
        <v>1360</v>
      </c>
      <c r="L54" s="3604"/>
      <c r="M54" s="2524">
        <f t="shared" ca="1" si="0"/>
        <v>22422</v>
      </c>
      <c r="N54" s="2522" t="str">
        <f t="shared" si="0"/>
        <v>增值额×税（费）率</v>
      </c>
      <c r="O54" s="2526" t="str">
        <f t="shared" si="0"/>
        <v>——</v>
      </c>
    </row>
    <row r="55" spans="1:35" ht="24" customHeight="1">
      <c r="A55" s="3664" t="s">
        <v>1361</v>
      </c>
      <c r="B55" s="3642"/>
      <c r="C55" s="3642"/>
      <c r="D55" s="2323">
        <f ca="1">IF(H55="个人住宅",0,ROUND(D45*I55,0))</f>
        <v>48</v>
      </c>
      <c r="E55" s="2333" t="s">
        <v>1362</v>
      </c>
      <c r="F55" s="2553">
        <f>IF(H55="正常",I55,"免征")</f>
        <v>5.0000000000000001E-4</v>
      </c>
      <c r="G55" s="2554"/>
      <c r="H55" s="2549" t="s">
        <v>3423</v>
      </c>
      <c r="I55" s="165">
        <f>'数据-取费表'!B49</f>
        <v>5.0000000000000001E-4</v>
      </c>
      <c r="J55" s="2522" t="str">
        <f>IF(H59="非个人房产","",4)</f>
        <v/>
      </c>
      <c r="K55" s="3604" t="str">
        <f>IF(H59="非个人房产","——","个人所得税")</f>
        <v>——</v>
      </c>
      <c r="L55" s="3604"/>
      <c r="M55" s="2527" t="str">
        <f>D59</f>
        <v>——</v>
      </c>
      <c r="N55" s="2039" t="str">
        <f>E59</f>
        <v>——</v>
      </c>
      <c r="O55" s="2528" t="str">
        <f>F59</f>
        <v>——</v>
      </c>
    </row>
    <row r="56" spans="1:35" ht="24.75">
      <c r="A56" s="3664" t="s">
        <v>1363</v>
      </c>
      <c r="B56" s="3642"/>
      <c r="C56" s="3642"/>
      <c r="D56" s="2323">
        <f ca="1">IF(H56="个人住宅",D57,D58)</f>
        <v>22422</v>
      </c>
      <c r="E56" s="2333" t="s">
        <v>1364</v>
      </c>
      <c r="F56" s="2553" t="str">
        <f>IF(H56="正常",F58,"免征")</f>
        <v>——</v>
      </c>
      <c r="G56" s="2556" t="s">
        <v>1365</v>
      </c>
      <c r="H56" s="2557" t="s">
        <v>3423</v>
      </c>
      <c r="I56" s="1807"/>
      <c r="J56" s="2522" t="str">
        <f>IF(项目基本情况!K6="上海银行",IF(J55="",4,J55+1),"")</f>
        <v/>
      </c>
      <c r="K56" s="3585" t="str">
        <f>IF(项目基本情况!K6="上海银行","其他处置费用","")</f>
        <v/>
      </c>
      <c r="L56" s="3586"/>
      <c r="M56" s="2524" t="str">
        <f>IF(项目基本情况!K6="上海银行",M69,"")</f>
        <v/>
      </c>
      <c r="N56" s="3585" t="str">
        <f>IF(项目基本情况!K6="上海银行","包含处置中涉及的律师、诉讼、拍卖、评估等费用","")</f>
        <v/>
      </c>
      <c r="O56" s="3588"/>
    </row>
    <row r="57" spans="1:35" ht="12.75">
      <c r="A57" s="2334" t="s">
        <v>1341</v>
      </c>
      <c r="B57" s="3628" t="s">
        <v>1366</v>
      </c>
      <c r="C57" s="3629"/>
      <c r="D57" s="1589">
        <v>0</v>
      </c>
      <c r="E57" s="324" t="s">
        <v>1343</v>
      </c>
      <c r="F57" s="302"/>
      <c r="G57" s="2554"/>
      <c r="H57" s="2558"/>
      <c r="I57" s="1807"/>
      <c r="J57" s="3604">
        <f>IF(AND(J55="",J56=""),4,IF(项目基本情况!K6="上海银行",结果表!J56+1,结果表!J55+1))</f>
        <v>4</v>
      </c>
      <c r="K57" s="3604" t="s">
        <v>1367</v>
      </c>
      <c r="L57" s="2529" t="s">
        <v>1368</v>
      </c>
      <c r="M57" s="2530"/>
      <c r="N57" s="2531">
        <f ca="1">SUMIF(M52:M56,"&lt;9e307")</f>
        <v>27579</v>
      </c>
      <c r="O57" s="2532"/>
      <c r="P57" s="2689">
        <f ca="1">N57/M49</f>
        <v>0.28787799709815137</v>
      </c>
    </row>
    <row r="58" spans="1:35" ht="24.75">
      <c r="A58" s="2334" t="s">
        <v>1352</v>
      </c>
      <c r="B58" s="3628" t="s">
        <v>1369</v>
      </c>
      <c r="C58" s="3627"/>
      <c r="D58" s="2323">
        <f ca="1">IF(H58="转让取得",C81,C97)</f>
        <v>22422</v>
      </c>
      <c r="E58" s="2333" t="s">
        <v>1364</v>
      </c>
      <c r="F58" s="302" t="s">
        <v>28</v>
      </c>
      <c r="G58" s="2554"/>
      <c r="H58" s="2557" t="s">
        <v>3557</v>
      </c>
      <c r="I58" s="1807"/>
      <c r="J58" s="3604"/>
      <c r="K58" s="3604"/>
      <c r="L58" s="2529" t="s">
        <v>1370</v>
      </c>
      <c r="M58" s="2533"/>
      <c r="N58" s="2534" t="str">
        <f ca="1">NUMBERSTRING(INT(N57*10000),2)&amp;"元整"</f>
        <v>贰亿柒仟伍佰柒拾玖万元整</v>
      </c>
      <c r="O58" s="2535"/>
    </row>
    <row r="59" spans="1:35" ht="24.75" thickBot="1">
      <c r="A59" s="3608" t="s">
        <v>1371</v>
      </c>
      <c r="B59" s="3609"/>
      <c r="C59" s="360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3558</v>
      </c>
      <c r="I59" s="2312" t="s">
        <v>2137</v>
      </c>
      <c r="J59" s="3606">
        <f>J57+1</f>
        <v>5</v>
      </c>
      <c r="K59" s="3604" t="s">
        <v>1372</v>
      </c>
      <c r="L59" s="2522" t="s">
        <v>1368</v>
      </c>
      <c r="M59" s="2536"/>
      <c r="N59" s="2537">
        <f ca="1">M49-N57</f>
        <v>68222</v>
      </c>
      <c r="O59" s="2538"/>
    </row>
    <row r="60" spans="1:35" ht="12" customHeight="1">
      <c r="A60" s="1808"/>
      <c r="B60" s="1746"/>
      <c r="C60" s="1746"/>
      <c r="D60" s="1746"/>
      <c r="E60" s="1577"/>
      <c r="F60" s="1807"/>
      <c r="G60" s="1807"/>
      <c r="H60" s="1809"/>
      <c r="I60" s="129"/>
      <c r="J60" s="3607"/>
      <c r="K60" s="3604"/>
      <c r="L60" s="2529" t="s">
        <v>1370</v>
      </c>
      <c r="M60" s="2533"/>
      <c r="N60" s="2534" t="str">
        <f ca="1">NUMBERSTRING(INT(N59*10000),2)&amp;"元整"</f>
        <v>陆亿捌仟贰佰贰拾贰万元整</v>
      </c>
      <c r="O60" s="2535"/>
    </row>
    <row r="61" spans="1:35" ht="13.5" thickBot="1">
      <c r="A61" s="3663" t="s">
        <v>1373</v>
      </c>
      <c r="B61" s="3663"/>
      <c r="C61" s="3663"/>
      <c r="D61" s="3663"/>
      <c r="E61" s="3663"/>
      <c r="F61" s="1807"/>
      <c r="G61" s="1807"/>
      <c r="H61" s="1809"/>
      <c r="I61" s="129"/>
      <c r="J61" s="2522">
        <f>J59+1</f>
        <v>6</v>
      </c>
      <c r="K61" s="3604" t="s">
        <v>1374</v>
      </c>
      <c r="L61" s="3604"/>
      <c r="M61" s="2539"/>
      <c r="N61" s="2540">
        <f ca="1">ROUND(N59*10000/'数据-汇总表'!E3,0)</f>
        <v>19637</v>
      </c>
      <c r="O61" s="2541"/>
    </row>
    <row r="62" spans="1:35" ht="12.75">
      <c r="A62" s="3623" t="s">
        <v>1375</v>
      </c>
      <c r="B62" s="3624"/>
      <c r="C62" s="2020"/>
      <c r="D62" s="2020" t="s">
        <v>1376</v>
      </c>
      <c r="E62" s="166" t="s">
        <v>1377</v>
      </c>
      <c r="F62" s="1807"/>
      <c r="G62" s="1807"/>
      <c r="H62" s="1809"/>
      <c r="I62" s="129"/>
    </row>
    <row r="63" spans="1:35" ht="12.75">
      <c r="A63" s="173" t="s">
        <v>330</v>
      </c>
      <c r="B63" s="167" t="s">
        <v>1378</v>
      </c>
      <c r="C63" s="2563">
        <f ca="1">ROUND((C64+C65)/(1+'数据-取费表'!C42),0)</f>
        <v>91239</v>
      </c>
      <c r="D63" s="167"/>
      <c r="E63" s="168"/>
      <c r="F63" s="1807"/>
      <c r="G63" s="1807"/>
      <c r="H63" s="1809"/>
      <c r="I63" s="129"/>
      <c r="J63" s="3587" t="s">
        <v>1379</v>
      </c>
      <c r="K63" s="1331" t="s">
        <v>1380</v>
      </c>
      <c r="L63" s="1331">
        <f ca="1">IF(M49&gt;10000,M49*0.5%,IF(AND(M49&gt;1000,M49&lt;=10000),M49*1%,IF(AND(M49&gt;100,M49&lt;=1000),M49*3%,IF(AND(M49&gt;10,M49&lt;=100),M49*5%,M49*8%))))</f>
        <v>479.005</v>
      </c>
      <c r="M63" s="302">
        <f ca="1">ROUND(L63,1)</f>
        <v>479</v>
      </c>
      <c r="N63" s="2542"/>
      <c r="Z63" s="1751"/>
      <c r="AI63" s="1752"/>
    </row>
    <row r="64" spans="1:35" ht="14.25" customHeight="1">
      <c r="A64" s="169" t="s">
        <v>325</v>
      </c>
      <c r="B64" s="170" t="s">
        <v>1381</v>
      </c>
      <c r="C64" s="2564">
        <f ca="1">D45</f>
        <v>95801</v>
      </c>
      <c r="D64" s="170" t="s">
        <v>26</v>
      </c>
      <c r="E64" s="172"/>
      <c r="F64" s="1807"/>
      <c r="G64" s="1807"/>
      <c r="H64" s="1809"/>
      <c r="I64" s="129"/>
      <c r="J64" s="3587"/>
      <c r="K64" s="1331" t="s">
        <v>1382</v>
      </c>
      <c r="L64" s="1331">
        <f ca="1">IF(M49&gt;2000,M49*0.5%,IF(AND(M49&gt;1000,M49&lt;=2000),M49*0.6%,IF(AND(M49&gt;500,M49&lt;=1000),M49*0.7%,IF(AND(M49&gt;200,M49&lt;=500),M49*0.8%,IF(AND(M49&gt;100,M49&lt;=200),M49*0.9%,IF(AND(M49&gt;50,M49&lt;=100),M49*1%,IF(AND(M49&gt;20,M49&lt;=50),M49*1.5%,IF(AND(M49&gt;10,M49&lt;=20),M49*2%,IF(AND(M49&gt;1,M49&lt;=10),M49*2.5%)))))))))</f>
        <v>479.005</v>
      </c>
      <c r="M64" s="302">
        <f t="shared" ref="M64:M65" ca="1" si="1">ROUND(L64,1)</f>
        <v>479</v>
      </c>
      <c r="N64" s="2543" t="s">
        <v>1383</v>
      </c>
      <c r="Z64" s="1751"/>
      <c r="AI64" s="1752"/>
    </row>
    <row r="65" spans="1:35" ht="14.25" customHeight="1">
      <c r="A65" s="169" t="s">
        <v>326</v>
      </c>
      <c r="B65" s="170" t="s">
        <v>1384</v>
      </c>
      <c r="C65" s="2565"/>
      <c r="D65" s="170"/>
      <c r="E65" s="172"/>
      <c r="F65" s="1807"/>
      <c r="G65" s="1807"/>
      <c r="H65" s="1809"/>
      <c r="I65" s="129"/>
      <c r="J65" s="3587"/>
      <c r="K65" s="1331" t="s">
        <v>1385</v>
      </c>
      <c r="L65" s="1331">
        <f ca="1">IF(M49&gt;1000,M49*0.1%,IF(AND(M49&gt;500,M49&lt;=1000),M49*0.5%,IF(AND(M49&gt;50,M49&lt;=500),M49*1%,IF(AND(M49&gt;1,M49&lt;=50),M49*1.5%))))</f>
        <v>95.801000000000002</v>
      </c>
      <c r="M65" s="302">
        <f t="shared" ca="1" si="1"/>
        <v>95.8</v>
      </c>
      <c r="N65" s="2543" t="s">
        <v>1383</v>
      </c>
      <c r="Z65" s="1751"/>
      <c r="AI65" s="1752"/>
    </row>
    <row r="66" spans="1:35" ht="14.25" customHeight="1">
      <c r="A66" s="173" t="s">
        <v>327</v>
      </c>
      <c r="B66" s="174" t="s">
        <v>1386</v>
      </c>
      <c r="C66" s="2566"/>
      <c r="D66" s="174" t="s">
        <v>26</v>
      </c>
      <c r="E66" s="1337" t="s">
        <v>671</v>
      </c>
      <c r="F66" s="1807"/>
      <c r="G66" s="1807"/>
      <c r="H66" s="1809"/>
      <c r="I66" s="129"/>
      <c r="J66" s="3587"/>
      <c r="K66" s="1331" t="s">
        <v>1387</v>
      </c>
      <c r="L66" s="1331">
        <f ca="1">M49*0.5%</f>
        <v>479.005</v>
      </c>
      <c r="M66" s="302">
        <f ca="1">IF(L66&gt;0.5,0.5,ROUND(L66,0))</f>
        <v>0.5</v>
      </c>
      <c r="N66" s="2543" t="s">
        <v>1388</v>
      </c>
      <c r="Z66" s="1751"/>
      <c r="AI66" s="1752"/>
    </row>
    <row r="67" spans="1:35" ht="14.25" customHeight="1">
      <c r="A67" s="173" t="s">
        <v>328</v>
      </c>
      <c r="B67" s="174" t="s">
        <v>1389</v>
      </c>
      <c r="C67" s="2567">
        <f ca="1">C63-C66</f>
        <v>91239</v>
      </c>
      <c r="D67" s="170" t="s">
        <v>26</v>
      </c>
      <c r="E67" s="172"/>
      <c r="F67" s="1807"/>
      <c r="G67" s="1807"/>
      <c r="H67" s="1809"/>
      <c r="I67" s="129"/>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16.830100000000002</v>
      </c>
      <c r="M67" s="302">
        <f ca="1">ROUND(L67*0.9,1)</f>
        <v>15.1</v>
      </c>
      <c r="N67" s="2542"/>
      <c r="Z67" s="1751"/>
      <c r="AI67" s="1752"/>
    </row>
    <row r="68" spans="1:35" ht="14.25" customHeight="1" thickBot="1">
      <c r="A68" s="176" t="s">
        <v>329</v>
      </c>
      <c r="B68" s="177" t="s">
        <v>1391</v>
      </c>
      <c r="C68" s="2568">
        <f ca="1">IF(C67&lt;=0,0,ROUND(C67*D68,0))</f>
        <v>5109</v>
      </c>
      <c r="D68" s="2569">
        <f>'数据-取费表'!B41</f>
        <v>5.6000000000000001E-2</v>
      </c>
      <c r="E68" s="178"/>
      <c r="F68" s="1807"/>
      <c r="G68" s="1807"/>
      <c r="H68" s="1809"/>
      <c r="I68" s="129"/>
      <c r="J68" s="3587"/>
      <c r="K68" s="1331" t="s">
        <v>1392</v>
      </c>
      <c r="L68" s="1331">
        <f ca="1">IF(M49&gt;10000,M49*0.5%,IF(AND(M49&gt;5000,M49&lt;=10000),M49*1%,IF(AND(M49&gt;1000,M49&lt;=5000),M49*2%,IF(AND(M49&gt;200,M49&lt;=1000),M49*3%,M49*5%))))</f>
        <v>479.005</v>
      </c>
      <c r="M68" s="302">
        <f ca="1">ROUND(L68,1)</f>
        <v>479</v>
      </c>
      <c r="N68" s="2542"/>
      <c r="Z68" s="1751"/>
      <c r="AI68" s="1752"/>
    </row>
    <row r="69" spans="1:35" s="1771" customFormat="1" ht="16.5" customHeight="1">
      <c r="A69" s="1810"/>
      <c r="B69" s="1811"/>
      <c r="C69" s="1812"/>
      <c r="D69" s="1813"/>
      <c r="E69" s="1814"/>
      <c r="F69" s="1577"/>
      <c r="G69" s="1577"/>
      <c r="H69" s="1576"/>
      <c r="I69" s="1746"/>
      <c r="J69" s="3587"/>
      <c r="K69" s="1331" t="s">
        <v>1393</v>
      </c>
      <c r="L69" s="1331"/>
      <c r="M69" s="302">
        <f ca="1">ROUND(SUM(M63:M68),0)</f>
        <v>1548</v>
      </c>
      <c r="N69" s="2544">
        <f ca="1">M69/M49</f>
        <v>1.6158495214037432E-2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91239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547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t="s">
        <v>3559</v>
      </c>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t="s">
        <v>3560</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547</v>
      </c>
      <c r="D78" s="2576">
        <f>'数据-取费表'!B43</f>
        <v>6.000000000000001E-3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90692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165.79890310786107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54224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91239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35688.148943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8110.6421660000015</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f>(77517220.12+1189201.54)/10000</f>
        <v>7870.6421660000015</v>
      </c>
      <c r="D88" s="2576"/>
      <c r="E88" s="193" t="s">
        <v>1413</v>
      </c>
      <c r="F88" s="2326"/>
      <c r="G88" s="194" t="s">
        <v>1414</v>
      </c>
      <c r="H88" s="1823" t="s">
        <v>3554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240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9" t="s">
        <v>2129</v>
      </c>
      <c r="H90" s="359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23835.506776999999</v>
      </c>
      <c r="D91" s="2576"/>
      <c r="E91" s="3620" t="s">
        <v>1419</v>
      </c>
      <c r="F91" s="3621"/>
      <c r="G91" s="3621"/>
      <c r="H91" s="1824" t="s">
        <v>3555</v>
      </c>
      <c r="I91" s="1825">
        <f>(216774838.14+8259415.35+7933569.41+5387244.87)/10000</f>
        <v>23835.506776999999</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3195</v>
      </c>
      <c r="D92" s="2582">
        <v>0.1</v>
      </c>
      <c r="E92" s="3620" t="s">
        <v>1422</v>
      </c>
      <c r="F92" s="3621"/>
      <c r="G92" s="3621"/>
      <c r="H92" s="362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547</v>
      </c>
      <c r="D93" s="2576">
        <f>'数据-取费表'!B43</f>
        <v>6.000000000000001E-3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v>0</v>
      </c>
      <c r="D94" s="2576">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55551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1.5565671419026055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22422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4" t="str">
        <f>C4</f>
        <v>成本法</v>
      </c>
      <c r="D101" s="2585" t="str">
        <f>D4</f>
        <v>收益法（汇总）</v>
      </c>
      <c r="E101" s="3583" t="s">
        <v>1431</v>
      </c>
      <c r="F101" s="3584"/>
      <c r="G101" s="1826" t="s">
        <v>1432</v>
      </c>
      <c r="H101" s="2594">
        <f ca="1">H118</f>
        <v>95801</v>
      </c>
      <c r="I101" s="129"/>
    </row>
    <row r="102" spans="1:35" ht="18.75" customHeight="1">
      <c r="A102" s="3615" t="s">
        <v>1433</v>
      </c>
      <c r="B102" s="2583" t="s">
        <v>1432</v>
      </c>
      <c r="C102" s="2584">
        <f ca="1">IF(D32="楼面单价",ROUND(C19,0),C19)</f>
        <v>95533</v>
      </c>
      <c r="D102" s="2585">
        <f ca="1">IF(D32="楼面单价",ROUND(D19,0),D19)</f>
        <v>96069</v>
      </c>
      <c r="E102" s="3583"/>
      <c r="F102" s="3584"/>
      <c r="G102" s="1826" t="s">
        <v>1434</v>
      </c>
      <c r="H102" s="2554">
        <f ca="1">I118</f>
        <v>27576</v>
      </c>
      <c r="I102" s="129"/>
    </row>
    <row r="103" spans="1:35" ht="42.75" customHeight="1">
      <c r="A103" s="3615"/>
      <c r="B103" s="2583" t="s">
        <v>1434</v>
      </c>
      <c r="C103" s="2586">
        <f ca="1">C20</f>
        <v>27499</v>
      </c>
      <c r="D103" s="2587">
        <f ca="1">D20</f>
        <v>27653</v>
      </c>
      <c r="E103" s="3576" t="s">
        <v>1435</v>
      </c>
      <c r="F103" s="3577"/>
      <c r="G103" s="1827" t="s">
        <v>1436</v>
      </c>
      <c r="H103" s="2594">
        <f>IF(D36="正常操作",H104+H105+H106,H105+H106)</f>
        <v>0</v>
      </c>
      <c r="I103" s="129"/>
    </row>
    <row r="104" spans="1:35" ht="18.75" customHeight="1">
      <c r="A104" s="3615" t="s">
        <v>1437</v>
      </c>
      <c r="B104" s="2588" t="s">
        <v>1432</v>
      </c>
      <c r="C104" s="2589">
        <f ca="1">H118</f>
        <v>95801</v>
      </c>
      <c r="D104" s="2590"/>
      <c r="E104" s="1673" t="s">
        <v>1438</v>
      </c>
      <c r="F104" s="1665"/>
      <c r="G104" s="1827" t="s">
        <v>1436</v>
      </c>
      <c r="H104" s="2595">
        <f>IF(D36="同一抵押权人同一抵押物续贷",C36&amp;"（续贷，未扣减，详见特别提示）",C36)</f>
        <v>0</v>
      </c>
      <c r="I104" s="129"/>
    </row>
    <row r="105" spans="1:35" ht="18.75" customHeight="1" thickBot="1">
      <c r="A105" s="3625"/>
      <c r="B105" s="2591" t="s">
        <v>1434</v>
      </c>
      <c r="C105" s="2592">
        <f ca="1">I118</f>
        <v>27576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6" t="str">
        <f>IF(项目基本情况!E8="已注销","——","3.房地产抵押价值")</f>
        <v>3.房地产抵押价值</v>
      </c>
      <c r="F107" s="3584"/>
      <c r="G107" s="1826" t="s">
        <v>1432</v>
      </c>
      <c r="H107" s="2594">
        <f ca="1">IF(E107="——","——",H101-H103)</f>
        <v>95801</v>
      </c>
      <c r="I107" s="129"/>
    </row>
    <row r="108" spans="1:35" ht="18.75" customHeight="1">
      <c r="A108" s="129"/>
      <c r="B108" s="129"/>
      <c r="C108" s="129"/>
      <c r="D108" s="129"/>
      <c r="E108" s="3616"/>
      <c r="F108" s="3584"/>
      <c r="G108" s="1826" t="s">
        <v>1434</v>
      </c>
      <c r="H108" s="2554">
        <f ca="1">IF(H107=H101,H102,ROUND(H107*10000/'数据-汇总表'!E3,0))</f>
        <v>27576</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6" t="s">
        <v>1432</v>
      </c>
      <c r="H109" s="2597" t="str">
        <f>IF(E109="——","——",H101-H105-H106)</f>
        <v>——</v>
      </c>
      <c r="I109" s="129"/>
    </row>
    <row r="110" spans="1:35" ht="18.75" customHeight="1">
      <c r="A110" s="129"/>
      <c r="B110" s="129"/>
      <c r="C110" s="129"/>
      <c r="D110" s="129"/>
      <c r="E110" s="3616"/>
      <c r="F110" s="3584"/>
      <c r="G110" s="1826"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603"/>
      <c r="G111" s="1826" t="s">
        <v>1432</v>
      </c>
      <c r="H111" s="2594">
        <f ca="1">IF(E111="——","——",N59)</f>
        <v>68222</v>
      </c>
      <c r="I111" s="129"/>
    </row>
    <row r="112" spans="1:35" ht="18.75" customHeight="1" thickBot="1">
      <c r="A112" s="129"/>
      <c r="B112" s="129"/>
      <c r="C112" s="129"/>
      <c r="D112" s="129"/>
      <c r="E112" s="3618"/>
      <c r="F112" s="3619"/>
      <c r="G112" s="1829" t="s">
        <v>1434</v>
      </c>
      <c r="H112" s="2598">
        <f ca="1">IF(E111="——","——",N61)</f>
        <v>19637</v>
      </c>
      <c r="I112" s="129"/>
    </row>
    <row r="113" spans="1:27" ht="18.75" customHeight="1">
      <c r="A113" s="129"/>
      <c r="B113" s="129"/>
      <c r="C113" s="129"/>
      <c r="D113" s="129"/>
      <c r="E113" s="3626" t="s">
        <v>1440</v>
      </c>
      <c r="F113" s="3626"/>
      <c r="G113" s="3626"/>
      <c r="H113" s="3626"/>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34740.85</v>
      </c>
      <c r="C118" s="2328">
        <f>M19</f>
        <v>10186.06</v>
      </c>
      <c r="D118" s="2328">
        <f ca="1">ROUND(IF(D32="总价",C34,E118*B118/10000),0)</f>
        <v>76066</v>
      </c>
      <c r="E118" s="2328">
        <f ca="1">ROUND(IF(C33="自定义",IF(D32="楼面单价",C34,D118*10000/B118),I118-G118),0)</f>
        <v>21895</v>
      </c>
      <c r="F118" s="2328">
        <f ca="1">ROUND(IF(D32="总价",C35,G118*B118/10000),0)</f>
        <v>19735</v>
      </c>
      <c r="G118" s="2328">
        <f ca="1">ROUND(IF(D32="楼面单价",C35,F118*10000/B118),0)</f>
        <v>5681</v>
      </c>
      <c r="H118" s="2328">
        <f ca="1">ROUND(IF(D32="总价",C32,I118*B118/10000),0)</f>
        <v>95801</v>
      </c>
      <c r="I118" s="2328">
        <f ca="1">ROUND(IF(D32="楼面单价",C32,H118*10000/B118),0)</f>
        <v>27576</v>
      </c>
    </row>
    <row r="119" spans="1:27" ht="18.75" customHeight="1">
      <c r="A119" s="3591" t="s">
        <v>1452</v>
      </c>
      <c r="B119" s="3591"/>
      <c r="C119" s="3591"/>
      <c r="D119" s="3597" t="str">
        <f ca="1">NUMBERSTRING(INT(D118*10000),2)&amp;"元整"</f>
        <v>柒亿陆仟零陆拾陆万元整</v>
      </c>
      <c r="E119" s="3598"/>
      <c r="F119" s="3597" t="str">
        <f ca="1">NUMBERSTRING(INT(F118*10000),2)&amp;"元整"</f>
        <v>壹亿玖仟柒佰叁拾伍万元整</v>
      </c>
      <c r="G119" s="3598"/>
      <c r="H119" s="3597" t="str">
        <f ca="1">NUMBERSTRING(INT(H118*10000),2)&amp;"元整"</f>
        <v>玖亿伍仟捌佰零壹万元整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房地产抵押价值</v>
      </c>
      <c r="B122" s="3603"/>
      <c r="C122" s="3603"/>
      <c r="D122" s="3592">
        <f ca="1">H107</f>
        <v>95801</v>
      </c>
      <c r="E122" s="3593"/>
      <c r="F122" s="3593"/>
      <c r="G122" s="3593"/>
      <c r="H122" s="3593"/>
      <c r="I122" s="3594"/>
      <c r="AA122" s="725"/>
    </row>
    <row r="123" spans="1:27" ht="18.75" customHeight="1">
      <c r="A123" s="3591" t="s">
        <v>1452</v>
      </c>
      <c r="B123" s="3591"/>
      <c r="C123" s="3591"/>
      <c r="D123" s="3597" t="str">
        <f ca="1">NUMBERSTRING(INT(D122*10000),2)&amp;"元整"</f>
        <v>玖亿伍仟捌佰零壹万元整</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抵押净值</v>
      </c>
      <c r="B126" s="3603"/>
      <c r="C126" s="3603"/>
      <c r="D126" s="3592">
        <f ca="1">H111</f>
        <v>68222</v>
      </c>
      <c r="E126" s="3593"/>
      <c r="F126" s="3593"/>
      <c r="G126" s="3593"/>
      <c r="H126" s="3593"/>
      <c r="I126" s="3594"/>
      <c r="AA126" s="725"/>
    </row>
    <row r="127" spans="1:27" ht="18.75" customHeight="1">
      <c r="A127" s="3591" t="s">
        <v>1452</v>
      </c>
      <c r="B127" s="3591"/>
      <c r="C127" s="3591"/>
      <c r="D127" s="3597" t="str">
        <f ca="1">NUMBERSTRING(INT(D126*10000),2)&amp;"元整"</f>
        <v>陆亿捌仟贰佰贰拾贰万元整</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北京市房地产抵押价值预评估</v>
      </c>
      <c r="C37" s="3487"/>
      <c r="D37" s="3487"/>
      <c r="E37" s="3487"/>
      <c r="F37" s="3487"/>
      <c r="G37" s="3487"/>
      <c r="H37" s="3487"/>
      <c r="I37" s="348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96069</v>
      </c>
      <c r="C2" s="1871" t="s">
        <v>1651</v>
      </c>
      <c r="D2" s="1872" t="s">
        <v>1652</v>
      </c>
      <c r="E2" s="2606">
        <f>SUM(E6:E13)</f>
        <v>34740.85</v>
      </c>
      <c r="F2" s="2706"/>
      <c r="G2" s="1488"/>
      <c r="H2" s="1488"/>
      <c r="I2" s="1488"/>
      <c r="J2" s="1488"/>
      <c r="K2" s="1488"/>
      <c r="L2" s="1488"/>
      <c r="M2" s="1488"/>
      <c r="N2" s="1488"/>
      <c r="O2" s="1488"/>
      <c r="P2" s="1488"/>
      <c r="Q2" s="1488"/>
      <c r="R2" s="1488"/>
      <c r="S2" s="1488"/>
    </row>
    <row r="3" spans="1:22" ht="15.75">
      <c r="A3" s="1869" t="s">
        <v>686</v>
      </c>
      <c r="B3" s="2600">
        <f ca="1">ROUND(B2*10000/E2,0)</f>
        <v>27653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0" t="s">
        <v>1654</v>
      </c>
      <c r="C5" s="367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94634</v>
      </c>
      <c r="C6" s="1871" t="s">
        <v>1651</v>
      </c>
      <c r="D6" s="2708"/>
      <c r="E6" s="2605">
        <f>IF(OR(A6=0,F6="否"),0,'数据-取费表'!K6+'数据-取费表'!S6)</f>
        <v>31181.27</v>
      </c>
      <c r="F6" s="1875" t="s">
        <v>1657</v>
      </c>
      <c r="G6" s="1488"/>
      <c r="H6" s="1488"/>
      <c r="I6" s="1488"/>
      <c r="J6" s="1488"/>
      <c r="K6" s="1488"/>
      <c r="L6" s="1488"/>
      <c r="M6" s="1488"/>
      <c r="N6" s="1488"/>
      <c r="O6" s="1488"/>
      <c r="P6" s="1488"/>
      <c r="Q6" s="1488"/>
      <c r="R6" s="1488"/>
      <c r="S6" s="1488"/>
    </row>
    <row r="7" spans="1:22">
      <c r="A7" s="2603" t="str">
        <f>'数据-取费表'!AN7</f>
        <v>收益法-车库</v>
      </c>
      <c r="B7" s="2601">
        <f ca="1">IF(F7="是",'数据-取费表'!AO7,0)</f>
        <v>1435</v>
      </c>
      <c r="C7" s="1871" t="s">
        <v>1651</v>
      </c>
      <c r="D7" s="2708"/>
      <c r="E7" s="2605">
        <f>IF(OR(A7=0,F7="否"),0,'数据-取费表'!K7+'数据-取费表'!S7)</f>
        <v>3559.58</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22.41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94634</v>
      </c>
      <c r="C2" s="1386" t="s">
        <v>805</v>
      </c>
      <c r="D2" s="1386"/>
      <c r="E2" s="1387"/>
      <c r="F2" s="1388"/>
      <c r="G2" s="2705"/>
      <c r="H2" s="2694"/>
      <c r="I2" s="2694"/>
      <c r="J2" s="2694"/>
      <c r="K2" s="2695"/>
      <c r="L2" s="2694"/>
      <c r="M2" s="2694"/>
    </row>
    <row r="3" spans="1:37" ht="18" customHeight="1" thickBot="1">
      <c r="A3" s="1389" t="s">
        <v>806</v>
      </c>
      <c r="B3" s="1390">
        <f ca="1">IF(ISERROR(B2*10000/F43),0,ROUND(B2*10000/F43,0))</f>
        <v>30350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7343</v>
      </c>
      <c r="D5" s="1363" t="s">
        <v>693</v>
      </c>
      <c r="E5" s="1071"/>
      <c r="F5" s="1072"/>
      <c r="G5" s="1383"/>
      <c r="H5" s="299">
        <v>1</v>
      </c>
      <c r="I5" s="300" t="s">
        <v>692</v>
      </c>
      <c r="J5" s="1070">
        <f ca="1">J6+J10+J12</f>
        <v>0</v>
      </c>
      <c r="K5" s="1363" t="s">
        <v>693</v>
      </c>
      <c r="L5" s="1071"/>
      <c r="M5" s="1072"/>
    </row>
    <row r="6" spans="1:37" ht="18" customHeight="1">
      <c r="A6" s="1069" t="s">
        <v>398</v>
      </c>
      <c r="B6" s="3674" t="s">
        <v>694</v>
      </c>
      <c r="C6" s="1074">
        <f ca="1">ROUND(F6*F8*F7*(1-F9)/10000,0)</f>
        <v>7334</v>
      </c>
      <c r="D6" s="155" t="s">
        <v>2109</v>
      </c>
      <c r="E6" s="302" t="s">
        <v>696</v>
      </c>
      <c r="F6" s="303">
        <f ca="1">INDIRECT("'数据-取费表'!u"&amp;$G$1)</f>
        <v>7.16</v>
      </c>
      <c r="G6" s="1383"/>
      <c r="H6" s="1069" t="s">
        <v>398</v>
      </c>
      <c r="I6" s="3674" t="s">
        <v>694</v>
      </c>
      <c r="J6" s="301">
        <f ca="1">ROUND(M6*M8*M7*(1-M9)/10000,0)</f>
        <v>0</v>
      </c>
      <c r="K6" s="155" t="s">
        <v>2108</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31181.27</v>
      </c>
      <c r="G7" s="1383"/>
      <c r="H7" s="304"/>
      <c r="I7" s="3675"/>
      <c r="J7" s="306"/>
      <c r="K7" s="307"/>
      <c r="L7" s="302" t="s">
        <v>697</v>
      </c>
      <c r="M7" s="303">
        <f ca="1">F7</f>
        <v>31181.27</v>
      </c>
    </row>
    <row r="8" spans="1:37" ht="18" customHeight="1">
      <c r="A8" s="304"/>
      <c r="B8" s="3675"/>
      <c r="C8" s="306"/>
      <c r="D8" s="307"/>
      <c r="E8" s="302" t="s">
        <v>698</v>
      </c>
      <c r="F8" s="303">
        <f ca="1">INDIRECT("'数据-取费表'!ai"&amp;$G$1)</f>
        <v>365</v>
      </c>
      <c r="G8" s="1383"/>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3"/>
      <c r="H9" s="304"/>
      <c r="I9" s="3676"/>
      <c r="J9" s="306"/>
      <c r="K9" s="307"/>
      <c r="L9" s="313" t="s">
        <v>699</v>
      </c>
      <c r="M9" s="314">
        <f ca="1">INDIRECT("'数据-取费表'!ab"&amp;$G$1)</f>
        <v>0</v>
      </c>
    </row>
    <row r="10" spans="1:37" ht="18" customHeight="1">
      <c r="A10" s="1069" t="s">
        <v>402</v>
      </c>
      <c r="B10" s="1364" t="s">
        <v>700</v>
      </c>
      <c r="C10" s="316">
        <f ca="1">ROUND(IF(F10="押一",C6/12*F11,IF(F10="押二",C6/12*2*F11,IF(F10="押三",C6/12*3*F11,C11*F11))),0)</f>
        <v>9</v>
      </c>
      <c r="D10" s="1365" t="s">
        <v>2117</v>
      </c>
      <c r="E10" s="313" t="s">
        <v>701</v>
      </c>
      <c r="F10" s="1116" t="s">
        <v>3399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18452</v>
      </c>
      <c r="D13" s="1081" t="s">
        <v>705</v>
      </c>
      <c r="E13" s="1081" t="s">
        <v>706</v>
      </c>
      <c r="F13" s="1082">
        <f ca="1">INDIRECT("'数据-取费表'!y"&amp;$G$1)</f>
        <v>0.83</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14967</v>
      </c>
      <c r="D14" s="1344" t="s">
        <v>708</v>
      </c>
      <c r="E14" s="1341"/>
      <c r="F14" s="319"/>
      <c r="G14" s="1383"/>
      <c r="H14" s="982" t="s">
        <v>398</v>
      </c>
      <c r="I14" s="302" t="s">
        <v>709</v>
      </c>
      <c r="J14" s="21">
        <f ca="1">C29</f>
        <v>22231</v>
      </c>
      <c r="K14" s="12"/>
      <c r="L14" s="807"/>
      <c r="M14" s="808"/>
    </row>
    <row r="15" spans="1:37" s="1396" customFormat="1" ht="18" customHeight="1" thickBot="1">
      <c r="A15" s="982" t="s">
        <v>399</v>
      </c>
      <c r="B15" s="302" t="s">
        <v>710</v>
      </c>
      <c r="C15" s="21">
        <f ca="1">ROUND(C14*F15,0)</f>
        <v>449</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113</v>
      </c>
      <c r="K16" s="1087" t="s">
        <v>715</v>
      </c>
      <c r="L16" s="1088"/>
      <c r="M16" s="1072"/>
    </row>
    <row r="17" spans="1:37" s="1396" customFormat="1" ht="18" customHeight="1">
      <c r="A17" s="982" t="s">
        <v>681</v>
      </c>
      <c r="B17" s="302" t="s">
        <v>716</v>
      </c>
      <c r="C17" s="21">
        <f ca="1">ROUND(F17*(F43+INDIRECT("'数据-取费表'!S"&amp;$G$1))/10000,0)</f>
        <v>624</v>
      </c>
      <c r="D17" s="302" t="s">
        <v>717</v>
      </c>
      <c r="E17" s="302" t="s">
        <v>718</v>
      </c>
      <c r="F17" s="23">
        <f>'数据-取费表'!B35</f>
        <v>200</v>
      </c>
      <c r="G17" s="1395"/>
      <c r="H17" s="982" t="s">
        <v>398</v>
      </c>
      <c r="I17" s="302" t="s">
        <v>719</v>
      </c>
      <c r="J17" s="2315">
        <f ca="1">ROUND(IF(AND(项目基本情况!B11="自然人",项目基本情况!B10="北京市"),J6*M17/(1+'数据-取费表'!C42),J18+J19+J20),2)</f>
        <v>1.37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225</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16265</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325</v>
      </c>
      <c r="D20" s="323" t="s">
        <v>729</v>
      </c>
      <c r="E20" s="302" t="s">
        <v>712</v>
      </c>
      <c r="F20" s="322">
        <f>'数据-取费表'!B37</f>
        <v>0.02</v>
      </c>
      <c r="G20" s="1395"/>
      <c r="H20" s="982" t="s">
        <v>680</v>
      </c>
      <c r="I20" s="155" t="s">
        <v>730</v>
      </c>
      <c r="J20" s="22">
        <f ca="1">ROUND(M20*M21/10000,2)</f>
        <v>1.37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9142.39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111.16</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589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-113</v>
      </c>
      <c r="K25" s="1095" t="s">
        <v>753</v>
      </c>
      <c r="L25" s="1096"/>
      <c r="M25" s="1097"/>
    </row>
    <row r="26" spans="1:37">
      <c r="A26" s="982" t="s">
        <v>397</v>
      </c>
      <c r="B26" s="302" t="s">
        <v>754</v>
      </c>
      <c r="C26" s="21">
        <f ca="1">ROUND((C19+C20)*F26,0)</f>
        <v>3318</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22231</v>
      </c>
      <c r="D29" s="1092"/>
      <c r="E29" s="1090"/>
      <c r="F29" s="1093"/>
      <c r="G29" s="1395"/>
      <c r="H29" s="334" t="s">
        <v>396</v>
      </c>
      <c r="I29" s="335" t="s">
        <v>768</v>
      </c>
      <c r="J29" s="336">
        <f ca="1">ROUND(J26/(1+F40)^F41,0)</f>
        <v>0</v>
      </c>
      <c r="K29" s="337" t="s">
        <v>769</v>
      </c>
      <c r="L29" s="338"/>
      <c r="M29" s="339">
        <f ca="1">INDIRECT("'数据-取费表'!k"&amp;$G$1)</f>
        <v>31181.27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1480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1230.69</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391.15</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838.17</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1.37</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9142.39</v>
      </c>
      <c r="G35" s="1383"/>
      <c r="H35" s="2696"/>
      <c r="I35" s="1397"/>
      <c r="J35" s="1398"/>
      <c r="K35" s="2700"/>
      <c r="L35" s="2699"/>
      <c r="M35" s="2699"/>
    </row>
    <row r="36" spans="1:18" ht="18" customHeight="1">
      <c r="A36" s="1102" t="s">
        <v>402</v>
      </c>
      <c r="B36" s="302" t="s">
        <v>738</v>
      </c>
      <c r="C36" s="21">
        <f ca="1">ROUND(C29*F36,2)</f>
        <v>111.16</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27.68</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110.15</v>
      </c>
      <c r="D38" s="1092" t="s">
        <v>748</v>
      </c>
      <c r="E38" s="1090" t="s">
        <v>744</v>
      </c>
      <c r="F38" s="1086">
        <f ca="1">INDIRECT("'数据-取费表'!Am"&amp;$G$1)</f>
        <v>1.4999999999999999E-2</v>
      </c>
      <c r="G38" s="1383"/>
      <c r="H38" s="2699"/>
      <c r="I38" s="1397"/>
      <c r="J38" s="1398"/>
      <c r="K38" s="2703"/>
      <c r="L38" s="2699"/>
      <c r="M38" s="2699"/>
    </row>
    <row r="39" spans="1:18" ht="24.6" customHeight="1" thickTop="1">
      <c r="A39" s="1079" t="s">
        <v>394</v>
      </c>
      <c r="B39" s="1094" t="s">
        <v>772</v>
      </c>
      <c r="C39" s="310">
        <f ca="1">C5-C30</f>
        <v>5863</v>
      </c>
      <c r="D39" s="1095" t="s">
        <v>773</v>
      </c>
      <c r="E39" s="1096"/>
      <c r="F39" s="1097"/>
      <c r="G39" s="1383"/>
      <c r="H39" s="2699"/>
      <c r="I39" s="1397"/>
      <c r="J39" s="1398"/>
      <c r="K39" s="2703"/>
      <c r="L39" s="2699"/>
      <c r="M39" s="2699"/>
    </row>
    <row r="40" spans="1:18" ht="18" customHeight="1">
      <c r="A40" s="299" t="s">
        <v>395</v>
      </c>
      <c r="B40" s="300" t="s">
        <v>774</v>
      </c>
      <c r="C40" s="301">
        <f ca="1">ROUND(C39*(1-((1+F42)/(1+F40))^F41)/(F40-F42),0)</f>
        <v>93049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22.41</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29841</v>
      </c>
      <c r="D43" s="337" t="s">
        <v>777</v>
      </c>
      <c r="E43" s="338" t="s">
        <v>778</v>
      </c>
      <c r="F43" s="339">
        <f ca="1">INDIRECT("'数据-取费表'!k"&amp;$G$1)</f>
        <v>31181.27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-94828</v>
      </c>
      <c r="D46" s="1405" t="str">
        <f>C2</f>
        <v>万元</v>
      </c>
      <c r="E46" s="1399"/>
      <c r="F46" s="1399"/>
      <c r="I46" s="1406" t="s">
        <v>810</v>
      </c>
      <c r="J46" s="1407"/>
      <c r="K46" s="1408"/>
      <c r="L46" s="1409">
        <f ca="1">IF(M47="住宅",0,IF(L48&gt;J51,L60,J60))</f>
        <v>1585</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40</v>
      </c>
      <c r="M47" s="1379" t="str">
        <f>IF(ISNUMBER(FIND("住宅",C1)),"住宅","非住宅")</f>
        <v>非住宅</v>
      </c>
      <c r="O47" s="1417" t="s">
        <v>403</v>
      </c>
      <c r="P47" s="1418" t="s">
        <v>817</v>
      </c>
      <c r="Q47" s="1419">
        <f ca="1">C40+J29</f>
        <v>93049</v>
      </c>
      <c r="R47" s="1419" t="s">
        <v>818</v>
      </c>
    </row>
    <row r="48" spans="1:18" s="1383" customFormat="1" ht="28.5" thickBot="1">
      <c r="A48" s="1110" t="s">
        <v>438</v>
      </c>
      <c r="B48" s="300" t="s">
        <v>692</v>
      </c>
      <c r="C48" s="1358">
        <f ca="1">C49+C53+C55</f>
        <v>0</v>
      </c>
      <c r="D48" s="1112"/>
      <c r="E48" s="1113"/>
      <c r="F48" s="962"/>
      <c r="G48" s="722"/>
      <c r="H48" s="723"/>
      <c r="I48" s="1420" t="s">
        <v>819</v>
      </c>
      <c r="J48" s="1421" t="s">
        <v>3401</v>
      </c>
      <c r="K48" s="1422" t="s">
        <v>820</v>
      </c>
      <c r="L48" s="1423">
        <f ca="1">INDIRECT("'数据-取费表'!f"&amp;$G$1)</f>
        <v>22.41</v>
      </c>
      <c r="O48" s="1417" t="s">
        <v>404</v>
      </c>
      <c r="P48" s="1418" t="s">
        <v>821</v>
      </c>
      <c r="Q48" s="1419">
        <f ca="1">J60</f>
        <v>1585</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2008</v>
      </c>
      <c r="K49" s="1422" t="s">
        <v>824</v>
      </c>
      <c r="L49" s="1426"/>
      <c r="O49" s="1427" t="s">
        <v>405</v>
      </c>
      <c r="P49" s="1418" t="s">
        <v>825</v>
      </c>
      <c r="Q49" s="1419">
        <f ca="1">C29</f>
        <v>22231</v>
      </c>
      <c r="R49" s="1419" t="s">
        <v>818</v>
      </c>
    </row>
    <row r="50" spans="1:18" s="1383" customFormat="1" ht="13.5" thickBot="1">
      <c r="A50" s="976"/>
      <c r="B50" s="979"/>
      <c r="C50" s="1118"/>
      <c r="D50" s="953"/>
      <c r="E50" s="1056" t="s">
        <v>697</v>
      </c>
      <c r="F50" s="1057">
        <f ca="1">F7</f>
        <v>31181.27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45</v>
      </c>
      <c r="K51" s="1433" t="s">
        <v>830</v>
      </c>
      <c r="L51" s="1434">
        <f ca="1">ROUND(-PV(INDIRECT("'数据-取费表'!h"&amp;$G$1),J51,(C39-C13*C76),0),0)</f>
        <v>79612</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'数据-取费表'!J6+0.5%</f>
        <v>0.08</v>
      </c>
      <c r="K52" s="1436" t="s">
        <v>833</v>
      </c>
      <c r="L52" s="1437"/>
      <c r="O52" s="1427" t="s">
        <v>408</v>
      </c>
      <c r="P52" s="1418" t="s">
        <v>834</v>
      </c>
      <c r="Q52" s="1419">
        <f ca="1">J53</f>
        <v>22.41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22.41</v>
      </c>
      <c r="K53" s="3672" t="s">
        <v>837</v>
      </c>
      <c r="L53" s="3673"/>
      <c r="O53" s="1417" t="s">
        <v>409</v>
      </c>
      <c r="P53" s="1418" t="s">
        <v>838</v>
      </c>
      <c r="Q53" s="1419">
        <f ca="1">Q47+Q48</f>
        <v>94634</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0.377</v>
      </c>
      <c r="K55" s="1444" t="s">
        <v>841</v>
      </c>
      <c r="L55" s="1445"/>
      <c r="O55" s="1410" t="s">
        <v>811</v>
      </c>
      <c r="P55" s="1411" t="s">
        <v>812</v>
      </c>
      <c r="Q55" s="1412" t="s">
        <v>813</v>
      </c>
      <c r="R55" s="1412" t="s">
        <v>814</v>
      </c>
    </row>
    <row r="56" spans="1:18" s="1383" customFormat="1" ht="25.5" thickTop="1" thickBot="1">
      <c r="A56" s="957">
        <v>2</v>
      </c>
      <c r="B56" s="958" t="s">
        <v>704</v>
      </c>
      <c r="C56" s="232">
        <f ca="1">C13</f>
        <v>18452</v>
      </c>
      <c r="D56" s="1446"/>
      <c r="E56" s="1447"/>
      <c r="F56" s="1439"/>
      <c r="I56" s="1448" t="s">
        <v>842</v>
      </c>
      <c r="J56" s="1449" t="s">
        <v>3402</v>
      </c>
      <c r="K56" s="1420" t="s">
        <v>843</v>
      </c>
      <c r="L56" s="1423" t="str">
        <f ca="1">IF(L48&lt;J51,"——",L48-J53)</f>
        <v>——</v>
      </c>
      <c r="O56" s="1417" t="s">
        <v>403</v>
      </c>
      <c r="P56" s="1418" t="s">
        <v>817</v>
      </c>
      <c r="Q56" s="1419">
        <f ca="1">C40+J29</f>
        <v>93049</v>
      </c>
      <c r="R56" s="1419" t="s">
        <v>818</v>
      </c>
    </row>
    <row r="57" spans="1:18" s="1383" customFormat="1" ht="24.75" thickBot="1">
      <c r="A57" s="1450"/>
      <c r="B57" s="950" t="s">
        <v>767</v>
      </c>
      <c r="C57" s="238">
        <f ca="1">C29</f>
        <v>22231</v>
      </c>
      <c r="D57" s="1451"/>
      <c r="E57" s="1452"/>
      <c r="F57" s="1453"/>
      <c r="I57" s="1454" t="s">
        <v>844</v>
      </c>
      <c r="J57" s="1455">
        <f ca="1">IF(OR(M47="住宅",J51&lt;L48,J56="是"),"——",J51-L48)</f>
        <v>22.59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140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8892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1585</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1.37</v>
      </c>
      <c r="D62" s="965" t="s">
        <v>786</v>
      </c>
      <c r="E62" s="950" t="s">
        <v>787</v>
      </c>
      <c r="F62" s="325">
        <f t="shared" si="0"/>
        <v>1.5</v>
      </c>
      <c r="I62" s="1461" t="s">
        <v>858</v>
      </c>
      <c r="J62" s="1462" t="s">
        <v>859</v>
      </c>
      <c r="K62" s="1462" t="s">
        <v>860</v>
      </c>
      <c r="L62" s="1462" t="s">
        <v>861</v>
      </c>
      <c r="M62" s="1463" t="s">
        <v>862</v>
      </c>
      <c r="O62" s="1417" t="s">
        <v>409</v>
      </c>
      <c r="P62" s="1418" t="s">
        <v>863</v>
      </c>
      <c r="Q62" s="1419">
        <f ca="1">Q56+Q57</f>
        <v>93049</v>
      </c>
      <c r="R62" s="1419" t="s">
        <v>410</v>
      </c>
    </row>
    <row r="63" spans="1:18" s="1383" customFormat="1" ht="13.5" thickBot="1">
      <c r="A63" s="326"/>
      <c r="B63" s="956"/>
      <c r="C63" s="26"/>
      <c r="D63" s="966"/>
      <c r="E63" s="950" t="s">
        <v>788</v>
      </c>
      <c r="F63" s="303">
        <f t="shared" ca="1" si="0"/>
        <v>9142.39</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111.16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27.68</v>
      </c>
      <c r="D65" s="964" t="s">
        <v>743</v>
      </c>
      <c r="E65" s="950" t="s">
        <v>744</v>
      </c>
      <c r="F65" s="330">
        <f t="shared" ca="1" si="0"/>
        <v>1.5E-3</v>
      </c>
      <c r="I65" s="1461" t="s">
        <v>867</v>
      </c>
      <c r="J65" s="1462">
        <v>40</v>
      </c>
      <c r="K65" s="1462">
        <v>30</v>
      </c>
      <c r="L65" s="1462">
        <v>50</v>
      </c>
      <c r="M65" s="1464">
        <v>0.02</v>
      </c>
      <c r="O65" s="1417" t="s">
        <v>403</v>
      </c>
      <c r="P65" s="1418" t="s">
        <v>868</v>
      </c>
      <c r="Q65" s="1419">
        <f ca="1">C40+J29</f>
        <v>93049</v>
      </c>
      <c r="R65" s="1419" t="s">
        <v>818</v>
      </c>
    </row>
    <row r="66" spans="1:18" s="1383" customFormat="1" ht="16.5" thickBot="1">
      <c r="A66" s="982" t="s">
        <v>793</v>
      </c>
      <c r="B66" s="950" t="s">
        <v>728</v>
      </c>
      <c r="C66" s="21">
        <f ca="1">ROUND(C48*F66,2)</f>
        <v>0</v>
      </c>
      <c r="D66" s="964" t="s">
        <v>794</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-140</v>
      </c>
      <c r="D67" s="963" t="s">
        <v>753</v>
      </c>
      <c r="E67" s="968"/>
      <c r="F67" s="969"/>
      <c r="O67" s="1427" t="s">
        <v>405</v>
      </c>
      <c r="P67" s="1418" t="s">
        <v>850</v>
      </c>
      <c r="Q67" s="1465">
        <f ca="1">L51</f>
        <v>79612</v>
      </c>
      <c r="R67" s="1419" t="s">
        <v>870</v>
      </c>
    </row>
    <row r="68" spans="1:18" s="1383" customFormat="1" ht="16.5" thickBot="1">
      <c r="A68" s="947" t="s">
        <v>395</v>
      </c>
      <c r="B68" s="948" t="s">
        <v>774</v>
      </c>
      <c r="C68" s="301">
        <f ca="1">ROUND(C67*(1-((1+F70)/(1+F68))^F69)/(F68-F70),0)</f>
        <v>-1779</v>
      </c>
      <c r="D68" s="965" t="s">
        <v>758</v>
      </c>
      <c r="E68" s="950" t="s">
        <v>759</v>
      </c>
      <c r="F68" s="312">
        <f ca="1">F40</f>
        <v>5.5E-2</v>
      </c>
      <c r="O68" s="1427" t="s">
        <v>406</v>
      </c>
      <c r="P68" s="1466" t="s">
        <v>871</v>
      </c>
      <c r="Q68" s="1419">
        <f ca="1">ROUND(Q69-Q70*Q71,0)</f>
        <v>4479</v>
      </c>
      <c r="R68" s="1419" t="s">
        <v>414</v>
      </c>
    </row>
    <row r="69" spans="1:18" s="1383" customFormat="1" ht="13.5" thickBot="1">
      <c r="A69" s="951"/>
      <c r="B69" s="952"/>
      <c r="C69" s="306"/>
      <c r="D69" s="970" t="s">
        <v>762</v>
      </c>
      <c r="E69" s="950" t="s">
        <v>763</v>
      </c>
      <c r="F69" s="333">
        <f ca="1">F41</f>
        <v>22.41</v>
      </c>
      <c r="O69" s="1427" t="s">
        <v>411</v>
      </c>
      <c r="P69" s="1466" t="s">
        <v>872</v>
      </c>
      <c r="Q69" s="1419">
        <f ca="1">C39</f>
        <v>5863</v>
      </c>
      <c r="R69" s="1419" t="s">
        <v>818</v>
      </c>
    </row>
    <row r="70" spans="1:18" s="1383" customFormat="1" ht="13.5" thickBot="1">
      <c r="A70" s="954"/>
      <c r="B70" s="955"/>
      <c r="C70" s="310"/>
      <c r="D70" s="966"/>
      <c r="E70" s="950" t="s">
        <v>766</v>
      </c>
      <c r="F70" s="1054"/>
      <c r="O70" s="1427" t="s">
        <v>412</v>
      </c>
      <c r="P70" s="1466" t="s">
        <v>873</v>
      </c>
      <c r="Q70" s="1419">
        <f ca="1">C13</f>
        <v>18452</v>
      </c>
      <c r="R70" s="1419" t="s">
        <v>818</v>
      </c>
    </row>
    <row r="71" spans="1:18" s="1383" customFormat="1" ht="13.5" thickBot="1">
      <c r="A71" s="971" t="s">
        <v>396</v>
      </c>
      <c r="B71" s="972" t="s">
        <v>776</v>
      </c>
      <c r="C71" s="336">
        <f ca="1">ROUND(C68*10000/F71,0)</f>
        <v>-571</v>
      </c>
      <c r="D71" s="973" t="s">
        <v>777</v>
      </c>
      <c r="E71" s="974" t="s">
        <v>778</v>
      </c>
      <c r="F71" s="339">
        <f ca="1">F43</f>
        <v>31181.27</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1384</v>
      </c>
      <c r="D75" s="1383"/>
      <c r="E75" s="1383"/>
      <c r="F75" s="1383"/>
      <c r="K75" s="1401"/>
      <c r="L75" s="1383"/>
      <c r="O75" s="1417" t="s">
        <v>409</v>
      </c>
      <c r="P75" s="1418" t="s">
        <v>838</v>
      </c>
      <c r="Q75" s="1419">
        <f ca="1">Q65+Q66</f>
        <v>93049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3" priority="56">
      <formula>$L$48&gt;$J$51</formula>
    </cfRule>
  </conditionalFormatting>
  <conditionalFormatting sqref="I55 I60">
    <cfRule type="expression" dxfId="172" priority="57">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3339</v>
      </c>
      <c r="D1" s="1361" t="s">
        <v>43</v>
      </c>
      <c r="E1" s="1362" t="s">
        <v>678</v>
      </c>
      <c r="F1" s="1062">
        <f ca="1">J53</f>
        <v>32.409999999999997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1435</v>
      </c>
      <c r="C2" s="1386" t="s">
        <v>805</v>
      </c>
      <c r="D2" s="1386"/>
      <c r="E2" s="1387"/>
      <c r="F2" s="1388"/>
      <c r="G2" s="2705"/>
      <c r="H2" s="2694"/>
      <c r="I2" s="2694"/>
      <c r="J2" s="2694"/>
      <c r="K2" s="2695"/>
      <c r="L2" s="2694"/>
      <c r="M2" s="2694"/>
    </row>
    <row r="3" spans="1:37" ht="18" customHeight="1" thickBot="1">
      <c r="A3" s="1389" t="s">
        <v>806</v>
      </c>
      <c r="B3" s="1390">
        <f ca="1">IF(ISERROR(B2*10000/F43),0,ROUND(B2*10000/F43,0))</f>
        <v>4031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94</v>
      </c>
      <c r="D5" s="1363" t="s">
        <v>693</v>
      </c>
      <c r="E5" s="1071"/>
      <c r="F5" s="1072"/>
      <c r="G5" s="1383"/>
      <c r="H5" s="299">
        <v>1</v>
      </c>
      <c r="I5" s="300" t="s">
        <v>692</v>
      </c>
      <c r="J5" s="1070">
        <f ca="1">J6+J10+J12</f>
        <v>0</v>
      </c>
      <c r="K5" s="1363" t="s">
        <v>693</v>
      </c>
      <c r="L5" s="1071"/>
      <c r="M5" s="1072"/>
    </row>
    <row r="6" spans="1:37" ht="18" customHeight="1">
      <c r="A6" s="1069" t="s">
        <v>398</v>
      </c>
      <c r="B6" s="3674" t="s">
        <v>694</v>
      </c>
      <c r="C6" s="1074">
        <f ca="1">ROUND(F6*F8*F7*(1-F9)/10000,0)</f>
        <v>94</v>
      </c>
      <c r="D6" s="155" t="s">
        <v>2109</v>
      </c>
      <c r="E6" s="302" t="s">
        <v>696</v>
      </c>
      <c r="F6" s="303">
        <f ca="1">INDIRECT("'数据-取费表'!u"&amp;$G$1)</f>
        <v>0.8</v>
      </c>
      <c r="G6" s="1383"/>
      <c r="H6" s="1069" t="s">
        <v>398</v>
      </c>
      <c r="I6" s="3674" t="s">
        <v>694</v>
      </c>
      <c r="J6" s="301">
        <f ca="1">ROUND(M6*M8*M7*(1-M9)/10000,0)</f>
        <v>0</v>
      </c>
      <c r="K6" s="155" t="s">
        <v>2108</v>
      </c>
      <c r="L6" s="302" t="s">
        <v>696</v>
      </c>
      <c r="M6" s="303">
        <f ca="1">INDIRECT("'数据-取费表'!z"&amp;$G$1)</f>
        <v>0</v>
      </c>
    </row>
    <row r="7" spans="1:37" ht="18" customHeight="1">
      <c r="A7" s="1073"/>
      <c r="B7" s="3675"/>
      <c r="C7" s="1075"/>
      <c r="D7" s="307"/>
      <c r="E7" s="3457" t="s">
        <v>697</v>
      </c>
      <c r="F7" s="303">
        <f ca="1">IF(INDIRECT("'数据-取费表'!ah"&amp;$G$1)="",INDIRECT("'数据-取费表'!k"&amp;$G$1),INDIRECT("'数据-取费表'!ah"&amp;$G$1))</f>
        <v>3559.58</v>
      </c>
      <c r="G7" s="1383"/>
      <c r="H7" s="304"/>
      <c r="I7" s="3675"/>
      <c r="J7" s="306"/>
      <c r="K7" s="307"/>
      <c r="L7" s="302" t="s">
        <v>697</v>
      </c>
      <c r="M7" s="303">
        <f ca="1">F7</f>
        <v>3559.58</v>
      </c>
    </row>
    <row r="8" spans="1:37" ht="18" customHeight="1">
      <c r="A8" s="304"/>
      <c r="B8" s="3675"/>
      <c r="C8" s="306"/>
      <c r="D8" s="307"/>
      <c r="E8" s="302" t="s">
        <v>698</v>
      </c>
      <c r="F8" s="303">
        <f ca="1">INDIRECT("'数据-取费表'!ai"&amp;$G$1)</f>
        <v>365</v>
      </c>
      <c r="G8" s="1383"/>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3"/>
      <c r="H9" s="304"/>
      <c r="I9" s="367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3399</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1364</v>
      </c>
      <c r="D13" s="3449" t="s">
        <v>705</v>
      </c>
      <c r="E13" s="3449" t="s">
        <v>706</v>
      </c>
      <c r="F13" s="1082">
        <f ca="1">INDIRECT("'数据-取费表'!y"&amp;$G$1)</f>
        <v>0.83</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1246</v>
      </c>
      <c r="D14" s="3453" t="s">
        <v>708</v>
      </c>
      <c r="E14" s="3451"/>
      <c r="F14" s="319"/>
      <c r="G14" s="1383"/>
      <c r="H14" s="982" t="s">
        <v>398</v>
      </c>
      <c r="I14" s="302" t="s">
        <v>709</v>
      </c>
      <c r="J14" s="21">
        <f ca="1">C29</f>
        <v>1643</v>
      </c>
      <c r="K14" s="3456"/>
      <c r="L14" s="807"/>
      <c r="M14" s="808"/>
    </row>
    <row r="15" spans="1:37" s="1396" customFormat="1" ht="18" customHeight="1" thickBot="1">
      <c r="A15" s="982" t="s">
        <v>399</v>
      </c>
      <c r="B15" s="302" t="s">
        <v>710</v>
      </c>
      <c r="C15" s="21">
        <f ca="1">ROUND(C14*F15,0)</f>
        <v>37</v>
      </c>
      <c r="D15" s="3450" t="s">
        <v>711</v>
      </c>
      <c r="E15" s="345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8</v>
      </c>
      <c r="K16" s="1087" t="s">
        <v>715</v>
      </c>
      <c r="L16" s="3454"/>
      <c r="M16" s="1072"/>
    </row>
    <row r="17" spans="1:37" s="1396" customFormat="1" ht="18" customHeight="1">
      <c r="A17" s="982" t="s">
        <v>681</v>
      </c>
      <c r="B17" s="302" t="s">
        <v>716</v>
      </c>
      <c r="C17" s="21">
        <f ca="1">ROUND(F17*(F43+INDIRECT("'数据-取费表'!S"&amp;$G$1))/10000,0)</f>
        <v>71</v>
      </c>
      <c r="D17" s="302" t="s">
        <v>717</v>
      </c>
      <c r="E17" s="302" t="s">
        <v>718</v>
      </c>
      <c r="F17" s="23">
        <f>'数据-取费表'!B35</f>
        <v>200</v>
      </c>
      <c r="G17" s="1395"/>
      <c r="H17" s="982" t="s">
        <v>398</v>
      </c>
      <c r="I17" s="302" t="s">
        <v>719</v>
      </c>
      <c r="J17" s="2315">
        <f ca="1">ROUND(IF(AND(项目基本情况!B11="自然人",项目基本情况!B10="北京市"),J6*M17/(1+'数据-取费表'!C42),J18+J19+J20),2)</f>
        <v>0.16</v>
      </c>
      <c r="K17" s="3453" t="s">
        <v>720</v>
      </c>
      <c r="L17" s="3452"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19</v>
      </c>
      <c r="D18" s="302" t="s">
        <v>711</v>
      </c>
      <c r="E18" s="302" t="s">
        <v>712</v>
      </c>
      <c r="F18" s="322">
        <f>'数据-取费表'!B36</f>
        <v>1.4999999999999999E-2</v>
      </c>
      <c r="G18" s="1395"/>
      <c r="H18" s="982" t="s">
        <v>397</v>
      </c>
      <c r="I18" s="302" t="s">
        <v>723</v>
      </c>
      <c r="J18" s="21">
        <f ca="1">ROUND(J6*M18/(1+'数据-取费表'!C42),2)</f>
        <v>0</v>
      </c>
      <c r="K18" s="3452"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1373</v>
      </c>
      <c r="D19" s="131" t="s">
        <v>726</v>
      </c>
      <c r="E19" s="34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27</v>
      </c>
      <c r="D20" s="2427" t="s">
        <v>729</v>
      </c>
      <c r="E20" s="302" t="s">
        <v>712</v>
      </c>
      <c r="F20" s="322">
        <f>'数据-取费表'!B37</f>
        <v>0.02</v>
      </c>
      <c r="G20" s="1395"/>
      <c r="H20" s="982" t="s">
        <v>680</v>
      </c>
      <c r="I20" s="155" t="s">
        <v>730</v>
      </c>
      <c r="J20" s="22">
        <f ca="1">ROUND(M20*M21/10000,2)</f>
        <v>0.16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1043.67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9"/>
      <c r="F22" s="23"/>
      <c r="G22" s="1383"/>
      <c r="H22" s="982" t="s">
        <v>402</v>
      </c>
      <c r="I22" s="302" t="s">
        <v>738</v>
      </c>
      <c r="J22" s="21">
        <f ca="1">ROUND(J14*M22,2)</f>
        <v>8.2200000000000006</v>
      </c>
      <c r="K22" s="3452"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2"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9"/>
      <c r="F25" s="23"/>
      <c r="G25" s="1383"/>
      <c r="H25" s="1079" t="s">
        <v>394</v>
      </c>
      <c r="I25" s="1094" t="s">
        <v>752</v>
      </c>
      <c r="J25" s="310">
        <f ca="1">J5-J16</f>
        <v>-8</v>
      </c>
      <c r="K25" s="1095" t="s">
        <v>753</v>
      </c>
      <c r="L25" s="1096"/>
      <c r="M25" s="1097"/>
    </row>
    <row r="26" spans="1:37">
      <c r="A26" s="982" t="s">
        <v>397</v>
      </c>
      <c r="B26" s="302" t="s">
        <v>754</v>
      </c>
      <c r="C26" s="21">
        <f ca="1">ROUND((C19+C20)*F26,0)</f>
        <v>70</v>
      </c>
      <c r="D26" s="2427"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7" t="s">
        <v>761</v>
      </c>
      <c r="E27" s="345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1643</v>
      </c>
      <c r="D29" s="1092"/>
      <c r="E29" s="1090"/>
      <c r="F29" s="1093"/>
      <c r="G29" s="1395"/>
      <c r="H29" s="334" t="s">
        <v>396</v>
      </c>
      <c r="I29" s="335" t="s">
        <v>768</v>
      </c>
      <c r="J29" s="336">
        <f ca="1">ROUND(J26/(1+F40)^F41,0)</f>
        <v>0</v>
      </c>
      <c r="K29" s="337" t="s">
        <v>769</v>
      </c>
      <c r="L29" s="338"/>
      <c r="M29" s="339">
        <f ca="1">INDIRECT("'数据-取费表'!k"&amp;$G$1)</f>
        <v>3559.58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26</v>
      </c>
      <c r="D30" s="1087" t="s">
        <v>715</v>
      </c>
      <c r="E30" s="3454"/>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15.91</v>
      </c>
      <c r="D31" s="3453" t="s">
        <v>720</v>
      </c>
      <c r="E31" s="3452"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5.01</v>
      </c>
      <c r="D32" s="3452"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10.74</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0.16</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1043.67</v>
      </c>
      <c r="G35" s="1383"/>
      <c r="H35" s="2696"/>
      <c r="I35" s="1397"/>
      <c r="J35" s="1398"/>
      <c r="K35" s="2700"/>
      <c r="L35" s="2699"/>
      <c r="M35" s="2699"/>
    </row>
    <row r="36" spans="1:18" ht="18" customHeight="1">
      <c r="A36" s="1102" t="s">
        <v>402</v>
      </c>
      <c r="B36" s="302" t="s">
        <v>738</v>
      </c>
      <c r="C36" s="21">
        <f ca="1">ROUND(C29*F36,2)</f>
        <v>8.2200000000000006</v>
      </c>
      <c r="D36" s="3452"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1.36</v>
      </c>
      <c r="D37" s="3452"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0.94</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68</v>
      </c>
      <c r="D39" s="1095" t="s">
        <v>773</v>
      </c>
      <c r="E39" s="1096"/>
      <c r="F39" s="1097"/>
      <c r="G39" s="1383"/>
      <c r="H39" s="2699"/>
      <c r="I39" s="1397"/>
      <c r="J39" s="1398"/>
      <c r="K39" s="2703"/>
      <c r="L39" s="2699"/>
      <c r="M39" s="2699"/>
    </row>
    <row r="40" spans="1:18" ht="18" customHeight="1">
      <c r="A40" s="299" t="s">
        <v>395</v>
      </c>
      <c r="B40" s="300" t="s">
        <v>774</v>
      </c>
      <c r="C40" s="301">
        <f ca="1">ROUND(C39*(1-((1+F42)/(1+F40))^F41)/(F40-F42),0)</f>
        <v>1381</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32.409999999999997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3880</v>
      </c>
      <c r="D43" s="337" t="s">
        <v>777</v>
      </c>
      <c r="E43" s="338" t="s">
        <v>778</v>
      </c>
      <c r="F43" s="339">
        <f ca="1">INDIRECT("'数据-取费表'!k"&amp;$G$1)</f>
        <v>3559.58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-1540</v>
      </c>
      <c r="D46" s="1405" t="str">
        <f>C2</f>
        <v>万元</v>
      </c>
      <c r="E46" s="1399"/>
      <c r="F46" s="1399"/>
      <c r="I46" s="1406" t="s">
        <v>810</v>
      </c>
      <c r="J46" s="1407"/>
      <c r="K46" s="1408"/>
      <c r="L46" s="1409">
        <f ca="1">IF(M47="住宅",0,IF(L48&gt;J51,L60,J60))</f>
        <v>54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3400</v>
      </c>
      <c r="K47" s="1415" t="s">
        <v>816</v>
      </c>
      <c r="L47" s="1416">
        <f ca="1">INDIRECT("'数据-取费表'!d"&amp;$G$1)</f>
        <v>50</v>
      </c>
      <c r="M47" s="1379" t="str">
        <f>IF(ISNUMBER(FIND("住宅",C1)),"住宅","非住宅")</f>
        <v>非住宅</v>
      </c>
      <c r="O47" s="1417" t="s">
        <v>403</v>
      </c>
      <c r="P47" s="1418" t="s">
        <v>817</v>
      </c>
      <c r="Q47" s="1419">
        <f ca="1">C40+J29</f>
        <v>1381</v>
      </c>
      <c r="R47" s="1419" t="s">
        <v>818</v>
      </c>
    </row>
    <row r="48" spans="1:18" s="1383" customFormat="1" ht="28.5" thickBot="1">
      <c r="A48" s="1110" t="s">
        <v>438</v>
      </c>
      <c r="B48" s="300" t="s">
        <v>692</v>
      </c>
      <c r="C48" s="3458">
        <f ca="1">C49+C53+C55</f>
        <v>0</v>
      </c>
      <c r="D48" s="1112"/>
      <c r="E48" s="1113"/>
      <c r="F48" s="962"/>
      <c r="G48" s="722"/>
      <c r="H48" s="723"/>
      <c r="I48" s="1420" t="s">
        <v>819</v>
      </c>
      <c r="J48" s="1421" t="s">
        <v>3401</v>
      </c>
      <c r="K48" s="1422" t="s">
        <v>820</v>
      </c>
      <c r="L48" s="1423">
        <f ca="1">INDIRECT("'数据-取费表'!f"&amp;$G$1)</f>
        <v>32.409999999999997</v>
      </c>
      <c r="O48" s="1417" t="s">
        <v>404</v>
      </c>
      <c r="P48" s="1418" t="s">
        <v>821</v>
      </c>
      <c r="Q48" s="1419">
        <f ca="1">J60</f>
        <v>54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2008</v>
      </c>
      <c r="K49" s="1422" t="s">
        <v>824</v>
      </c>
      <c r="L49" s="1426"/>
      <c r="O49" s="1427" t="s">
        <v>405</v>
      </c>
      <c r="P49" s="1418" t="s">
        <v>825</v>
      </c>
      <c r="Q49" s="1419">
        <f ca="1">C29</f>
        <v>1643</v>
      </c>
      <c r="R49" s="1419" t="s">
        <v>818</v>
      </c>
    </row>
    <row r="50" spans="1:18" s="1383" customFormat="1" ht="13.5" thickBot="1">
      <c r="A50" s="976"/>
      <c r="B50" s="979"/>
      <c r="C50" s="1118"/>
      <c r="D50" s="953"/>
      <c r="E50" s="1056" t="s">
        <v>697</v>
      </c>
      <c r="F50" s="1057">
        <f ca="1">F7</f>
        <v>3559.58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45</v>
      </c>
      <c r="K51" s="1433" t="s">
        <v>830</v>
      </c>
      <c r="L51" s="1434">
        <f ca="1">ROUND(-PV(INDIRECT("'数据-取费表'!h"&amp;$G$1),J51,(C39-C13*C76),0),0)</f>
        <v>-657</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'数据-取费表'!J7+0.5%</f>
        <v>0.08</v>
      </c>
      <c r="K52" s="1436" t="s">
        <v>833</v>
      </c>
      <c r="L52" s="1437"/>
      <c r="O52" s="1427" t="s">
        <v>408</v>
      </c>
      <c r="P52" s="1418" t="s">
        <v>834</v>
      </c>
      <c r="Q52" s="1419">
        <f ca="1">J53</f>
        <v>32.409999999999997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32.409999999999997</v>
      </c>
      <c r="K53" s="3672" t="s">
        <v>837</v>
      </c>
      <c r="L53" s="3673"/>
      <c r="O53" s="1417" t="s">
        <v>409</v>
      </c>
      <c r="P53" s="1418" t="s">
        <v>838</v>
      </c>
      <c r="Q53" s="1419">
        <f ca="1">Q47+Q48</f>
        <v>1435</v>
      </c>
      <c r="R53" s="1419" t="s">
        <v>410</v>
      </c>
    </row>
    <row r="54" spans="1:18" s="1383" customFormat="1" ht="13.5" thickBot="1">
      <c r="A54" s="1153"/>
      <c r="B54" s="1366" t="s">
        <v>679</v>
      </c>
      <c r="C54" s="959"/>
      <c r="D54" s="1365"/>
      <c r="E54" s="3455"/>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5"/>
      <c r="F55" s="1439"/>
      <c r="I55" s="1442" t="s">
        <v>840</v>
      </c>
      <c r="J55" s="1443">
        <f ca="1">ROUND(IF(J47="钢混",J57/J50,1-(1-2%)*(J50-J57)/J50),3)</f>
        <v>0.21</v>
      </c>
      <c r="K55" s="1444" t="s">
        <v>841</v>
      </c>
      <c r="L55" s="1445"/>
      <c r="O55" s="1410" t="s">
        <v>811</v>
      </c>
      <c r="P55" s="1411" t="s">
        <v>812</v>
      </c>
      <c r="Q55" s="1412" t="s">
        <v>813</v>
      </c>
      <c r="R55" s="1412" t="s">
        <v>814</v>
      </c>
    </row>
    <row r="56" spans="1:18" s="1383" customFormat="1" ht="25.5" thickTop="1" thickBot="1">
      <c r="A56" s="957">
        <v>2</v>
      </c>
      <c r="B56" s="958" t="s">
        <v>704</v>
      </c>
      <c r="C56" s="232">
        <f ca="1">C13</f>
        <v>1364</v>
      </c>
      <c r="D56" s="1446"/>
      <c r="E56" s="1447"/>
      <c r="F56" s="1439"/>
      <c r="I56" s="1448" t="s">
        <v>842</v>
      </c>
      <c r="J56" s="1449" t="s">
        <v>3402</v>
      </c>
      <c r="K56" s="1420" t="s">
        <v>843</v>
      </c>
      <c r="L56" s="1423" t="str">
        <f ca="1">IF(L48&lt;J51,"——",L48-J53)</f>
        <v>——</v>
      </c>
      <c r="O56" s="1417" t="s">
        <v>403</v>
      </c>
      <c r="P56" s="1418" t="s">
        <v>817</v>
      </c>
      <c r="Q56" s="1419">
        <f ca="1">C40+J29</f>
        <v>1381</v>
      </c>
      <c r="R56" s="1419" t="s">
        <v>818</v>
      </c>
    </row>
    <row r="57" spans="1:18" s="1383" customFormat="1" ht="24.75" thickBot="1">
      <c r="A57" s="1450"/>
      <c r="B57" s="950" t="s">
        <v>767</v>
      </c>
      <c r="C57" s="238">
        <f ca="1">C29</f>
        <v>1643</v>
      </c>
      <c r="D57" s="1451"/>
      <c r="E57" s="1452"/>
      <c r="F57" s="1453"/>
      <c r="I57" s="1454" t="s">
        <v>844</v>
      </c>
      <c r="J57" s="1455">
        <f ca="1">IF(OR(M47="住宅",J51&lt;L48,J56="是"),"——",J51-L48)</f>
        <v>12.590000000000003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657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54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0.16</v>
      </c>
      <c r="D62" s="965" t="s">
        <v>786</v>
      </c>
      <c r="E62" s="950" t="s">
        <v>787</v>
      </c>
      <c r="F62" s="325">
        <f t="shared" si="0"/>
        <v>1.5</v>
      </c>
      <c r="I62" s="1461" t="s">
        <v>858</v>
      </c>
      <c r="J62" s="1462" t="s">
        <v>859</v>
      </c>
      <c r="K62" s="1462" t="s">
        <v>860</v>
      </c>
      <c r="L62" s="1462" t="s">
        <v>861</v>
      </c>
      <c r="M62" s="1463" t="s">
        <v>862</v>
      </c>
      <c r="O62" s="1417" t="s">
        <v>409</v>
      </c>
      <c r="P62" s="1418" t="s">
        <v>863</v>
      </c>
      <c r="Q62" s="1419">
        <f ca="1">Q56+Q57</f>
        <v>1381</v>
      </c>
      <c r="R62" s="1419" t="s">
        <v>410</v>
      </c>
    </row>
    <row r="63" spans="1:18" s="1383" customFormat="1" ht="13.5" thickBot="1">
      <c r="A63" s="326"/>
      <c r="B63" s="956"/>
      <c r="C63" s="26"/>
      <c r="D63" s="966"/>
      <c r="E63" s="950" t="s">
        <v>788</v>
      </c>
      <c r="F63" s="303">
        <f t="shared" ca="1" si="0"/>
        <v>1043.67</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8.2200000000000006</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1.36</v>
      </c>
      <c r="D65" s="964" t="s">
        <v>743</v>
      </c>
      <c r="E65" s="950" t="s">
        <v>744</v>
      </c>
      <c r="F65" s="330">
        <f t="shared" ca="1" si="0"/>
        <v>1E-3</v>
      </c>
      <c r="I65" s="1461" t="s">
        <v>867</v>
      </c>
      <c r="J65" s="1462">
        <v>40</v>
      </c>
      <c r="K65" s="1462">
        <v>30</v>
      </c>
      <c r="L65" s="1462">
        <v>50</v>
      </c>
      <c r="M65" s="1464">
        <v>0.02</v>
      </c>
      <c r="O65" s="1417" t="s">
        <v>403</v>
      </c>
      <c r="P65" s="1418" t="s">
        <v>868</v>
      </c>
      <c r="Q65" s="1419">
        <f ca="1">C40+J29</f>
        <v>1381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v>
      </c>
      <c r="D67" s="963" t="s">
        <v>753</v>
      </c>
      <c r="E67" s="968"/>
      <c r="F67" s="969"/>
      <c r="O67" s="1427" t="s">
        <v>405</v>
      </c>
      <c r="P67" s="1418" t="s">
        <v>850</v>
      </c>
      <c r="Q67" s="1465">
        <f ca="1">L51</f>
        <v>-657</v>
      </c>
      <c r="R67" s="1419" t="s">
        <v>870</v>
      </c>
    </row>
    <row r="68" spans="1:18" s="1383" customFormat="1" ht="16.5" thickBot="1">
      <c r="A68" s="947" t="s">
        <v>395</v>
      </c>
      <c r="B68" s="948" t="s">
        <v>774</v>
      </c>
      <c r="C68" s="301">
        <f ca="1">ROUND(C67*(1-((1+F70)/(1+F68))^F69)/(F68-F70),0)</f>
        <v>-159</v>
      </c>
      <c r="D68" s="965" t="s">
        <v>758</v>
      </c>
      <c r="E68" s="950" t="s">
        <v>759</v>
      </c>
      <c r="F68" s="312">
        <f ca="1">F40</f>
        <v>0.05</v>
      </c>
      <c r="O68" s="1427" t="s">
        <v>406</v>
      </c>
      <c r="P68" s="1466" t="s">
        <v>871</v>
      </c>
      <c r="Q68" s="1419">
        <f ca="1">ROUND(Q69-Q70*Q71,0)</f>
        <v>-34</v>
      </c>
      <c r="R68" s="1419" t="s">
        <v>414</v>
      </c>
    </row>
    <row r="69" spans="1:18" s="1383" customFormat="1" ht="13.5" thickBot="1">
      <c r="A69" s="951"/>
      <c r="B69" s="952"/>
      <c r="C69" s="306"/>
      <c r="D69" s="970" t="s">
        <v>762</v>
      </c>
      <c r="E69" s="950" t="s">
        <v>763</v>
      </c>
      <c r="F69" s="333">
        <f ca="1">F41</f>
        <v>32.409999999999997</v>
      </c>
      <c r="O69" s="1427" t="s">
        <v>411</v>
      </c>
      <c r="P69" s="1466" t="s">
        <v>872</v>
      </c>
      <c r="Q69" s="1419">
        <f ca="1">C39</f>
        <v>68</v>
      </c>
      <c r="R69" s="1419" t="s">
        <v>818</v>
      </c>
    </row>
    <row r="70" spans="1:18" s="1383" customFormat="1" ht="13.5" thickBot="1">
      <c r="A70" s="954"/>
      <c r="B70" s="955"/>
      <c r="C70" s="310"/>
      <c r="D70" s="966"/>
      <c r="E70" s="950" t="s">
        <v>766</v>
      </c>
      <c r="F70" s="1054"/>
      <c r="O70" s="1427" t="s">
        <v>412</v>
      </c>
      <c r="P70" s="1466" t="s">
        <v>873</v>
      </c>
      <c r="Q70" s="1419">
        <f ca="1">C13</f>
        <v>1364</v>
      </c>
      <c r="R70" s="1419" t="s">
        <v>818</v>
      </c>
    </row>
    <row r="71" spans="1:18" s="1383" customFormat="1" ht="13.5" thickBot="1">
      <c r="A71" s="971" t="s">
        <v>396</v>
      </c>
      <c r="B71" s="972" t="s">
        <v>776</v>
      </c>
      <c r="C71" s="336">
        <f ca="1">ROUND(C68*10000/F71,0)</f>
        <v>-447</v>
      </c>
      <c r="D71" s="973" t="s">
        <v>777</v>
      </c>
      <c r="E71" s="974" t="s">
        <v>778</v>
      </c>
      <c r="F71" s="339">
        <f ca="1">F43</f>
        <v>3559.58</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v>
      </c>
      <c r="D75" s="1383"/>
      <c r="E75" s="1383"/>
      <c r="F75" s="1383"/>
      <c r="K75" s="1401"/>
      <c r="L75" s="1383"/>
      <c r="O75" s="1417" t="s">
        <v>409</v>
      </c>
      <c r="P75" s="1418" t="s">
        <v>838</v>
      </c>
      <c r="Q75" s="1419">
        <f ca="1">Q65+Q66</f>
        <v>1381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v>
      </c>
    </row>
    <row r="80" spans="1:18">
      <c r="B80" s="340" t="s">
        <v>800</v>
      </c>
      <c r="C80" s="274">
        <f ca="1">ROUND(C75/C39,3)</f>
        <v>1.5</v>
      </c>
    </row>
    <row r="81" spans="2:3">
      <c r="B81" s="270" t="s">
        <v>801</v>
      </c>
      <c r="C81" s="238"/>
    </row>
    <row r="82" spans="2:3">
      <c r="B82" s="273" t="s">
        <v>802</v>
      </c>
      <c r="C82" s="275">
        <f ca="1">1-C83</f>
        <v>1.2000000000000011E-2</v>
      </c>
    </row>
    <row r="83" spans="2:3">
      <c r="B83" s="273" t="s">
        <v>803</v>
      </c>
      <c r="C83" s="274">
        <f ca="1">ROUND(C13/C40,3)</f>
        <v>0.98799999999999999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95533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27499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54811</v>
      </c>
      <c r="D5" s="211" t="s">
        <v>1469</v>
      </c>
      <c r="E5" s="212" t="s">
        <v>1470</v>
      </c>
      <c r="F5" s="212" t="s">
        <v>1471</v>
      </c>
      <c r="G5" s="213"/>
    </row>
    <row r="6" spans="1:9" s="214" customFormat="1" ht="13.5" customHeight="1">
      <c r="A6" s="778" t="s">
        <v>1472</v>
      </c>
      <c r="B6" s="215" t="s">
        <v>1473</v>
      </c>
      <c r="C6" s="216">
        <f>'土地比较法-住宅、综合'!B2</f>
        <v>52514</v>
      </c>
      <c r="D6" s="217"/>
      <c r="E6" s="218"/>
      <c r="F6" s="218"/>
      <c r="G6" s="219"/>
    </row>
    <row r="7" spans="1:9" s="214" customFormat="1" ht="13.5" customHeight="1">
      <c r="A7" s="778" t="s">
        <v>1474</v>
      </c>
      <c r="B7" s="215" t="s">
        <v>1475</v>
      </c>
      <c r="C7" s="220">
        <f>ROUND(C6*F7,0)</f>
        <v>1602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695</v>
      </c>
      <c r="D8" s="222"/>
      <c r="E8" s="220"/>
      <c r="F8" s="221"/>
      <c r="G8" s="1855"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3410</v>
      </c>
      <c r="H9" s="1137"/>
      <c r="I9" s="1857" t="s">
        <v>1479</v>
      </c>
    </row>
    <row r="10" spans="1:9" s="214" customFormat="1" ht="13.5" customHeight="1">
      <c r="A10" s="779" t="s">
        <v>356</v>
      </c>
      <c r="B10" s="224" t="s">
        <v>1480</v>
      </c>
      <c r="C10" s="225">
        <f ca="1">ROUND(D10*E10/10000,0)</f>
        <v>695</v>
      </c>
      <c r="D10" s="845">
        <f ca="1">IF(B1="",'数据-汇总表'!E6,IF(INDIRECT("'数据-取费表'!c"&amp;$G$1)="住宅",INDIRECT("'数据-取费表'!s"&amp;$G$1),INDIRECT("'数据-取费表'!k"&amp;$G$1)+INDIRECT("'数据-取费表'!s"&amp;$G$1)))</f>
        <v>34740.85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34740.85</v>
      </c>
      <c r="E19" s="211">
        <f>'数据-取费表'!B31</f>
        <v>200</v>
      </c>
      <c r="F19" s="231"/>
      <c r="G19" s="1855" t="s">
        <v>3411</v>
      </c>
    </row>
    <row r="20" spans="1:7" s="214" customFormat="1" ht="13.5" customHeight="1">
      <c r="A20" s="255" t="s">
        <v>1493</v>
      </c>
      <c r="B20" s="210" t="s">
        <v>1494</v>
      </c>
      <c r="C20" s="232">
        <f ca="1">ROUND((C5+C19)*F20,0)</f>
        <v>1096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4000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3961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10063</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10063</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75856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17637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16213</v>
      </c>
      <c r="D34" s="217"/>
      <c r="E34" s="220"/>
      <c r="F34" s="257">
        <f ca="1">IF('数据-取费表'!B24=0,1,IF(B1="",'数据-取费表'!N16,INDIRECT("'数据-取费表'!n"&amp;$G$1)))</f>
        <v>1</v>
      </c>
      <c r="G34" s="219" t="s">
        <v>1526</v>
      </c>
    </row>
    <row r="35" spans="1:7" ht="13.5" customHeight="1">
      <c r="A35" s="780" t="s">
        <v>351</v>
      </c>
      <c r="B35" s="215" t="s">
        <v>1527</v>
      </c>
      <c r="C35" s="220">
        <f ca="1">ROUND(C34*F35,0)</f>
        <v>486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695</v>
      </c>
      <c r="D37" s="217">
        <f ca="1">D19</f>
        <v>34740.85</v>
      </c>
      <c r="E37" s="249">
        <f>'数据-取费表'!B35</f>
        <v>200</v>
      </c>
      <c r="F37" s="259"/>
      <c r="G37" s="261" t="s">
        <v>1532</v>
      </c>
    </row>
    <row r="38" spans="1:7" ht="13.5" customHeight="1">
      <c r="A38" s="780" t="s">
        <v>354</v>
      </c>
      <c r="B38" s="215" t="s">
        <v>1533</v>
      </c>
      <c r="C38" s="220">
        <f ca="1">ROUND(C34*F38,0)</f>
        <v>243</v>
      </c>
      <c r="D38" s="220"/>
      <c r="E38" s="220"/>
      <c r="F38" s="259">
        <f>'数据-取费表'!B36</f>
        <v>1.4999999999999999E-2</v>
      </c>
      <c r="G38" s="219" t="s">
        <v>1528</v>
      </c>
    </row>
    <row r="39" spans="1:7" s="214" customFormat="1" ht="13.5" customHeight="1">
      <c r="A39" s="255" t="s">
        <v>1534</v>
      </c>
      <c r="B39" s="210" t="s">
        <v>1535</v>
      </c>
      <c r="C39" s="232">
        <f ca="1">ROUND(C33*F20,0)</f>
        <v>353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639</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626</v>
      </c>
      <c r="D42" s="238"/>
      <c r="E42" s="238"/>
      <c r="F42" s="239"/>
      <c r="G42" s="3677" t="s">
        <v>1544</v>
      </c>
    </row>
    <row r="43" spans="1:7" ht="13.5" customHeight="1">
      <c r="A43" s="780" t="s">
        <v>347</v>
      </c>
      <c r="B43" s="215" t="s">
        <v>1545</v>
      </c>
      <c r="C43" s="238">
        <f ca="1">ROUND(IF('数据-取费表'!B22&lt;=1,C39*F22*'数据-取费表'!B21/2,C39*(POWER((1+F22),'数据-取费表'!B21/2)-1)),0)</f>
        <v>13</v>
      </c>
      <c r="D43" s="238"/>
      <c r="E43" s="238"/>
      <c r="F43" s="239"/>
      <c r="G43" s="3678"/>
    </row>
    <row r="44" spans="1:7" ht="13.5" customHeight="1">
      <c r="A44" s="780" t="s">
        <v>348</v>
      </c>
      <c r="B44" s="215" t="s">
        <v>1546</v>
      </c>
      <c r="C44" s="238">
        <f ca="1">ROUND(IF('数据-取费表'!B22&lt;=1,C40*F22*'数据-取费表'!B21/2,C40*(POWER((1+F22),'数据-取费表'!B21/2)-1)),4)</f>
        <v>6.9999999999999999E-4</v>
      </c>
      <c r="D44" s="238"/>
      <c r="E44" s="238"/>
      <c r="F44" s="239"/>
      <c r="G44" s="3679"/>
    </row>
    <row r="45" spans="1:7" s="214" customFormat="1" ht="13.5" customHeight="1">
      <c r="A45" s="255" t="s">
        <v>1547</v>
      </c>
      <c r="B45" s="244" t="s">
        <v>1513</v>
      </c>
      <c r="C45" s="245">
        <f ca="1">C46</f>
        <v>3238</v>
      </c>
      <c r="D45" s="235">
        <f ca="1">C47</f>
        <v>3.5999999999999999E-3</v>
      </c>
      <c r="E45" s="236" t="s">
        <v>1539</v>
      </c>
      <c r="F45" s="246">
        <f ca="1">F27</f>
        <v>0.18</v>
      </c>
      <c r="G45" s="247" t="s">
        <v>1548</v>
      </c>
    </row>
    <row r="46" spans="1:7" s="214" customFormat="1" ht="13.5" customHeight="1">
      <c r="A46" s="780" t="s">
        <v>346</v>
      </c>
      <c r="B46" s="248" t="s">
        <v>1549</v>
      </c>
      <c r="C46" s="249">
        <f ca="1">ROUND((C33+C39)*F27,0)</f>
        <v>3238</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23707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19677</v>
      </c>
      <c r="D51" s="232"/>
      <c r="E51" s="232"/>
      <c r="F51" s="264"/>
      <c r="G51" s="234" t="s">
        <v>1560</v>
      </c>
    </row>
    <row r="52" spans="1:7" s="208" customFormat="1" ht="16.5" thickBot="1">
      <c r="A52" s="265" t="s">
        <v>1561</v>
      </c>
      <c r="B52" s="266"/>
      <c r="C52" s="267">
        <f ca="1">C31+C51</f>
        <v>95533</v>
      </c>
      <c r="D52" s="266"/>
      <c r="E52" s="266"/>
      <c r="F52" s="266"/>
      <c r="G52" s="268"/>
    </row>
    <row r="55" spans="1:7" ht="15">
      <c r="B55" s="270" t="s">
        <v>1562</v>
      </c>
      <c r="C55" s="271"/>
    </row>
    <row r="56" spans="1:7">
      <c r="B56" s="273" t="s">
        <v>802</v>
      </c>
      <c r="C56" s="275">
        <f ca="1">1-C57</f>
        <v>0.79400000000000004</v>
      </c>
    </row>
    <row r="57" spans="1:7">
      <c r="B57" s="273" t="s">
        <v>803</v>
      </c>
      <c r="C57" s="274">
        <f ca="1">ROUND(C51/C52,3)</f>
        <v>0.20599999999999999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21599.577700000002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6217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6948170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6948170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6948170</v>
      </c>
      <c r="D10" s="845">
        <f ca="1">IF(B1="",'数据-汇总表'!E6,IF(INDIRECT("'数据-取费表'!c"&amp;$G$1)="住宅",INDIRECT("'数据-取费表'!s"&amp;$G$1),INDIRECT("'数据-取费表'!k"&amp;$G$1)+INDIRECT("'数据-取费表'!s"&amp;$G$1)))</f>
        <v>34740.85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6948170</v>
      </c>
      <c r="D19" s="849">
        <f ca="1">D9+D10</f>
        <v>34740.85</v>
      </c>
      <c r="E19" s="211">
        <f>'数据-取费表'!B31</f>
        <v>200</v>
      </c>
      <c r="F19" s="231"/>
      <c r="G19" s="1855"/>
    </row>
    <row r="20" spans="1:7" s="214" customFormat="1" ht="13.5" customHeight="1">
      <c r="A20" s="255" t="s">
        <v>1574</v>
      </c>
      <c r="B20" s="210" t="s">
        <v>1575</v>
      </c>
      <c r="C20" s="232">
        <f ca="1">ROUND((C5+C19)*F20,0)</f>
        <v>277927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1014020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502077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502077</v>
      </c>
      <c r="D24" s="238"/>
      <c r="E24" s="238"/>
      <c r="F24" s="239"/>
      <c r="G24" s="240" t="s">
        <v>1586</v>
      </c>
    </row>
    <row r="25" spans="1:7" s="214" customFormat="1" ht="24">
      <c r="A25" s="780" t="s">
        <v>1476</v>
      </c>
      <c r="B25" s="215" t="s">
        <v>1587</v>
      </c>
      <c r="C25" s="1128">
        <f ca="1">ROUND(IF('数据-取费表'!B22&lt;=1,C20*F22*'数据-取费表'!B22/2,C20*(POWER((1+F22),'数据-取费表'!B22/2)-1)),0)</f>
        <v>9866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2551368</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2551368</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19232063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176372584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162128626</v>
      </c>
      <c r="D34" s="217"/>
      <c r="E34" s="220"/>
      <c r="F34" s="257"/>
      <c r="G34" s="219"/>
    </row>
    <row r="35" spans="1:7" ht="13.5" customHeight="1">
      <c r="A35" s="780" t="s">
        <v>351</v>
      </c>
      <c r="B35" s="215" t="s">
        <v>1527</v>
      </c>
      <c r="C35" s="220">
        <f ca="1">ROUND(C34*F35,0)</f>
        <v>4863859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6948170</v>
      </c>
      <c r="D37" s="217">
        <f ca="1">D19</f>
        <v>34740.85</v>
      </c>
      <c r="E37" s="249">
        <f>'数据-取费表'!B35</f>
        <v>200</v>
      </c>
      <c r="F37" s="259"/>
      <c r="G37" s="261"/>
    </row>
    <row r="38" spans="1:7" ht="13.5" customHeight="1">
      <c r="A38" s="780" t="s">
        <v>354</v>
      </c>
      <c r="B38" s="215" t="s">
        <v>1533</v>
      </c>
      <c r="C38" s="220">
        <f ca="1">ROUND(C34*F38,0)</f>
        <v>2431929</v>
      </c>
      <c r="D38" s="220"/>
      <c r="E38" s="220"/>
      <c r="F38" s="259">
        <f>'数据-取费表'!B36</f>
        <v>1.4999999999999999E-2</v>
      </c>
      <c r="G38" s="219" t="s">
        <v>1528</v>
      </c>
    </row>
    <row r="39" spans="1:7" s="214" customFormat="1" ht="13.5" customHeight="1">
      <c r="A39" s="255" t="s">
        <v>1534</v>
      </c>
      <c r="B39" s="210" t="s">
        <v>1535</v>
      </c>
      <c r="C39" s="232">
        <f ca="1">ROUND(C33*F20,0)</f>
        <v>3527452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6386452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6261227</v>
      </c>
      <c r="D42" s="238"/>
      <c r="E42" s="238"/>
      <c r="F42" s="239"/>
      <c r="G42" s="3677" t="s">
        <v>1591</v>
      </c>
    </row>
    <row r="43" spans="1:7" ht="13.5" customHeight="1">
      <c r="A43" s="780" t="s">
        <v>347</v>
      </c>
      <c r="B43" s="215" t="s">
        <v>1545</v>
      </c>
      <c r="C43" s="238">
        <f ca="1">ROUND(IF('数据-取费表'!B22&lt;=1,C39*F22*'数据-取费表'!B20/2,C39*(POWER((1+F22),'数据-取费表'!B20/2)-1)),0)</f>
        <v>125225</v>
      </c>
      <c r="D43" s="238"/>
      <c r="E43" s="238"/>
      <c r="F43" s="239"/>
      <c r="G43" s="3678"/>
    </row>
    <row r="44" spans="1:7" ht="13.5" customHeight="1">
      <c r="A44" s="780" t="s">
        <v>348</v>
      </c>
      <c r="B44" s="215" t="s">
        <v>1546</v>
      </c>
      <c r="C44" s="238">
        <f ca="1">ROUND(IF('数据-取费表'!B22&lt;=1,C40*F22*'数据-取费表'!B20/2,C40*(POWER((1+F22),'数据-取费表'!B20/2)-1)),4)</f>
        <v>6.9999999999999999E-4</v>
      </c>
      <c r="D44" s="238"/>
      <c r="E44" s="238"/>
      <c r="F44" s="239"/>
      <c r="G44" s="3679"/>
    </row>
    <row r="45" spans="1:7" s="214" customFormat="1" ht="13.5" customHeight="1">
      <c r="A45" s="255" t="s">
        <v>1547</v>
      </c>
      <c r="B45" s="244" t="s">
        <v>1513</v>
      </c>
      <c r="C45" s="245">
        <f ca="1">C46</f>
        <v>32382006</v>
      </c>
      <c r="D45" s="235">
        <f ca="1">C47</f>
        <v>3.5999999999999999E-3</v>
      </c>
      <c r="E45" s="236" t="s">
        <v>1539</v>
      </c>
      <c r="F45" s="246">
        <f ca="1">F27</f>
        <v>0.18</v>
      </c>
      <c r="G45" s="247" t="s">
        <v>1548</v>
      </c>
    </row>
    <row r="46" spans="1:7" s="214" customFormat="1" ht="13.5" customHeight="1">
      <c r="A46" s="780" t="s">
        <v>346</v>
      </c>
      <c r="B46" s="248" t="s">
        <v>1549</v>
      </c>
      <c r="C46" s="249">
        <f ca="1">ROUND((C33+C39)*F27,0)</f>
        <v>32382006</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237064716</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196763714</v>
      </c>
      <c r="D51" s="232"/>
      <c r="E51" s="232"/>
      <c r="F51" s="264"/>
      <c r="G51" s="234" t="s">
        <v>1560</v>
      </c>
    </row>
    <row r="52" spans="1:7" s="208" customFormat="1" ht="16.5" thickBot="1">
      <c r="A52" s="265" t="s">
        <v>1561</v>
      </c>
      <c r="B52" s="266"/>
      <c r="C52" s="267">
        <f ca="1">C31+C51</f>
        <v>215995777</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34740.85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34740.85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695</v>
      </c>
      <c r="D20" s="846">
        <f ca="1">IF(C1="",'数据-汇总表'!E6,IF(INDIRECT("'数据-取费表'!c"&amp;$K$1)="住宅",INDIRECT("'数据-取费表'!s"&amp;$K$1),INDIRECT("'数据-取费表'!k"&amp;$K$1)+INDIRECT("'数据-取费表'!s"&amp;$K$1)))</f>
        <v>34740.85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12" sqref="G1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34740.85</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42053</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Ⅴ-32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19362</v>
      </c>
      <c r="U2" s="1212">
        <f>Sheet1!D3</f>
        <v>5971.11</v>
      </c>
      <c r="V2" s="3360">
        <f>ROUND(T2*U2/10000,0)</f>
        <v>11561</v>
      </c>
      <c r="W2" s="1215"/>
      <c r="X2" s="1215"/>
      <c r="Y2" s="1215"/>
      <c r="Z2" s="1215"/>
      <c r="AA2" s="1215"/>
      <c r="AB2" s="1215"/>
      <c r="AC2" s="1216"/>
      <c r="AD2" s="1217"/>
      <c r="AE2" s="1217"/>
      <c r="AF2" s="1217"/>
      <c r="AG2" s="1217"/>
      <c r="AH2" s="1217"/>
      <c r="AI2" s="1217"/>
      <c r="AJ2" s="1218"/>
    </row>
    <row r="3" spans="1:36" ht="15.75">
      <c r="A3" s="203" t="s">
        <v>1940</v>
      </c>
      <c r="B3" s="204">
        <f>ROUND(B2*10000/D1,0)</f>
        <v>12105</v>
      </c>
      <c r="C3" s="1998" t="s">
        <v>1941</v>
      </c>
      <c r="D3" s="1999" t="s">
        <v>1942</v>
      </c>
      <c r="E3" s="3419" t="s">
        <v>2443</v>
      </c>
      <c r="F3" s="2003" t="s">
        <v>3403</v>
      </c>
      <c r="G3" s="752">
        <f>IF(F3="宗地容积率",'数据-汇总表'!I4,IF(F3="估价对象容积率",'数据-汇总表'!I6,'数据-汇总表'!I7))</f>
        <v>2.4500000000000002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15261</v>
      </c>
      <c r="U3" s="1212">
        <f>Sheet1!D4</f>
        <v>5964.67</v>
      </c>
      <c r="V3" s="3360">
        <f t="shared" ref="V3:V16" si="1">ROUND(T3*U3/10000,0)</f>
        <v>9103</v>
      </c>
      <c r="W3" s="1215"/>
      <c r="X3" s="1215"/>
      <c r="Y3" s="1215"/>
      <c r="Z3" s="1215"/>
      <c r="AA3" s="1215"/>
      <c r="AB3" s="1215"/>
      <c r="AC3" s="1216"/>
      <c r="AD3" s="1217"/>
      <c r="AE3" s="1217"/>
      <c r="AF3" s="1217"/>
      <c r="AG3" s="1217"/>
      <c r="AH3" s="1217"/>
      <c r="AI3" s="1217"/>
      <c r="AJ3" s="1218"/>
    </row>
    <row r="4" spans="1:36" ht="15.75">
      <c r="A4" s="3687"/>
      <c r="B4" s="3688"/>
      <c r="C4" s="3688"/>
      <c r="D4" s="3689"/>
      <c r="E4" s="3689"/>
      <c r="F4" s="3689"/>
      <c r="G4" s="3689"/>
      <c r="H4" s="3689"/>
      <c r="I4" s="3689"/>
      <c r="J4" s="3690"/>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12898</v>
      </c>
      <c r="U4" s="1212">
        <f>Sheet1!D5</f>
        <v>6506.73</v>
      </c>
      <c r="V4" s="3360">
        <f t="shared" si="1"/>
        <v>8392</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14860</v>
      </c>
      <c r="D5" s="1338">
        <f>ROUND(C6*C17+C20,0)</f>
        <v>14860</v>
      </c>
      <c r="E5" s="1338"/>
      <c r="F5" s="2006"/>
      <c r="G5" s="2007"/>
      <c r="H5" s="2007"/>
      <c r="I5" s="2007"/>
      <c r="J5" s="2008"/>
      <c r="K5" s="2009"/>
      <c r="L5" s="2002" t="s">
        <v>1948</v>
      </c>
      <c r="M5" s="864">
        <f>SUMPRODUCT((区片价!B87:B126=I2)*(区片价!C3:G3=E2)*(区片价!C87:G126))</f>
        <v>14860</v>
      </c>
      <c r="N5" s="866">
        <f>SUMPRODUCT((因素修正幅度!B87:B126=I2)*(因素修正幅度!C3:G3=E2)*(因素修正幅度!C87:G126))</f>
        <v>0.1</v>
      </c>
      <c r="O5" s="1119"/>
      <c r="P5" s="1119"/>
      <c r="Q5" s="1119"/>
      <c r="R5" s="1211">
        <v>4</v>
      </c>
      <c r="S5" s="3360">
        <f>ROUND(SUMPRODUCT((B106:B110=R5)*(C105:N105=G2)*(C106:N110)),4)</f>
        <v>0.88239999999999996</v>
      </c>
      <c r="T5" s="3360">
        <f t="shared" si="0"/>
        <v>11375</v>
      </c>
      <c r="U5" s="1212">
        <f>Sheet1!D6</f>
        <v>6522.04</v>
      </c>
      <c r="V5" s="3360">
        <f t="shared" si="1"/>
        <v>7419</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14860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10932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五级</v>
      </c>
      <c r="Y7" s="1213" t="s">
        <v>1956</v>
      </c>
      <c r="Z7" s="1214">
        <f>G3</f>
        <v>2.4500000000000002</v>
      </c>
      <c r="AA7" s="1215"/>
      <c r="AB7" s="1215"/>
      <c r="AC7" s="1216"/>
      <c r="AD7" s="1217"/>
      <c r="AE7" s="1217"/>
      <c r="AF7" s="1217"/>
      <c r="AG7" s="1217"/>
      <c r="AH7" s="1217"/>
      <c r="AI7" s="1217"/>
      <c r="AJ7" s="1218"/>
    </row>
    <row r="8" spans="1:36" ht="25.5">
      <c r="A8" s="3298"/>
      <c r="B8" s="170" t="s">
        <v>1957</v>
      </c>
      <c r="C8" s="2025" t="s">
        <v>3404</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684" t="s">
        <v>1960</v>
      </c>
      <c r="X8" s="368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686"/>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68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91" t="s">
        <v>3260</v>
      </c>
      <c r="B20" s="167" t="s">
        <v>1994</v>
      </c>
      <c r="C20" s="3324">
        <f>ROUND(IF(F21="与级别开发程度一致",0,(G21-E21)/C21),0)</f>
        <v>0</v>
      </c>
      <c r="D20" s="3340" t="s">
        <v>1998</v>
      </c>
      <c r="E20" s="3341"/>
      <c r="F20" s="3697" t="s">
        <v>1995</v>
      </c>
      <c r="G20" s="3698"/>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9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3405</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1">
        <v>44197</v>
      </c>
      <c r="F23" s="2053" t="s">
        <v>2003</v>
      </c>
      <c r="G23" s="762">
        <f>'数据-取费表'!B2</f>
        <v>45152</v>
      </c>
      <c r="H23" s="3342" t="s">
        <v>3262</v>
      </c>
      <c r="I23" s="3343" t="str">
        <f>IF(H23="季度增幅（自定义）",SUMIF(N25:N28,E2,O25:O28),"")</f>
        <v/>
      </c>
      <c r="J23" s="3445" t="s">
        <v>3261</v>
      </c>
      <c r="K23" s="1125"/>
      <c r="L23" s="2054" t="s">
        <v>2004</v>
      </c>
      <c r="M23" s="1327">
        <f>ROUND(SUMIF(地价!B2:G2,E2,地价!B16:G16),0)</f>
        <v>350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0.79179999999999995</v>
      </c>
      <c r="D24" s="2059" t="s">
        <v>2007</v>
      </c>
      <c r="E24" s="1334">
        <f>存贷款利率!E23/100</f>
        <v>4.3499999999999997E-2</v>
      </c>
      <c r="F24" s="2059" t="s">
        <v>1999</v>
      </c>
      <c r="G24" s="768">
        <f>SUMIF(M30:Q30,E2,M33:Q33)</f>
        <v>5.5E-2</v>
      </c>
      <c r="H24" s="2059" t="s">
        <v>2008</v>
      </c>
      <c r="I24" s="769">
        <f>SUMIF('数据-取费表'!C6:C15,E2,'数据-取费表'!F6:F15)/COUNTIF('数据-取费表'!C6:C15,E2)</f>
        <v>22.41</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3406</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1">
        <f>IF(E26=G26,F26,IF(G3&lt;10,ROUND(F26+(H26-F26)*(G3-E26)/(G26-E26),4),"——"))</f>
        <v>1.0037</v>
      </c>
      <c r="E26" s="752">
        <f>ROUNDDOWN(G3,1)</f>
        <v>2.4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1.054</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42053</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1394</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0</v>
      </c>
      <c r="D33" s="2097">
        <f>'数据-基础表'!I13</f>
        <v>24964.55</v>
      </c>
      <c r="E33" s="773">
        <f>ROUND(C33*D33/10000,0)</f>
        <v>0</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95"/>
      <c r="B37" s="2112" t="s">
        <v>2036</v>
      </c>
      <c r="C37" s="175">
        <f>ROUND(D5*C22*C23*C24*C28*F37,0)</f>
        <v>7735</v>
      </c>
      <c r="D37" s="2097">
        <f>'数据-基础表'!K13</f>
        <v>6216.72</v>
      </c>
      <c r="E37" s="171">
        <f>ROUND(C37*D37/10000,0)</f>
        <v>4809</v>
      </c>
      <c r="F37" s="171">
        <f>SUMIF(修正!A57:A68,G2,修正!B57:B68)</f>
        <v>0.6</v>
      </c>
      <c r="G37" s="171">
        <f>ROUND(IF(E2="工业",C37*$M$42,C37*$M$41),0)</f>
        <v>1934</v>
      </c>
      <c r="H37" s="171">
        <f>D37</f>
        <v>6216.72</v>
      </c>
      <c r="I37" s="171">
        <f>ROUND(G37*H37/10000,0)</f>
        <v>1202</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96"/>
      <c r="B38" s="2040" t="s">
        <v>2037</v>
      </c>
      <c r="C38" s="175">
        <f>ROUND(D5*C22*C23*C24*C28*F38,0)</f>
        <v>3867</v>
      </c>
      <c r="D38" s="2097"/>
      <c r="E38" s="171">
        <f t="shared" ref="E38:E42" si="4">ROUND(C38*D38/10000,0)</f>
        <v>0</v>
      </c>
      <c r="F38" s="171">
        <f>SUMIF(修正!A57:A68,G2,修正!C57:C68)</f>
        <v>0.3</v>
      </c>
      <c r="G38" s="171">
        <f>ROUND(IF(E2="工业",C38*$M$42,C38*$M$41),0)</f>
        <v>967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6"/>
      <c r="B39" s="2040" t="s">
        <v>3265</v>
      </c>
      <c r="C39" s="175">
        <f>ROUND(D5*C22*C23*C24*C28*F39,0)</f>
        <v>3223</v>
      </c>
      <c r="D39" s="2097"/>
      <c r="E39" s="171">
        <f t="shared" si="4"/>
        <v>0</v>
      </c>
      <c r="F39" s="171">
        <f>SUMIF(修正!A57:A68,G2,修正!D57:D68)</f>
        <v>0.25</v>
      </c>
      <c r="G39" s="171">
        <f>ROUND(IF(E2="工业",C39*$M$42,C39*$M$41),0)</f>
        <v>806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3223</v>
      </c>
      <c r="D40" s="2097"/>
      <c r="E40" s="171">
        <f t="shared" si="4"/>
        <v>0</v>
      </c>
      <c r="F40" s="175">
        <f>SUMIF(修正!A57:A68,G2,修正!E57:E68)</f>
        <v>0.25</v>
      </c>
      <c r="G40" s="171">
        <f>ROUND(IF(E2="工业",C40*$M$42,C40*$M$41),0)</f>
        <v>806</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3600</v>
      </c>
      <c r="D41" s="2097"/>
      <c r="E41" s="171">
        <f t="shared" si="4"/>
        <v>0</v>
      </c>
      <c r="F41" s="175">
        <f>SUMIF(修正!A57:A68,G2,修正!F57:F68)</f>
        <v>0.25</v>
      </c>
      <c r="G41" s="171">
        <f>ROUND(IF(E2="工业",C41*$M$42,C41*$M$41),0)</f>
        <v>900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2160</v>
      </c>
      <c r="D42" s="2102">
        <f>'数据-基础表'!M13</f>
        <v>3559.58</v>
      </c>
      <c r="E42" s="187">
        <f t="shared" si="4"/>
        <v>769</v>
      </c>
      <c r="F42" s="767">
        <f>SUMIF(修正!A57:A68,G2,修正!G57:G68)</f>
        <v>0.15</v>
      </c>
      <c r="G42" s="187">
        <f>ROUND(IF(E2="工业",C42*$M$42,C42*$M$41),0)</f>
        <v>540</v>
      </c>
      <c r="H42" s="187">
        <f t="shared" si="5"/>
        <v>3559.58</v>
      </c>
      <c r="I42" s="187">
        <f t="shared" si="6"/>
        <v>192</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0.88449999999999995</v>
      </c>
      <c r="D44" s="171" t="s">
        <v>1999</v>
      </c>
      <c r="E44" s="2152">
        <f>G24</f>
        <v>5.5E-2</v>
      </c>
      <c r="F44" s="171" t="s">
        <v>2008</v>
      </c>
      <c r="G44" s="183">
        <f>项目基本情况!F15</f>
        <v>32.409999999999997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1.054</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3407</v>
      </c>
      <c r="D50" s="1065">
        <f t="shared" ref="D50:D58" si="7">SUMIF($J$49:$N$49,C50,J50:N50)</f>
        <v>1.4999999999999999E-2</v>
      </c>
      <c r="E50" s="744">
        <f>ROUND(SUM(D50:D58),4)</f>
        <v>5.3999999999999999E-2</v>
      </c>
      <c r="F50" s="1813">
        <f>IF(E2="商业",SUMIF(L1:L12,G2,N1:N12),"——")</f>
        <v>0.1</v>
      </c>
      <c r="G50" s="1063">
        <f>H50</f>
        <v>1.4999999999999999E-2</v>
      </c>
      <c r="H50" s="1066">
        <f t="shared" ref="H50:H58" si="8">IFERROR(ROUNDDOWN($F$50*I50/2,4),"——")</f>
        <v>1.4999999999999999E-2</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3407</v>
      </c>
      <c r="D51" s="1065">
        <f t="shared" si="7"/>
        <v>1.0999999999999999E-2</v>
      </c>
      <c r="E51" s="745"/>
      <c r="F51" s="1813"/>
      <c r="G51" s="1063">
        <f t="shared" ref="G51:G58" si="12">H51</f>
        <v>1.0999999999999999E-2</v>
      </c>
      <c r="H51" s="1066">
        <f t="shared" si="8"/>
        <v>1.0999999999999999E-2</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t="s">
        <v>3407</v>
      </c>
      <c r="D52" s="1065">
        <f t="shared" si="7"/>
        <v>6.0000000000000001E-3</v>
      </c>
      <c r="E52" s="745"/>
      <c r="F52" s="1813"/>
      <c r="G52" s="1063">
        <f t="shared" si="12"/>
        <v>6.0000000000000001E-3</v>
      </c>
      <c r="H52" s="1066">
        <f t="shared" si="8"/>
        <v>6.0000000000000001E-3</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29" t="s">
        <v>2054</v>
      </c>
      <c r="B53" s="2134" t="s">
        <v>2055</v>
      </c>
      <c r="C53" s="2043" t="s">
        <v>3407</v>
      </c>
      <c r="D53" s="1065">
        <f t="shared" si="7"/>
        <v>2.5000000000000001E-3</v>
      </c>
      <c r="E53" s="745"/>
      <c r="F53" s="1813"/>
      <c r="G53" s="1063">
        <f t="shared" si="12"/>
        <v>2.5000000000000001E-3</v>
      </c>
      <c r="H53" s="1066">
        <f t="shared" si="8"/>
        <v>2.5000000000000001E-3</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3407</v>
      </c>
      <c r="D54" s="1065">
        <f t="shared" si="7"/>
        <v>4.0000000000000001E-3</v>
      </c>
      <c r="E54" s="745"/>
      <c r="F54" s="1813"/>
      <c r="G54" s="1063">
        <f t="shared" si="12"/>
        <v>4.0000000000000001E-3</v>
      </c>
      <c r="H54" s="1066">
        <f t="shared" si="8"/>
        <v>4.0000000000000001E-3</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29" t="s">
        <v>2057</v>
      </c>
      <c r="B55" s="2135" t="s">
        <v>2058</v>
      </c>
      <c r="C55" s="2043" t="s">
        <v>3407</v>
      </c>
      <c r="D55" s="1065">
        <f t="shared" si="7"/>
        <v>2.5000000000000001E-3</v>
      </c>
      <c r="E55" s="745"/>
      <c r="F55" s="1813"/>
      <c r="G55" s="1063">
        <f t="shared" si="12"/>
        <v>2.5000000000000001E-3</v>
      </c>
      <c r="H55" s="1066">
        <f t="shared" si="8"/>
        <v>2.5000000000000001E-3</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3407</v>
      </c>
      <c r="D56" s="1065">
        <f t="shared" si="7"/>
        <v>2.5000000000000001E-3</v>
      </c>
      <c r="E56" s="745"/>
      <c r="F56" s="1813"/>
      <c r="G56" s="1063">
        <f t="shared" si="12"/>
        <v>2.5000000000000001E-3</v>
      </c>
      <c r="H56" s="1066">
        <f t="shared" si="8"/>
        <v>2.5000000000000001E-3</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3408</v>
      </c>
      <c r="D57" s="1065">
        <f t="shared" si="7"/>
        <v>8.0000000000000002E-3</v>
      </c>
      <c r="E57" s="745"/>
      <c r="F57" s="1813"/>
      <c r="G57" s="1063">
        <f t="shared" si="12"/>
        <v>4.0000000000000001E-3</v>
      </c>
      <c r="H57" s="1066">
        <f t="shared" si="8"/>
        <v>4.0000000000000001E-3</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3407</v>
      </c>
      <c r="D58" s="1065">
        <f t="shared" si="7"/>
        <v>2.5000000000000001E-3</v>
      </c>
      <c r="E58" s="746"/>
      <c r="F58" s="1813"/>
      <c r="G58" s="1063">
        <f t="shared" si="12"/>
        <v>2.5000000000000001E-3</v>
      </c>
      <c r="H58" s="1066">
        <f t="shared" si="8"/>
        <v>2.5000000000000001E-3</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2060</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2057</v>
      </c>
      <c r="B78" s="2135" t="s">
        <v>2058</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2068</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3"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3"/>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3276</v>
      </c>
      <c r="B85" s="2133">
        <f>估价对象房地状况!G17</f>
        <v>0</v>
      </c>
      <c r="C85" s="2043"/>
      <c r="D85" s="1065">
        <f t="shared" si="23"/>
        <v>0</v>
      </c>
      <c r="E85" s="747"/>
      <c r="F85" s="1813"/>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3"/>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5" t="str">
        <f>估价对象房地状况!G19</f>
        <v>估价对象所在区域公共配套设施齐备情况</v>
      </c>
      <c r="C87" s="2043"/>
      <c r="D87" s="1065">
        <f t="shared" si="23"/>
        <v>0</v>
      </c>
      <c r="E87" s="747"/>
      <c r="F87" s="1813"/>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5" t="str">
        <f>估价对象房地状况!G20</f>
        <v>估价对象所在区域基础设施水平</v>
      </c>
      <c r="C88" s="2043"/>
      <c r="D88" s="1065">
        <f t="shared" si="23"/>
        <v>0</v>
      </c>
      <c r="E88" s="747"/>
      <c r="F88" s="1813"/>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3"/>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3"/>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93" t="s">
        <v>3300</v>
      </c>
      <c r="B103" s="3693"/>
      <c r="C103" s="3693"/>
      <c r="D103" s="3693"/>
      <c r="E103" s="3693"/>
      <c r="F103" s="3693"/>
      <c r="G103" s="3693"/>
      <c r="H103" s="3693"/>
      <c r="I103" s="3693"/>
      <c r="J103" s="3693"/>
      <c r="K103" s="3389"/>
      <c r="L103" s="3389"/>
      <c r="M103" s="3389"/>
      <c r="N103" s="3389"/>
    </row>
    <row r="104" spans="1:14">
      <c r="A104" s="3694" t="s">
        <v>3301</v>
      </c>
      <c r="B104" s="3694" t="s">
        <v>3302</v>
      </c>
      <c r="C104" s="3390" t="s">
        <v>3303</v>
      </c>
      <c r="D104" s="3391"/>
      <c r="E104" s="3391"/>
      <c r="F104" s="3391"/>
      <c r="G104" s="3391"/>
      <c r="H104" s="3391"/>
      <c r="I104" s="3391"/>
      <c r="J104" s="3392"/>
      <c r="K104" s="3393"/>
      <c r="L104" s="3393"/>
      <c r="M104" s="3393"/>
      <c r="N104" s="3393"/>
    </row>
    <row r="105" spans="1:14">
      <c r="A105" s="3694"/>
      <c r="B105" s="3694"/>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680"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1"/>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8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83" t="s">
        <v>3317</v>
      </c>
      <c r="B113" s="3683"/>
      <c r="C113" s="3683"/>
      <c r="D113" s="3683"/>
      <c r="E113" s="3683"/>
      <c r="F113" s="3683"/>
      <c r="G113" s="3683"/>
      <c r="H113" s="3683"/>
      <c r="I113" s="3683"/>
      <c r="J113" s="368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2.4500000000000002</v>
      </c>
      <c r="C116" s="3399" t="s">
        <v>3319</v>
      </c>
      <c r="D116" s="3400">
        <f>SUMPRODUCT((A118:A122=F116)*(B117:M117=H116)*B118:M122)</f>
        <v>0.91469999999999996</v>
      </c>
      <c r="E116" s="1999" t="s">
        <v>3320</v>
      </c>
      <c r="F116" s="3401" t="str">
        <f>E2</f>
        <v>商业</v>
      </c>
      <c r="G116" s="1999" t="s">
        <v>3321</v>
      </c>
      <c r="H116" s="3401" t="str">
        <f>G2</f>
        <v>五级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0.96989999999999998</v>
      </c>
      <c r="C118" s="3387">
        <f>B118</f>
        <v>0.96989999999999998</v>
      </c>
      <c r="D118" s="3387">
        <f>ROUND(0.949-0.014*B116,4)</f>
        <v>0.91469999999999996</v>
      </c>
      <c r="E118" s="3387">
        <f>D118</f>
        <v>0.91469999999999996</v>
      </c>
      <c r="F118" s="3387">
        <f>E118</f>
        <v>0.91469999999999996</v>
      </c>
      <c r="G118" s="3387">
        <f>F118</f>
        <v>0.91469999999999996</v>
      </c>
      <c r="H118" s="3387">
        <f>G118</f>
        <v>0.91469999999999996</v>
      </c>
      <c r="I118" s="3387">
        <f>ROUND(0.8486-0.018*B116,4)</f>
        <v>0.80449999999999999</v>
      </c>
      <c r="J118" s="3387">
        <f t="shared" ref="J118:M122" si="36">I118</f>
        <v>0.80449999999999999</v>
      </c>
      <c r="K118" s="3387">
        <f t="shared" si="36"/>
        <v>0.80449999999999999</v>
      </c>
      <c r="L118" s="3387">
        <f t="shared" si="36"/>
        <v>0.80449999999999999</v>
      </c>
      <c r="M118" s="3410">
        <f t="shared" si="36"/>
        <v>0.80449999999999999</v>
      </c>
      <c r="N118" s="3397"/>
    </row>
    <row r="119" spans="1:14">
      <c r="A119" s="3409" t="s">
        <v>3335</v>
      </c>
      <c r="B119" s="3387">
        <f>ROUND(0.993-0.0112*B116,4)</f>
        <v>0.96560000000000001</v>
      </c>
      <c r="C119" s="3387">
        <f>B119</f>
        <v>0.96560000000000001</v>
      </c>
      <c r="D119" s="3387">
        <f>ROUND(0.9415-0.0142*B116,4)</f>
        <v>0.90669999999999995</v>
      </c>
      <c r="E119" s="3387">
        <f t="shared" ref="E119:H120" si="37">D119</f>
        <v>0.90669999999999995</v>
      </c>
      <c r="F119" s="3387">
        <f t="shared" si="37"/>
        <v>0.90669999999999995</v>
      </c>
      <c r="G119" s="3387">
        <f t="shared" si="37"/>
        <v>0.90669999999999995</v>
      </c>
      <c r="H119" s="3387">
        <f t="shared" si="37"/>
        <v>0.90669999999999995</v>
      </c>
      <c r="I119" s="3387">
        <f>ROUND(0.838-0.0182*B116,4)</f>
        <v>0.79339999999999999</v>
      </c>
      <c r="J119" s="3387">
        <f t="shared" si="36"/>
        <v>0.79339999999999999</v>
      </c>
      <c r="K119" s="3387">
        <f t="shared" si="36"/>
        <v>0.79339999999999999</v>
      </c>
      <c r="L119" s="3387">
        <f t="shared" si="36"/>
        <v>0.79339999999999999</v>
      </c>
      <c r="M119" s="3410">
        <f t="shared" si="36"/>
        <v>0.79339999999999999</v>
      </c>
      <c r="N119" s="3397"/>
    </row>
    <row r="120" spans="1:14">
      <c r="A120" s="3409" t="s">
        <v>3336</v>
      </c>
      <c r="B120" s="3387">
        <f>ROUND(0.9448-0.0115*B116,4)</f>
        <v>0.91659999999999997</v>
      </c>
      <c r="C120" s="3387">
        <f>B120</f>
        <v>0.91659999999999997</v>
      </c>
      <c r="D120" s="3387">
        <f>ROUND(0.937-0.0145*B116,4)</f>
        <v>0.90149999999999997</v>
      </c>
      <c r="E120" s="3387">
        <f t="shared" si="37"/>
        <v>0.90149999999999997</v>
      </c>
      <c r="F120" s="3387">
        <f t="shared" si="37"/>
        <v>0.90149999999999997</v>
      </c>
      <c r="G120" s="3387">
        <f t="shared" si="37"/>
        <v>0.90149999999999997</v>
      </c>
      <c r="H120" s="3387">
        <f t="shared" si="37"/>
        <v>0.90149999999999997</v>
      </c>
      <c r="I120" s="3387">
        <f>ROUND(0.7965-0.0185*B116,4)</f>
        <v>0.75119999999999998</v>
      </c>
      <c r="J120" s="3387">
        <f t="shared" si="36"/>
        <v>0.75119999999999998</v>
      </c>
      <c r="K120" s="3387">
        <f t="shared" si="36"/>
        <v>0.75119999999999998</v>
      </c>
      <c r="L120" s="3387">
        <f t="shared" si="36"/>
        <v>0.75119999999999998</v>
      </c>
      <c r="M120" s="3410">
        <f t="shared" si="36"/>
        <v>0.75119999999999998</v>
      </c>
      <c r="N120" s="3397"/>
    </row>
    <row r="121" spans="1:14" ht="13.5" thickBot="1">
      <c r="A121" s="3411" t="s">
        <v>3337</v>
      </c>
      <c r="B121" s="3412">
        <f>ROUND(0.7836-0.012*B116,4)</f>
        <v>0.75419999999999998</v>
      </c>
      <c r="C121" s="3412">
        <f>B121</f>
        <v>0.75419999999999998</v>
      </c>
      <c r="D121" s="3412">
        <f>ROUND(0.753-0.015*B116,4)</f>
        <v>0.71630000000000005</v>
      </c>
      <c r="E121" s="3412">
        <f>D121</f>
        <v>0.71630000000000005</v>
      </c>
      <c r="F121" s="3412">
        <f>E121</f>
        <v>0.71630000000000005</v>
      </c>
      <c r="G121" s="3412">
        <f>ROUND(0.6612-0.018*B116,4)</f>
        <v>0.61709999999999998</v>
      </c>
      <c r="H121" s="3412">
        <f>G121</f>
        <v>0.61709999999999998</v>
      </c>
      <c r="I121" s="3412">
        <f>ROUND(0.5905-0.019*B116,4)</f>
        <v>0.54400000000000004</v>
      </c>
      <c r="J121" s="3412">
        <f t="shared" si="36"/>
        <v>0.54400000000000004</v>
      </c>
      <c r="K121" s="3412">
        <f t="shared" si="36"/>
        <v>0.54400000000000004</v>
      </c>
      <c r="L121" s="3412">
        <f t="shared" si="36"/>
        <v>0.54400000000000004</v>
      </c>
      <c r="M121" s="3413">
        <f t="shared" si="36"/>
        <v>0.54400000000000004</v>
      </c>
      <c r="N121" s="3397"/>
    </row>
    <row r="122" spans="1:14">
      <c r="A122" s="3414" t="s">
        <v>2616</v>
      </c>
      <c r="B122" s="3387">
        <f>ROUND(0.9404-0.0106*B116,4)</f>
        <v>0.91439999999999999</v>
      </c>
      <c r="C122" s="3387">
        <f>B122</f>
        <v>0.91439999999999999</v>
      </c>
      <c r="D122" s="3387">
        <f>ROUND(0.8955-0.0135*B116,4)</f>
        <v>0.86240000000000006</v>
      </c>
      <c r="E122" s="3387">
        <f t="shared" ref="E122:H122" si="38">D122</f>
        <v>0.86240000000000006</v>
      </c>
      <c r="F122" s="3387">
        <f t="shared" si="38"/>
        <v>0.86240000000000006</v>
      </c>
      <c r="G122" s="3387">
        <f t="shared" si="38"/>
        <v>0.86240000000000006</v>
      </c>
      <c r="H122" s="3387">
        <f t="shared" si="38"/>
        <v>0.86240000000000006</v>
      </c>
      <c r="I122" s="3387">
        <f>ROUND(0.7632-0.0166*B116,4)</f>
        <v>0.72250000000000003</v>
      </c>
      <c r="J122" s="3387">
        <f t="shared" si="36"/>
        <v>0.72250000000000003</v>
      </c>
      <c r="K122" s="3387">
        <f t="shared" si="36"/>
        <v>0.72250000000000003</v>
      </c>
      <c r="L122" s="3387">
        <f t="shared" si="36"/>
        <v>0.72250000000000003</v>
      </c>
      <c r="M122" s="3410">
        <f t="shared" si="36"/>
        <v>0.72250000000000003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3" priority="6" stopIfTrue="1" operator="notEqual">
      <formula>"——"</formula>
    </cfRule>
  </conditionalFormatting>
  <conditionalFormatting sqref="F61">
    <cfRule type="cellIs" dxfId="162" priority="5" stopIfTrue="1" operator="notEqual">
      <formula>"——"</formula>
    </cfRule>
  </conditionalFormatting>
  <conditionalFormatting sqref="F72">
    <cfRule type="cellIs" dxfId="161" priority="4" stopIfTrue="1" operator="notEqual">
      <formula>"——"</formula>
    </cfRule>
  </conditionalFormatting>
  <conditionalFormatting sqref="F83">
    <cfRule type="cellIs" dxfId="160" priority="3" stopIfTrue="1" operator="notEqual">
      <formula>"——"</formula>
    </cfRule>
  </conditionalFormatting>
  <conditionalFormatting sqref="H50:H58 H61:H69 H72:H80 H83:H91">
    <cfRule type="cellIs" dxfId="159" priority="2" operator="notEqual">
      <formula>"——"</formula>
    </cfRule>
  </conditionalFormatting>
  <conditionalFormatting sqref="H93:H101">
    <cfRule type="cellIs" dxfId="15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74" t="s">
        <v>694</v>
      </c>
      <c r="C6" s="1074">
        <f ca="1">ROUND(F6*F8*F7*(1-F9),0)</f>
        <v>0</v>
      </c>
      <c r="D6" s="155" t="s">
        <v>2106</v>
      </c>
      <c r="E6" s="302" t="s">
        <v>696</v>
      </c>
      <c r="F6" s="303">
        <f ca="1">INDIRECT("'数据-取费表'!u"&amp;$G$1)</f>
        <v>0</v>
      </c>
      <c r="G6" s="1383"/>
      <c r="H6" s="1069" t="s">
        <v>398</v>
      </c>
      <c r="I6" s="3674" t="s">
        <v>694</v>
      </c>
      <c r="J6" s="301">
        <f ca="1">ROUND(M6*M8*M7*(1-M9),0)</f>
        <v>0</v>
      </c>
      <c r="K6" s="1375"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0</v>
      </c>
      <c r="G7" s="1383"/>
      <c r="H7" s="304"/>
      <c r="I7" s="3675"/>
      <c r="J7" s="306"/>
      <c r="K7" s="307"/>
      <c r="L7" s="302" t="s">
        <v>697</v>
      </c>
      <c r="M7" s="303">
        <f ca="1">F7</f>
        <v>0</v>
      </c>
    </row>
    <row r="8" spans="1:37" ht="18" customHeight="1">
      <c r="A8" s="304"/>
      <c r="B8" s="3675"/>
      <c r="C8" s="306"/>
      <c r="D8" s="307"/>
      <c r="E8" s="302" t="s">
        <v>698</v>
      </c>
      <c r="F8" s="303">
        <f ca="1">INDIRECT("'数据-取费表'!ai"&amp;$G$1)</f>
        <v>0</v>
      </c>
      <c r="G8" s="1383"/>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3"/>
      <c r="H9" s="304"/>
      <c r="I9" s="367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#DIV/0!</v>
      </c>
      <c r="D45" s="3431"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72" t="s">
        <v>837</v>
      </c>
      <c r="L53" s="367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3364</v>
      </c>
      <c r="E2" s="3443"/>
      <c r="F2" s="2845"/>
      <c r="G2" s="2846"/>
      <c r="H2" s="2847"/>
      <c r="I2" s="2848"/>
      <c r="J2" s="3699" t="s">
        <v>2321</v>
      </c>
      <c r="K2" s="370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701" t="s">
        <v>2331</v>
      </c>
      <c r="K3" s="370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701" t="s">
        <v>2333</v>
      </c>
      <c r="K4" s="370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703" t="s">
        <v>2337</v>
      </c>
      <c r="B6" s="3704"/>
      <c r="C6" s="3705"/>
      <c r="D6" s="2869"/>
      <c r="E6" s="2870"/>
      <c r="F6" s="2871"/>
      <c r="G6" s="2872"/>
      <c r="H6" s="2847"/>
      <c r="I6" s="2848"/>
      <c r="J6" s="3706">
        <v>1</v>
      </c>
      <c r="K6" s="370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706"/>
      <c r="K7" s="370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710" t="s">
        <v>2351</v>
      </c>
      <c r="C8" s="3711"/>
      <c r="D8" s="2888" t="s">
        <v>2352</v>
      </c>
      <c r="E8" s="2889" t="s">
        <v>2353</v>
      </c>
      <c r="F8" s="2890" t="s">
        <v>2354</v>
      </c>
      <c r="G8" s="2891"/>
      <c r="H8" s="2847"/>
      <c r="I8" s="2848"/>
      <c r="J8" s="3706"/>
      <c r="K8" s="370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710" t="s">
        <v>2357</v>
      </c>
      <c r="C9" s="3711"/>
      <c r="D9" s="2888">
        <f>ROUND(D6*E9,0)</f>
        <v>0</v>
      </c>
      <c r="E9" s="2892"/>
      <c r="F9" s="2893" t="s">
        <v>2358</v>
      </c>
      <c r="G9" s="2872"/>
      <c r="H9" s="2847"/>
      <c r="I9" s="2848"/>
      <c r="J9" s="3706"/>
      <c r="K9" s="3708"/>
      <c r="L9" s="2882" t="s">
        <v>2359</v>
      </c>
      <c r="M9" s="2883"/>
      <c r="N9" s="2859"/>
      <c r="O9" s="2884"/>
      <c r="P9" s="2884"/>
      <c r="Q9" s="2885">
        <v>365</v>
      </c>
      <c r="R9" s="2886">
        <f t="shared" si="0"/>
        <v>0</v>
      </c>
      <c r="S9" s="2840"/>
      <c r="T9" s="2840"/>
      <c r="U9" s="2840"/>
      <c r="V9" s="2848"/>
    </row>
    <row r="10" spans="1:22" s="2852" customFormat="1" ht="13.15" customHeight="1">
      <c r="A10" s="2887">
        <v>2</v>
      </c>
      <c r="B10" s="3710" t="s">
        <v>2360</v>
      </c>
      <c r="C10" s="3711"/>
      <c r="D10" s="2888">
        <f>ROUND(D6*E10,0)</f>
        <v>0</v>
      </c>
      <c r="E10" s="2892"/>
      <c r="F10" s="2893" t="s">
        <v>2361</v>
      </c>
      <c r="G10" s="2872"/>
      <c r="H10" s="2847"/>
      <c r="I10" s="2848"/>
      <c r="J10" s="3706"/>
      <c r="K10" s="3708"/>
      <c r="L10" s="2882" t="s">
        <v>2362</v>
      </c>
      <c r="M10" s="2883"/>
      <c r="N10" s="2859"/>
      <c r="O10" s="2884"/>
      <c r="P10" s="2884"/>
      <c r="Q10" s="2885">
        <v>365</v>
      </c>
      <c r="R10" s="2886">
        <f t="shared" si="0"/>
        <v>0</v>
      </c>
      <c r="S10" s="2840"/>
      <c r="T10" s="2840"/>
      <c r="U10" s="2840"/>
      <c r="V10" s="2848"/>
    </row>
    <row r="11" spans="1:22" s="2852" customFormat="1" ht="13.15" customHeight="1">
      <c r="A11" s="2887">
        <v>3</v>
      </c>
      <c r="B11" s="3710" t="s">
        <v>2363</v>
      </c>
      <c r="C11" s="3711"/>
      <c r="D11" s="2888">
        <f>D12+D14+D15+D16</f>
        <v>0</v>
      </c>
      <c r="E11" s="2894" t="e">
        <f>D11/D6</f>
        <v>#DIV/0!</v>
      </c>
      <c r="F11" s="2890"/>
      <c r="G11" s="2891"/>
      <c r="H11" s="2847"/>
      <c r="I11" s="2848"/>
      <c r="J11" s="3706"/>
      <c r="K11" s="370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712" t="s">
        <v>2366</v>
      </c>
      <c r="C12" s="3713"/>
      <c r="D12" s="2896">
        <f>ROUND(D13*1.2%*(1-30%),0)</f>
        <v>0</v>
      </c>
      <c r="E12" s="2897">
        <v>1.2E-2</v>
      </c>
      <c r="F12" s="2890" t="s">
        <v>2367</v>
      </c>
      <c r="G12" s="2891"/>
      <c r="H12" s="2847"/>
      <c r="I12" s="2848"/>
      <c r="J12" s="3706"/>
      <c r="K12" s="370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706"/>
      <c r="K13" s="370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712" t="s">
        <v>2372</v>
      </c>
      <c r="C14" s="3713"/>
      <c r="D14" s="2896">
        <f>ROUND(E14*B5/10000,0)</f>
        <v>0</v>
      </c>
      <c r="E14" s="2885"/>
      <c r="F14" s="2890" t="s">
        <v>2373</v>
      </c>
      <c r="G14" s="2891"/>
      <c r="H14" s="2847"/>
      <c r="I14" s="2848"/>
      <c r="J14" s="3706"/>
      <c r="K14" s="370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712" t="s">
        <v>2376</v>
      </c>
      <c r="C15" s="3713"/>
      <c r="D15" s="2896">
        <f>ROUND(D6*E15,0)</f>
        <v>0</v>
      </c>
      <c r="E15" s="2897">
        <v>5.5E-2</v>
      </c>
      <c r="F15" s="2890" t="s">
        <v>2377</v>
      </c>
      <c r="G15" s="2872"/>
      <c r="H15" s="2847"/>
      <c r="I15" s="2848"/>
      <c r="J15" s="3706">
        <v>2</v>
      </c>
      <c r="K15" s="370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712" t="s">
        <v>2385</v>
      </c>
      <c r="C16" s="3713"/>
      <c r="D16" s="2907">
        <f>D6*E16</f>
        <v>0</v>
      </c>
      <c r="E16" s="2908"/>
      <c r="F16" s="2893" t="s">
        <v>2386</v>
      </c>
      <c r="G16" s="2872"/>
      <c r="H16" s="2847"/>
      <c r="I16" s="2848"/>
      <c r="J16" s="3706"/>
      <c r="K16" s="370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714" t="s">
        <v>2388</v>
      </c>
      <c r="C17" s="3715"/>
      <c r="D17" s="2910">
        <f>ROUND(D6*E17,0)</f>
        <v>0</v>
      </c>
      <c r="E17" s="2911"/>
      <c r="F17" s="2912" t="s">
        <v>2389</v>
      </c>
      <c r="G17" s="2872"/>
      <c r="H17" s="2847"/>
      <c r="I17" s="2848"/>
      <c r="J17" s="3706"/>
      <c r="K17" s="370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706"/>
      <c r="K18" s="370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706"/>
      <c r="K19" s="370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706"/>
      <c r="K21" s="370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706"/>
      <c r="K22" s="370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706"/>
      <c r="K23" s="370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706"/>
      <c r="K24" s="370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71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71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99" t="s">
        <v>2321</v>
      </c>
      <c r="K32" s="370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701" t="s">
        <v>2331</v>
      </c>
      <c r="K33" s="370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701" t="s">
        <v>2333</v>
      </c>
      <c r="K34" s="370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706">
        <v>1</v>
      </c>
      <c r="K36" s="370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706"/>
      <c r="K40" s="370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71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34740.85</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6" t="s">
        <v>1667</v>
      </c>
      <c r="D4" s="3737"/>
      <c r="E4" s="3738" t="s">
        <v>1668</v>
      </c>
      <c r="F4" s="3739"/>
      <c r="G4" s="3736" t="s">
        <v>1669</v>
      </c>
      <c r="H4" s="3737"/>
      <c r="I4" s="3736" t="s">
        <v>1670</v>
      </c>
      <c r="J4" s="3737"/>
      <c r="K4" s="1888" t="s">
        <v>1671</v>
      </c>
      <c r="L4" s="2714"/>
      <c r="M4" s="2715"/>
      <c r="N4" s="2715"/>
      <c r="O4" s="2715"/>
      <c r="P4" s="3740" t="s">
        <v>1672</v>
      </c>
      <c r="Q4" s="3741"/>
      <c r="R4" s="3723" t="s">
        <v>1668</v>
      </c>
      <c r="S4" s="3724"/>
      <c r="T4" s="3723" t="s">
        <v>1669</v>
      </c>
      <c r="U4" s="3724"/>
      <c r="V4" s="3748" t="s">
        <v>1670</v>
      </c>
      <c r="W4" s="3748"/>
      <c r="X4" s="1354"/>
      <c r="Y4" s="3723" t="s">
        <v>1672</v>
      </c>
      <c r="Z4" s="3724"/>
      <c r="AA4" s="3718" t="s">
        <v>1668</v>
      </c>
      <c r="AB4" s="3718" t="s">
        <v>1669</v>
      </c>
      <c r="AC4" s="3718" t="s">
        <v>1670</v>
      </c>
    </row>
    <row r="5" spans="1:29" ht="15">
      <c r="A5" s="358"/>
      <c r="B5" s="359"/>
      <c r="C5" s="3729" t="s">
        <v>1673</v>
      </c>
      <c r="D5" s="3730"/>
      <c r="E5" s="3727" t="s">
        <v>1674</v>
      </c>
      <c r="F5" s="3728"/>
      <c r="G5" s="3729" t="s">
        <v>1675</v>
      </c>
      <c r="H5" s="3730"/>
      <c r="I5" s="3729" t="s">
        <v>1676</v>
      </c>
      <c r="J5" s="3730"/>
      <c r="K5" s="1889"/>
      <c r="L5" s="2714"/>
      <c r="M5" s="2715"/>
      <c r="N5" s="2715"/>
      <c r="O5" s="2715"/>
      <c r="P5" s="3742"/>
      <c r="Q5" s="3743"/>
      <c r="R5" s="3725"/>
      <c r="S5" s="3726"/>
      <c r="T5" s="3725"/>
      <c r="U5" s="3726"/>
      <c r="V5" s="3748"/>
      <c r="W5" s="3748"/>
      <c r="X5" s="1354"/>
      <c r="Y5" s="3725"/>
      <c r="Z5" s="3726"/>
      <c r="AA5" s="3719"/>
      <c r="AB5" s="3719"/>
      <c r="AC5" s="3719"/>
    </row>
    <row r="6" spans="1:29" ht="15.75" thickBot="1">
      <c r="A6" s="360"/>
      <c r="B6" s="361"/>
      <c r="C6" s="3731" t="s">
        <v>1677</v>
      </c>
      <c r="D6" s="3732"/>
      <c r="E6" s="3733" t="s">
        <v>1677</v>
      </c>
      <c r="F6" s="3734"/>
      <c r="G6" s="3731" t="s">
        <v>1677</v>
      </c>
      <c r="H6" s="3732"/>
      <c r="I6" s="3731" t="s">
        <v>1677</v>
      </c>
      <c r="J6" s="3732"/>
      <c r="K6" s="1889" t="s">
        <v>1678</v>
      </c>
      <c r="L6" s="2714"/>
      <c r="M6" s="2715"/>
      <c r="N6" s="2715"/>
      <c r="O6" s="2715"/>
      <c r="P6" s="3744"/>
      <c r="Q6" s="3745"/>
      <c r="R6" s="3725"/>
      <c r="S6" s="3726"/>
      <c r="T6" s="3746"/>
      <c r="U6" s="3747"/>
      <c r="V6" s="3748"/>
      <c r="W6" s="3748"/>
      <c r="X6" s="1354"/>
      <c r="Y6" s="3746"/>
      <c r="Z6" s="3747"/>
      <c r="AA6" s="3720"/>
      <c r="AB6" s="3720"/>
      <c r="AC6" s="3720"/>
    </row>
    <row r="7" spans="1:29" s="108" customFormat="1" ht="15.75" thickBot="1">
      <c r="A7" s="362" t="s">
        <v>1679</v>
      </c>
      <c r="B7" s="363"/>
      <c r="C7" s="364">
        <f>'数据-取费表'!B2</f>
        <v>45152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1" t="s">
        <v>1680</v>
      </c>
      <c r="Q7" s="3749"/>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5"/>
      <c r="Q11" s="1342" t="str">
        <f t="shared" si="6"/>
        <v>容积率</v>
      </c>
      <c r="R11" s="701" t="s">
        <v>18</v>
      </c>
      <c r="S11" s="702" t="e">
        <f t="shared" si="0"/>
        <v>#N/A</v>
      </c>
      <c r="T11" s="701" t="s">
        <v>18</v>
      </c>
      <c r="U11" s="702" t="e">
        <f t="shared" si="1"/>
        <v>#N/A</v>
      </c>
      <c r="V11" s="701" t="s">
        <v>18</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5"/>
      <c r="Q12" s="1342">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5"/>
      <c r="Q13" s="1342">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5"/>
      <c r="Q14" s="1342">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2" t="s">
        <v>1691</v>
      </c>
      <c r="Q15" s="1351" t="str">
        <f t="shared" si="6"/>
        <v>居住社区成熟度</v>
      </c>
      <c r="R15" s="705" t="s">
        <v>18</v>
      </c>
      <c r="S15" s="706">
        <f t="shared" si="0"/>
        <v>100</v>
      </c>
      <c r="T15" s="705" t="s">
        <v>18</v>
      </c>
      <c r="U15" s="706">
        <f t="shared" si="1"/>
        <v>100</v>
      </c>
      <c r="V15" s="705" t="s">
        <v>18</v>
      </c>
      <c r="W15" s="706">
        <f t="shared" si="2"/>
        <v>100</v>
      </c>
      <c r="X15" s="1354"/>
      <c r="Y15" s="375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3"/>
      <c r="Q16" s="1351"/>
      <c r="R16" s="705"/>
      <c r="S16" s="706"/>
      <c r="T16" s="705"/>
      <c r="U16" s="706"/>
      <c r="V16" s="705"/>
      <c r="W16" s="706"/>
      <c r="X16" s="1354"/>
      <c r="Y16" s="375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3"/>
      <c r="Q17" s="1351" t="str">
        <f>B17</f>
        <v>交通便捷度</v>
      </c>
      <c r="R17" s="705" t="s">
        <v>18</v>
      </c>
      <c r="S17" s="706">
        <f>F17</f>
        <v>100</v>
      </c>
      <c r="T17" s="705" t="s">
        <v>18</v>
      </c>
      <c r="U17" s="706">
        <f>H17</f>
        <v>100</v>
      </c>
      <c r="V17" s="705" t="s">
        <v>18</v>
      </c>
      <c r="W17" s="706">
        <f>J17</f>
        <v>100</v>
      </c>
      <c r="X17" s="1354"/>
      <c r="Y17" s="375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3"/>
      <c r="Q18" s="1351"/>
      <c r="R18" s="705"/>
      <c r="S18" s="706"/>
      <c r="T18" s="705"/>
      <c r="U18" s="706"/>
      <c r="V18" s="705"/>
      <c r="W18" s="706"/>
      <c r="X18" s="1354"/>
      <c r="Y18" s="375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3"/>
      <c r="Q19" s="1351" t="str">
        <f>B19</f>
        <v>公共配套设施</v>
      </c>
      <c r="R19" s="705" t="s">
        <v>18</v>
      </c>
      <c r="S19" s="706">
        <f>F19</f>
        <v>100</v>
      </c>
      <c r="T19" s="705" t="s">
        <v>18</v>
      </c>
      <c r="U19" s="706">
        <f>H19</f>
        <v>100</v>
      </c>
      <c r="V19" s="705" t="s">
        <v>18</v>
      </c>
      <c r="W19" s="706">
        <f>J19</f>
        <v>100</v>
      </c>
      <c r="X19" s="1354"/>
      <c r="Y19" s="375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3"/>
      <c r="Q20" s="1351"/>
      <c r="R20" s="705"/>
      <c r="S20" s="706"/>
      <c r="T20" s="705"/>
      <c r="U20" s="706"/>
      <c r="V20" s="705"/>
      <c r="W20" s="706"/>
      <c r="X20" s="1354"/>
      <c r="Y20" s="375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3"/>
      <c r="Q22" s="1351"/>
      <c r="R22" s="705"/>
      <c r="S22" s="706"/>
      <c r="T22" s="705"/>
      <c r="U22" s="706"/>
      <c r="V22" s="705"/>
      <c r="W22" s="706"/>
      <c r="X22" s="1354"/>
      <c r="Y22" s="375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3"/>
      <c r="Q23" s="1351" t="str">
        <f>B23</f>
        <v>自然及人文环境</v>
      </c>
      <c r="R23" s="705" t="s">
        <v>18</v>
      </c>
      <c r="S23" s="706">
        <f>F23</f>
        <v>100</v>
      </c>
      <c r="T23" s="705" t="s">
        <v>18</v>
      </c>
      <c r="U23" s="706">
        <f>H23</f>
        <v>100</v>
      </c>
      <c r="V23" s="705" t="s">
        <v>18</v>
      </c>
      <c r="W23" s="706">
        <f>J23</f>
        <v>100</v>
      </c>
      <c r="X23" s="1354"/>
      <c r="Y23" s="375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3"/>
      <c r="Q24" s="1351"/>
      <c r="R24" s="705"/>
      <c r="S24" s="706"/>
      <c r="T24" s="705"/>
      <c r="U24" s="706"/>
      <c r="V24" s="705"/>
      <c r="W24" s="706"/>
      <c r="X24" s="1354"/>
      <c r="Y24" s="375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3"/>
      <c r="Q26" s="1351" t="str">
        <f t="shared" si="11"/>
        <v>朝向</v>
      </c>
      <c r="R26" s="705" t="s">
        <v>18</v>
      </c>
      <c r="S26" s="706">
        <f t="shared" si="12"/>
        <v>100</v>
      </c>
      <c r="T26" s="705" t="s">
        <v>18</v>
      </c>
      <c r="U26" s="706">
        <f t="shared" si="13"/>
        <v>100</v>
      </c>
      <c r="V26" s="705" t="s">
        <v>18</v>
      </c>
      <c r="W26" s="706">
        <f t="shared" si="14"/>
        <v>100</v>
      </c>
      <c r="X26" s="1354"/>
      <c r="Y26" s="375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3"/>
      <c r="Q27" s="1342">
        <f t="shared" si="11"/>
        <v>111</v>
      </c>
      <c r="R27" s="701" t="s">
        <v>18</v>
      </c>
      <c r="S27" s="702">
        <f t="shared" si="12"/>
        <v>100</v>
      </c>
      <c r="T27" s="701" t="s">
        <v>18</v>
      </c>
      <c r="U27" s="702">
        <f t="shared" si="13"/>
        <v>100</v>
      </c>
      <c r="V27" s="701" t="s">
        <v>18</v>
      </c>
      <c r="W27" s="702">
        <f t="shared" si="14"/>
        <v>100</v>
      </c>
      <c r="X27" s="703"/>
      <c r="Y27" s="375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3"/>
      <c r="Q28" s="1351">
        <f t="shared" si="11"/>
        <v>111</v>
      </c>
      <c r="R28" s="705" t="s">
        <v>18</v>
      </c>
      <c r="S28" s="706">
        <f t="shared" si="12"/>
        <v>100</v>
      </c>
      <c r="T28" s="705" t="s">
        <v>18</v>
      </c>
      <c r="U28" s="706">
        <f t="shared" si="13"/>
        <v>100</v>
      </c>
      <c r="V28" s="705" t="s">
        <v>18</v>
      </c>
      <c r="W28" s="706">
        <f t="shared" si="14"/>
        <v>100</v>
      </c>
      <c r="X28" s="1354"/>
      <c r="Y28" s="375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3"/>
      <c r="Q29" s="1351">
        <f t="shared" si="11"/>
        <v>111</v>
      </c>
      <c r="R29" s="705" t="s">
        <v>18</v>
      </c>
      <c r="S29" s="706">
        <f t="shared" si="12"/>
        <v>100</v>
      </c>
      <c r="T29" s="705" t="s">
        <v>18</v>
      </c>
      <c r="U29" s="706">
        <f t="shared" si="13"/>
        <v>100</v>
      </c>
      <c r="V29" s="705" t="s">
        <v>18</v>
      </c>
      <c r="W29" s="706">
        <f t="shared" si="14"/>
        <v>100</v>
      </c>
      <c r="X29" s="1354"/>
      <c r="Y29" s="375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3"/>
      <c r="Q30" s="1351">
        <f t="shared" si="11"/>
        <v>111</v>
      </c>
      <c r="R30" s="705" t="s">
        <v>18</v>
      </c>
      <c r="S30" s="706">
        <f t="shared" si="12"/>
        <v>100</v>
      </c>
      <c r="T30" s="705" t="s">
        <v>18</v>
      </c>
      <c r="U30" s="706">
        <f t="shared" si="13"/>
        <v>100</v>
      </c>
      <c r="V30" s="705" t="s">
        <v>18</v>
      </c>
      <c r="W30" s="706">
        <f t="shared" si="14"/>
        <v>100</v>
      </c>
      <c r="X30" s="1354"/>
      <c r="Y30" s="375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3"/>
      <c r="Q31" s="1351">
        <f t="shared" si="11"/>
        <v>111</v>
      </c>
      <c r="R31" s="705" t="s">
        <v>18</v>
      </c>
      <c r="S31" s="706">
        <f t="shared" si="12"/>
        <v>100</v>
      </c>
      <c r="T31" s="705" t="s">
        <v>18</v>
      </c>
      <c r="U31" s="706">
        <f t="shared" si="13"/>
        <v>100</v>
      </c>
      <c r="V31" s="705" t="s">
        <v>18</v>
      </c>
      <c r="W31" s="706">
        <f t="shared" si="14"/>
        <v>100</v>
      </c>
      <c r="X31" s="1354"/>
      <c r="Y31" s="375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7" t="s">
        <v>1696</v>
      </c>
      <c r="Q32" s="1351" t="str">
        <f t="shared" si="11"/>
        <v>建筑类型</v>
      </c>
      <c r="R32" s="705" t="s">
        <v>18</v>
      </c>
      <c r="S32" s="706">
        <f t="shared" si="12"/>
        <v>100</v>
      </c>
      <c r="T32" s="705" t="s">
        <v>18</v>
      </c>
      <c r="U32" s="706">
        <f t="shared" si="13"/>
        <v>100</v>
      </c>
      <c r="V32" s="705" t="s">
        <v>18</v>
      </c>
      <c r="W32" s="706">
        <f t="shared" si="14"/>
        <v>100</v>
      </c>
      <c r="X32" s="1354"/>
      <c r="Y32" s="376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58"/>
      <c r="Q33" s="707" t="str">
        <f t="shared" si="11"/>
        <v>项目建筑规模</v>
      </c>
      <c r="R33" s="708" t="s">
        <v>18</v>
      </c>
      <c r="S33" s="709" t="e">
        <f t="shared" si="12"/>
        <v>#N/A</v>
      </c>
      <c r="T33" s="708" t="s">
        <v>18</v>
      </c>
      <c r="U33" s="709" t="e">
        <f t="shared" si="13"/>
        <v>#N/A</v>
      </c>
      <c r="V33" s="708" t="s">
        <v>18</v>
      </c>
      <c r="W33" s="709" t="e">
        <f t="shared" si="14"/>
        <v>#N/A</v>
      </c>
      <c r="X33" s="710"/>
      <c r="Y33" s="376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58"/>
      <c r="Q34" s="1351" t="str">
        <f t="shared" si="11"/>
        <v>建筑结构</v>
      </c>
      <c r="R34" s="705" t="s">
        <v>18</v>
      </c>
      <c r="S34" s="706">
        <f t="shared" si="12"/>
        <v>100</v>
      </c>
      <c r="T34" s="705" t="s">
        <v>18</v>
      </c>
      <c r="U34" s="706">
        <f t="shared" si="13"/>
        <v>100</v>
      </c>
      <c r="V34" s="705" t="s">
        <v>18</v>
      </c>
      <c r="W34" s="706">
        <f t="shared" si="14"/>
        <v>100</v>
      </c>
      <c r="X34" s="1354"/>
      <c r="Y34" s="376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58"/>
      <c r="Q35" s="1351" t="str">
        <f t="shared" si="11"/>
        <v>建筑品质</v>
      </c>
      <c r="R35" s="705" t="s">
        <v>18</v>
      </c>
      <c r="S35" s="706">
        <f t="shared" si="12"/>
        <v>100</v>
      </c>
      <c r="T35" s="705" t="s">
        <v>18</v>
      </c>
      <c r="U35" s="706">
        <f t="shared" si="13"/>
        <v>100</v>
      </c>
      <c r="V35" s="705" t="s">
        <v>18</v>
      </c>
      <c r="W35" s="706">
        <f t="shared" si="14"/>
        <v>100</v>
      </c>
      <c r="X35" s="1354"/>
      <c r="Y35" s="376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58"/>
      <c r="Q36" s="1351" t="str">
        <f t="shared" si="11"/>
        <v>公共部分装修</v>
      </c>
      <c r="R36" s="705" t="s">
        <v>18</v>
      </c>
      <c r="S36" s="706">
        <f t="shared" si="12"/>
        <v>100</v>
      </c>
      <c r="T36" s="705" t="s">
        <v>18</v>
      </c>
      <c r="U36" s="706">
        <f t="shared" si="13"/>
        <v>100</v>
      </c>
      <c r="V36" s="705" t="s">
        <v>18</v>
      </c>
      <c r="W36" s="706">
        <f t="shared" si="14"/>
        <v>100</v>
      </c>
      <c r="X36" s="1354"/>
      <c r="Y36" s="376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8"/>
      <c r="Q37" s="1342" t="str">
        <f t="shared" si="11"/>
        <v>成新度</v>
      </c>
      <c r="R37" s="701" t="s">
        <v>18</v>
      </c>
      <c r="S37" s="702" t="e">
        <f t="shared" si="12"/>
        <v>#N/A</v>
      </c>
      <c r="T37" s="701" t="s">
        <v>18</v>
      </c>
      <c r="U37" s="702" t="e">
        <f t="shared" si="13"/>
        <v>#N/A</v>
      </c>
      <c r="V37" s="701" t="s">
        <v>18</v>
      </c>
      <c r="W37" s="702" t="e">
        <f t="shared" si="14"/>
        <v>#N/A</v>
      </c>
      <c r="X37" s="703"/>
      <c r="Y37" s="376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58" t="s">
        <v>1696</v>
      </c>
      <c r="Q38" s="1351" t="str">
        <f t="shared" si="11"/>
        <v>物业管理</v>
      </c>
      <c r="R38" s="705" t="s">
        <v>18</v>
      </c>
      <c r="S38" s="706">
        <f t="shared" si="12"/>
        <v>100</v>
      </c>
      <c r="T38" s="705" t="s">
        <v>18</v>
      </c>
      <c r="U38" s="706">
        <f t="shared" si="13"/>
        <v>100</v>
      </c>
      <c r="V38" s="705" t="s">
        <v>18</v>
      </c>
      <c r="W38" s="706">
        <f t="shared" si="14"/>
        <v>100</v>
      </c>
      <c r="X38" s="1354"/>
      <c r="Y38" s="376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8"/>
      <c r="Q39" s="1351" t="str">
        <f t="shared" si="11"/>
        <v>市政基础设施</v>
      </c>
      <c r="R39" s="705" t="s">
        <v>18</v>
      </c>
      <c r="S39" s="706">
        <f t="shared" si="12"/>
        <v>100</v>
      </c>
      <c r="T39" s="705" t="s">
        <v>18</v>
      </c>
      <c r="U39" s="706">
        <f t="shared" si="13"/>
        <v>100</v>
      </c>
      <c r="V39" s="705" t="s">
        <v>18</v>
      </c>
      <c r="W39" s="706">
        <f t="shared" si="14"/>
        <v>100</v>
      </c>
      <c r="X39" s="1354"/>
      <c r="Y39" s="376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58"/>
      <c r="Q40" s="1351" t="str">
        <f t="shared" si="11"/>
        <v>房型</v>
      </c>
      <c r="R40" s="705" t="s">
        <v>18</v>
      </c>
      <c r="S40" s="706">
        <f t="shared" si="12"/>
        <v>100</v>
      </c>
      <c r="T40" s="705" t="s">
        <v>18</v>
      </c>
      <c r="U40" s="706">
        <f t="shared" si="13"/>
        <v>100</v>
      </c>
      <c r="V40" s="705" t="s">
        <v>18</v>
      </c>
      <c r="W40" s="706">
        <f t="shared" si="14"/>
        <v>100</v>
      </c>
      <c r="X40" s="1354"/>
      <c r="Y40" s="376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8"/>
      <c r="Q41" s="707" t="str">
        <f t="shared" si="11"/>
        <v>单套/主力户型建筑面积</v>
      </c>
      <c r="R41" s="708" t="s">
        <v>18</v>
      </c>
      <c r="S41" s="709">
        <f t="shared" si="12"/>
        <v>100</v>
      </c>
      <c r="T41" s="708" t="s">
        <v>18</v>
      </c>
      <c r="U41" s="709">
        <f t="shared" si="13"/>
        <v>100</v>
      </c>
      <c r="V41" s="708" t="s">
        <v>18</v>
      </c>
      <c r="W41" s="709">
        <f t="shared" si="14"/>
        <v>100</v>
      </c>
      <c r="X41" s="710"/>
      <c r="Y41" s="376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58"/>
      <c r="Q42" s="1351" t="str">
        <f t="shared" si="11"/>
        <v>内部装修</v>
      </c>
      <c r="R42" s="705" t="s">
        <v>18</v>
      </c>
      <c r="S42" s="706">
        <f t="shared" si="12"/>
        <v>100</v>
      </c>
      <c r="T42" s="705" t="s">
        <v>18</v>
      </c>
      <c r="U42" s="706">
        <f t="shared" si="13"/>
        <v>100</v>
      </c>
      <c r="V42" s="705" t="s">
        <v>18</v>
      </c>
      <c r="W42" s="706">
        <f t="shared" si="14"/>
        <v>100</v>
      </c>
      <c r="X42" s="1354"/>
      <c r="Y42" s="376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58"/>
      <c r="Q43" s="1351" t="str">
        <f t="shared" si="11"/>
        <v>内部装修维护情况</v>
      </c>
      <c r="R43" s="705" t="s">
        <v>18</v>
      </c>
      <c r="S43" s="706">
        <f t="shared" si="12"/>
        <v>100</v>
      </c>
      <c r="T43" s="705" t="s">
        <v>18</v>
      </c>
      <c r="U43" s="706">
        <f t="shared" si="13"/>
        <v>100</v>
      </c>
      <c r="V43" s="705" t="s">
        <v>18</v>
      </c>
      <c r="W43" s="706">
        <f t="shared" si="14"/>
        <v>100</v>
      </c>
      <c r="X43" s="1354"/>
      <c r="Y43" s="376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58"/>
      <c r="Q44" s="1342">
        <f t="shared" si="11"/>
        <v>111</v>
      </c>
      <c r="R44" s="701" t="s">
        <v>18</v>
      </c>
      <c r="S44" s="702">
        <f t="shared" si="12"/>
        <v>100</v>
      </c>
      <c r="T44" s="701" t="s">
        <v>18</v>
      </c>
      <c r="U44" s="702">
        <f t="shared" si="13"/>
        <v>100</v>
      </c>
      <c r="V44" s="701" t="s">
        <v>18</v>
      </c>
      <c r="W44" s="702">
        <f t="shared" si="14"/>
        <v>100</v>
      </c>
      <c r="X44" s="703"/>
      <c r="Y44" s="37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8"/>
      <c r="Q45" s="1351">
        <f t="shared" si="11"/>
        <v>111</v>
      </c>
      <c r="R45" s="705" t="s">
        <v>18</v>
      </c>
      <c r="S45" s="706">
        <f t="shared" si="12"/>
        <v>100</v>
      </c>
      <c r="T45" s="705" t="s">
        <v>18</v>
      </c>
      <c r="U45" s="706">
        <f t="shared" si="13"/>
        <v>100</v>
      </c>
      <c r="V45" s="705" t="s">
        <v>18</v>
      </c>
      <c r="W45" s="706">
        <f t="shared" si="14"/>
        <v>100</v>
      </c>
      <c r="X45" s="1354"/>
      <c r="Y45" s="376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9"/>
      <c r="Q46" s="1351">
        <f t="shared" si="11"/>
        <v>111</v>
      </c>
      <c r="R46" s="705" t="s">
        <v>17</v>
      </c>
      <c r="S46" s="706">
        <f t="shared" si="12"/>
        <v>100</v>
      </c>
      <c r="T46" s="705" t="s">
        <v>17</v>
      </c>
      <c r="U46" s="706">
        <f t="shared" si="13"/>
        <v>100</v>
      </c>
      <c r="V46" s="705" t="s">
        <v>17</v>
      </c>
      <c r="W46" s="706">
        <f t="shared" si="14"/>
        <v>100</v>
      </c>
      <c r="X46" s="1354"/>
      <c r="Y46" s="376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53" t="str">
        <f>A47</f>
        <v>成交单价（元/平方米）</v>
      </c>
      <c r="Q47" s="3753"/>
      <c r="R47" s="3754">
        <f>E47</f>
        <v>0</v>
      </c>
      <c r="S47" s="3754"/>
      <c r="T47" s="3754">
        <f>G47</f>
        <v>0</v>
      </c>
      <c r="U47" s="3754"/>
      <c r="V47" s="3754">
        <f>I47</f>
        <v>0</v>
      </c>
      <c r="W47" s="3754"/>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估价对象为北京市房地产，为所有。根据《国有土地使用证》[]，估价对象（分摊）出让国有建设用地使用权面积为10186.06平方米，建筑面积为34740.85平方米。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估价对象为北京市房地产,属开发建设的，该项目尚在开发建设中。根据《国有土地使用证》[]，估价对象（分摊）出让国有建设用地使用权面积为10186.06平方米，规划建筑面积为34740.85平方米。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70" zoomScaleNormal="60" zoomScaleSheetLayoutView="70" workbookViewId="0">
      <selection activeCell="O121" sqref="O1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52514</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15116</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3" t="s">
        <v>1771</v>
      </c>
      <c r="S4" s="3724"/>
      <c r="T4" s="3723" t="s">
        <v>1772</v>
      </c>
      <c r="U4" s="3724"/>
      <c r="V4" s="3748" t="s">
        <v>1773</v>
      </c>
      <c r="W4" s="3748"/>
      <c r="X4" s="1354"/>
      <c r="Y4" s="3723" t="s">
        <v>1775</v>
      </c>
      <c r="Z4" s="3724"/>
      <c r="AA4" s="3718" t="s">
        <v>1771</v>
      </c>
      <c r="AB4" s="3719" t="s">
        <v>1772</v>
      </c>
      <c r="AC4" s="3718" t="s">
        <v>1773</v>
      </c>
    </row>
    <row r="5" spans="1:30" ht="15">
      <c r="A5" s="358"/>
      <c r="B5" s="359"/>
      <c r="C5" s="3729" t="s">
        <v>1673</v>
      </c>
      <c r="D5" s="3730"/>
      <c r="E5" s="3727" t="s">
        <v>1674</v>
      </c>
      <c r="F5" s="3728"/>
      <c r="G5" s="3729" t="s">
        <v>1675</v>
      </c>
      <c r="H5" s="3730"/>
      <c r="I5" s="3729" t="s">
        <v>1676</v>
      </c>
      <c r="J5" s="3730"/>
      <c r="K5" s="559"/>
      <c r="L5" s="2714"/>
      <c r="M5" s="2715"/>
      <c r="N5" s="2715"/>
      <c r="O5" s="2715"/>
      <c r="P5" s="3742"/>
      <c r="Q5" s="3743"/>
      <c r="R5" s="3725"/>
      <c r="S5" s="3726"/>
      <c r="T5" s="3725"/>
      <c r="U5" s="3726"/>
      <c r="V5" s="3748"/>
      <c r="W5" s="3748"/>
      <c r="X5" s="1354"/>
      <c r="Y5" s="3725"/>
      <c r="Z5" s="3726"/>
      <c r="AA5" s="3719"/>
      <c r="AB5" s="3719"/>
      <c r="AC5" s="3719"/>
    </row>
    <row r="6" spans="1:30" ht="15.75" thickBot="1">
      <c r="A6" s="360"/>
      <c r="B6" s="361"/>
      <c r="C6" s="3731" t="s">
        <v>1677</v>
      </c>
      <c r="D6" s="3732"/>
      <c r="E6" s="3733" t="s">
        <v>1677</v>
      </c>
      <c r="F6" s="3734"/>
      <c r="G6" s="3731" t="s">
        <v>1677</v>
      </c>
      <c r="H6" s="3732"/>
      <c r="I6" s="3731" t="s">
        <v>1677</v>
      </c>
      <c r="J6" s="3732"/>
      <c r="K6" s="559" t="s">
        <v>1678</v>
      </c>
      <c r="L6" s="2714"/>
      <c r="M6" s="2715"/>
      <c r="N6" s="2715"/>
      <c r="O6" s="2715"/>
      <c r="P6" s="3744"/>
      <c r="Q6" s="3745"/>
      <c r="R6" s="3725"/>
      <c r="S6" s="3726"/>
      <c r="T6" s="3746"/>
      <c r="U6" s="3747"/>
      <c r="V6" s="3748"/>
      <c r="W6" s="3748"/>
      <c r="X6" s="1354"/>
      <c r="Y6" s="3746"/>
      <c r="Z6" s="3747"/>
      <c r="AA6" s="3720"/>
      <c r="AB6" s="3720"/>
      <c r="AC6" s="3720"/>
    </row>
    <row r="7" spans="1:30" s="108" customFormat="1" ht="15.75" thickBot="1">
      <c r="A7" s="362" t="s">
        <v>1679</v>
      </c>
      <c r="B7" s="363"/>
      <c r="C7" s="364">
        <f>'数据-取费表'!B2</f>
        <v>45152</v>
      </c>
      <c r="D7" s="365">
        <v>100</v>
      </c>
      <c r="E7" s="366">
        <f>土地案例!K2</f>
        <v>45141</v>
      </c>
      <c r="F7" s="367">
        <f>SUMIF(69:69,YEAR(E7)&amp;"-"&amp;INT((MONTH(E7)+2)/3),70:70)</f>
        <v>100</v>
      </c>
      <c r="G7" s="1973">
        <f>土地案例!K3</f>
        <v>45114</v>
      </c>
      <c r="H7" s="365">
        <f>SUMIF(69:69,YEAR(G7)&amp;"-"&amp;INT((MONTH(G7)+2)/3),70:70)</f>
        <v>100</v>
      </c>
      <c r="I7" s="1973">
        <f>土地案例!K5</f>
        <v>44980</v>
      </c>
      <c r="J7" s="365">
        <f>SUMIF(69:69,YEAR(I7)&amp;"-"&amp;INT((MONTH(I7)+2)/3),70:70)</f>
        <v>100</v>
      </c>
      <c r="K7" s="560"/>
      <c r="L7" s="2716"/>
      <c r="M7" s="2717"/>
      <c r="N7" s="2717"/>
      <c r="O7" s="2717"/>
      <c r="P7" s="3721" t="s">
        <v>1680</v>
      </c>
      <c r="Q7" s="3749"/>
      <c r="R7" s="701" t="s">
        <v>14</v>
      </c>
      <c r="S7" s="702">
        <f t="shared" ref="S7:S15" si="0">F7</f>
        <v>100</v>
      </c>
      <c r="T7" s="701" t="s">
        <v>14</v>
      </c>
      <c r="U7" s="702">
        <f t="shared" ref="U7:U15" si="1">H7</f>
        <v>100</v>
      </c>
      <c r="V7" s="701" t="s">
        <v>14</v>
      </c>
      <c r="W7" s="702">
        <f t="shared" ref="W7:W15" si="2">J7</f>
        <v>100</v>
      </c>
      <c r="X7" s="703"/>
      <c r="Y7" s="3721" t="s">
        <v>1680</v>
      </c>
      <c r="Z7" s="3722"/>
      <c r="AA7" s="704">
        <f>D7/F7</f>
        <v>1</v>
      </c>
      <c r="AB7" s="704">
        <f>D7/H7</f>
        <v>1</v>
      </c>
      <c r="AC7" s="704">
        <f>D7/J7</f>
        <v>1</v>
      </c>
    </row>
    <row r="8" spans="1:30" s="108" customFormat="1" ht="15.75" thickBot="1">
      <c r="A8" s="362" t="s">
        <v>1681</v>
      </c>
      <c r="B8" s="363"/>
      <c r="C8" s="368" t="s">
        <v>1682</v>
      </c>
      <c r="D8" s="365">
        <v>100</v>
      </c>
      <c r="E8" s="368" t="s">
        <v>3423</v>
      </c>
      <c r="F8" s="367">
        <f>SUMIF(72:72,E8,73:73)-SUMIF(72:72,C8,73:73)+100</f>
        <v>100</v>
      </c>
      <c r="G8" s="368" t="s">
        <v>3423</v>
      </c>
      <c r="H8" s="365">
        <f>SUMIF(72:72,G8,73:73)-SUMIF(72:72,C8,73:73)+100</f>
        <v>100</v>
      </c>
      <c r="I8" s="368" t="s">
        <v>3423</v>
      </c>
      <c r="J8" s="365">
        <f>SUMIF(72:72,I8,73:73)-SUMIF(72:72,C8,73:73)+100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45" si="3">D8/F8</f>
        <v>1</v>
      </c>
      <c r="AB8" s="704">
        <f t="shared" ref="AB8:AB45" si="4">D8/H8</f>
        <v>1</v>
      </c>
      <c r="AC8" s="704">
        <f t="shared" ref="AC8:AC45" si="5">D8/J8</f>
        <v>1</v>
      </c>
    </row>
    <row r="9" spans="1:30" s="108" customFormat="1" ht="15">
      <c r="A9" s="369" t="s">
        <v>1684</v>
      </c>
      <c r="B9" s="63" t="s">
        <v>1685</v>
      </c>
      <c r="C9" s="1976" t="s">
        <v>673</v>
      </c>
      <c r="D9" s="126">
        <v>100</v>
      </c>
      <c r="E9" s="1976" t="s">
        <v>3498</v>
      </c>
      <c r="F9" s="126">
        <f>SUMIF(74:74,E9,75:75)-SUMIF(74:74,C9,75:75)+100</f>
        <v>98</v>
      </c>
      <c r="G9" s="1976" t="s">
        <v>673</v>
      </c>
      <c r="H9" s="126">
        <f>SUMIF(74:74,G9,75:75)-SUMIF(74:74,C9,75:75)+100</f>
        <v>100</v>
      </c>
      <c r="I9" s="1976" t="s">
        <v>673</v>
      </c>
      <c r="J9" s="126">
        <f>SUMIF(74:74,I9,75:75)-SUMIF(74:74,C9,75:75)+100</f>
        <v>100</v>
      </c>
      <c r="K9" s="560"/>
      <c r="L9" s="2716"/>
      <c r="M9" s="2717"/>
      <c r="N9" s="2717"/>
      <c r="O9" s="2771"/>
      <c r="P9" s="3753" t="s">
        <v>1686</v>
      </c>
      <c r="Q9" s="1342" t="str">
        <f t="shared" ref="Q9:Q15" si="6">B9</f>
        <v>用途</v>
      </c>
      <c r="R9" s="701" t="s">
        <v>14</v>
      </c>
      <c r="S9" s="702">
        <f t="shared" si="0"/>
        <v>98</v>
      </c>
      <c r="T9" s="701" t="s">
        <v>14</v>
      </c>
      <c r="U9" s="702">
        <f t="shared" si="1"/>
        <v>100</v>
      </c>
      <c r="V9" s="701" t="s">
        <v>14</v>
      </c>
      <c r="W9" s="702">
        <f t="shared" si="2"/>
        <v>100</v>
      </c>
      <c r="X9" s="703"/>
      <c r="Y9" s="3646" t="s">
        <v>1687</v>
      </c>
      <c r="Z9" s="52" t="str">
        <f t="shared" ref="Z9:Z15" si="7">Q9</f>
        <v>用途</v>
      </c>
      <c r="AA9" s="704">
        <f t="shared" si="3"/>
        <v>1.0204081632653061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8"/>
      <c r="M10" s="2719"/>
      <c r="N10" s="2719"/>
      <c r="O10" s="2772"/>
      <c r="P10" s="3753"/>
      <c r="Q10" s="1342" t="str">
        <f t="shared" si="6"/>
        <v>土地使用年限（年）</v>
      </c>
      <c r="R10" s="701" t="s">
        <v>14</v>
      </c>
      <c r="S10" s="702">
        <f t="shared" si="0"/>
        <v>128</v>
      </c>
      <c r="T10" s="701" t="s">
        <v>14</v>
      </c>
      <c r="U10" s="702">
        <f t="shared" si="1"/>
        <v>128</v>
      </c>
      <c r="V10" s="701" t="s">
        <v>14</v>
      </c>
      <c r="W10" s="702">
        <f t="shared" si="2"/>
        <v>128</v>
      </c>
      <c r="X10" s="703"/>
      <c r="Y10" s="3646"/>
      <c r="Z10" s="52" t="str">
        <f t="shared" si="7"/>
        <v>土地使用年限（年）</v>
      </c>
      <c r="AA10" s="704">
        <f t="shared" si="3"/>
        <v>0.78125</v>
      </c>
      <c r="AB10" s="704">
        <f t="shared" si="4"/>
        <v>0.78125</v>
      </c>
      <c r="AC10" s="704">
        <f t="shared" si="5"/>
        <v>0.78125</v>
      </c>
    </row>
    <row r="11" spans="1:30" ht="15">
      <c r="A11" s="379"/>
      <c r="B11" s="375" t="s">
        <v>1689</v>
      </c>
      <c r="C11" s="380">
        <f>'数据-汇总表'!I4</f>
        <v>2.4500000000000002</v>
      </c>
      <c r="D11" s="127">
        <v>100</v>
      </c>
      <c r="E11" s="380">
        <v>2.2000000000000002</v>
      </c>
      <c r="F11" s="127">
        <f>LOOKUP(E11,79:79,80:80)-LOOKUP(C11,79:79,80:80)+100</f>
        <v>100</v>
      </c>
      <c r="G11" s="381">
        <v>4.5</v>
      </c>
      <c r="H11" s="127">
        <f>LOOKUP(G11,79:79,80:80)-LOOKUP(C11,79:79,80:80)+100</f>
        <v>96</v>
      </c>
      <c r="I11" s="380">
        <v>4.3899999999999997</v>
      </c>
      <c r="J11" s="127">
        <f>LOOKUP(I11,79:79,80:80)-LOOKUP(C11,79:79,80:80)+100</f>
        <v>96</v>
      </c>
      <c r="K11" s="621">
        <v>2</v>
      </c>
      <c r="L11" s="2720"/>
      <c r="M11" s="2715"/>
      <c r="N11" s="2715"/>
      <c r="O11" s="2773"/>
      <c r="P11" s="3753"/>
      <c r="Q11" s="1342" t="str">
        <f t="shared" si="6"/>
        <v>容积率</v>
      </c>
      <c r="R11" s="701" t="s">
        <v>14</v>
      </c>
      <c r="S11" s="702">
        <f t="shared" si="0"/>
        <v>100</v>
      </c>
      <c r="T11" s="701" t="s">
        <v>14</v>
      </c>
      <c r="U11" s="702">
        <f t="shared" si="1"/>
        <v>96</v>
      </c>
      <c r="V11" s="701" t="s">
        <v>14</v>
      </c>
      <c r="W11" s="702">
        <f t="shared" si="2"/>
        <v>96</v>
      </c>
      <c r="X11" s="703"/>
      <c r="Y11" s="3646"/>
      <c r="Z11" s="52" t="str">
        <f t="shared" si="7"/>
        <v>容积率</v>
      </c>
      <c r="AA11" s="704">
        <f t="shared" si="3"/>
        <v>1</v>
      </c>
      <c r="AB11" s="704">
        <f t="shared" si="4"/>
        <v>1.0416666666666667</v>
      </c>
      <c r="AC11" s="704">
        <f t="shared" si="5"/>
        <v>1.0416666666666667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3"/>
      <c r="Q12" s="1342"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3"/>
      <c r="Q14" s="1342">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55" t="s">
        <v>1691</v>
      </c>
      <c r="Q15" s="1351" t="str">
        <f t="shared" si="6"/>
        <v>居住社区成熟度</v>
      </c>
      <c r="R15" s="705" t="s">
        <v>14</v>
      </c>
      <c r="S15" s="706">
        <f t="shared" si="0"/>
        <v>100</v>
      </c>
      <c r="T15" s="705" t="s">
        <v>14</v>
      </c>
      <c r="U15" s="706">
        <f t="shared" si="1"/>
        <v>100</v>
      </c>
      <c r="V15" s="705" t="s">
        <v>14</v>
      </c>
      <c r="W15" s="706">
        <f t="shared" si="2"/>
        <v>100</v>
      </c>
      <c r="X15" s="1354"/>
      <c r="Y15" s="375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56"/>
      <c r="Q16" s="1351"/>
      <c r="R16" s="705"/>
      <c r="S16" s="706"/>
      <c r="T16" s="705"/>
      <c r="U16" s="706"/>
      <c r="V16" s="705"/>
      <c r="W16" s="706"/>
      <c r="X16" s="1354"/>
      <c r="Y16" s="375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97</v>
      </c>
      <c r="G17" s="403"/>
      <c r="H17" s="406">
        <f>SUMIF(89:89,G18,90:90)-SUMIF(89:89,C18,90:90)+100</f>
        <v>103</v>
      </c>
      <c r="I17" s="405"/>
      <c r="J17" s="406">
        <f>SUMIF(89:89,I18,90:90)-SUMIF(89:89,C18,90:90)+100</f>
        <v>103</v>
      </c>
      <c r="K17" s="621">
        <v>3</v>
      </c>
      <c r="L17" s="2721"/>
      <c r="M17" s="2715"/>
      <c r="N17" s="2715"/>
      <c r="O17" s="2773"/>
      <c r="P17" s="3756"/>
      <c r="Q17" s="1351" t="str">
        <f>B17</f>
        <v>商业繁华度</v>
      </c>
      <c r="R17" s="705" t="s">
        <v>14</v>
      </c>
      <c r="S17" s="706">
        <f>F17</f>
        <v>97</v>
      </c>
      <c r="T17" s="705" t="s">
        <v>14</v>
      </c>
      <c r="U17" s="706">
        <f>H17</f>
        <v>103</v>
      </c>
      <c r="V17" s="705" t="s">
        <v>14</v>
      </c>
      <c r="W17" s="706">
        <f>J17</f>
        <v>103</v>
      </c>
      <c r="X17" s="1354"/>
      <c r="Y17" s="3756"/>
      <c r="Z17" s="1355" t="str">
        <f>Q17</f>
        <v>商业繁华度</v>
      </c>
      <c r="AA17" s="1352">
        <f t="shared" si="3"/>
        <v>1.0309278350515463</v>
      </c>
      <c r="AB17" s="1352">
        <f t="shared" si="4"/>
        <v>0.970873786407767</v>
      </c>
      <c r="AC17" s="1352">
        <f t="shared" si="5"/>
        <v>0.970873786407767</v>
      </c>
    </row>
    <row r="18" spans="1:29" ht="15">
      <c r="A18" s="379"/>
      <c r="B18" s="407"/>
      <c r="C18" s="1900" t="s">
        <v>3500</v>
      </c>
      <c r="D18" s="401"/>
      <c r="E18" s="1902" t="s">
        <v>3501</v>
      </c>
      <c r="F18" s="401"/>
      <c r="G18" s="1902" t="s">
        <v>3407</v>
      </c>
      <c r="H18" s="399"/>
      <c r="I18" s="1901" t="s">
        <v>3407</v>
      </c>
      <c r="J18" s="399"/>
      <c r="K18" s="620"/>
      <c r="L18" s="2721"/>
      <c r="M18" s="2715"/>
      <c r="N18" s="2715"/>
      <c r="O18" s="2773"/>
      <c r="P18" s="3756"/>
      <c r="Q18" s="1351"/>
      <c r="R18" s="705"/>
      <c r="S18" s="706"/>
      <c r="T18" s="705"/>
      <c r="U18" s="706"/>
      <c r="V18" s="705"/>
      <c r="W18" s="706"/>
      <c r="X18" s="1354"/>
      <c r="Y18" s="375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6"/>
      <c r="Q19" s="1351" t="str">
        <f>B19</f>
        <v>办公集聚程度</v>
      </c>
      <c r="R19" s="705" t="s">
        <v>14</v>
      </c>
      <c r="S19" s="706">
        <f>F19</f>
        <v>100</v>
      </c>
      <c r="T19" s="705" t="s">
        <v>14</v>
      </c>
      <c r="U19" s="706">
        <f>H19</f>
        <v>100</v>
      </c>
      <c r="V19" s="705" t="s">
        <v>14</v>
      </c>
      <c r="W19" s="706">
        <f>J19</f>
        <v>100</v>
      </c>
      <c r="X19" s="1354"/>
      <c r="Y19" s="37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56"/>
      <c r="Q20" s="1351"/>
      <c r="R20" s="705"/>
      <c r="S20" s="706"/>
      <c r="T20" s="705"/>
      <c r="U20" s="706"/>
      <c r="V20" s="705"/>
      <c r="W20" s="706"/>
      <c r="X20" s="1354"/>
      <c r="Y20" s="375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21"/>
      <c r="M21" s="2715"/>
      <c r="N21" s="2715"/>
      <c r="O21" s="2773"/>
      <c r="P21" s="3756"/>
      <c r="Q21" s="1351" t="str">
        <f>B21</f>
        <v>交通便捷度</v>
      </c>
      <c r="R21" s="705" t="s">
        <v>14</v>
      </c>
      <c r="S21" s="706">
        <f>F21</f>
        <v>100</v>
      </c>
      <c r="T21" s="705" t="s">
        <v>14</v>
      </c>
      <c r="U21" s="706">
        <f>H21</f>
        <v>100</v>
      </c>
      <c r="V21" s="705" t="s">
        <v>14</v>
      </c>
      <c r="W21" s="706">
        <f>J21</f>
        <v>100</v>
      </c>
      <c r="X21" s="1354"/>
      <c r="Y21" s="3756"/>
      <c r="Z21" s="1355" t="str">
        <f>Q21</f>
        <v>交通便捷度</v>
      </c>
      <c r="AA21" s="1352">
        <f t="shared" si="3"/>
        <v>1</v>
      </c>
      <c r="AB21" s="1352">
        <f t="shared" si="4"/>
        <v>1</v>
      </c>
      <c r="AC21" s="1352">
        <f t="shared" si="5"/>
        <v>1</v>
      </c>
    </row>
    <row r="22" spans="1:29" ht="15">
      <c r="A22" s="379"/>
      <c r="B22" s="1131"/>
      <c r="C22" s="398" t="s">
        <v>3407</v>
      </c>
      <c r="D22" s="401"/>
      <c r="E22" s="398" t="s">
        <v>3407</v>
      </c>
      <c r="F22" s="399"/>
      <c r="G22" s="398" t="s">
        <v>3407</v>
      </c>
      <c r="H22" s="399"/>
      <c r="I22" s="398" t="s">
        <v>3407</v>
      </c>
      <c r="J22" s="399"/>
      <c r="K22" s="620"/>
      <c r="L22" s="2721"/>
      <c r="M22" s="2715"/>
      <c r="N22" s="2715"/>
      <c r="O22" s="2773"/>
      <c r="P22" s="3756"/>
      <c r="Q22" s="1351"/>
      <c r="R22" s="705"/>
      <c r="S22" s="706"/>
      <c r="T22" s="705"/>
      <c r="U22" s="706"/>
      <c r="V22" s="705"/>
      <c r="W22" s="706"/>
      <c r="X22" s="1354"/>
      <c r="Y22" s="375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56"/>
      <c r="Q23" s="1351" t="str">
        <f t="shared" ref="Q23:Q37" si="8">B23</f>
        <v>区域土地利用方向</v>
      </c>
      <c r="R23" s="705" t="s">
        <v>14</v>
      </c>
      <c r="S23" s="706">
        <f>F23</f>
        <v>100</v>
      </c>
      <c r="T23" s="705" t="s">
        <v>14</v>
      </c>
      <c r="U23" s="706">
        <f>H23</f>
        <v>100</v>
      </c>
      <c r="V23" s="705" t="s">
        <v>14</v>
      </c>
      <c r="W23" s="706">
        <f>J23</f>
        <v>100</v>
      </c>
      <c r="X23" s="1354"/>
      <c r="Y23" s="3756"/>
      <c r="Z23" s="1355" t="str">
        <f>Q23</f>
        <v>区域土地利用方向</v>
      </c>
      <c r="AA23" s="1352">
        <f t="shared" si="3"/>
        <v>1</v>
      </c>
      <c r="AB23" s="1352">
        <f t="shared" si="4"/>
        <v>1</v>
      </c>
      <c r="AC23" s="1352">
        <f t="shared" si="5"/>
        <v>1</v>
      </c>
    </row>
    <row r="24" spans="1:29" ht="15">
      <c r="A24" s="358"/>
      <c r="B24" s="407"/>
      <c r="C24" s="565" t="s">
        <v>3407</v>
      </c>
      <c r="D24" s="399"/>
      <c r="E24" s="565" t="s">
        <v>3407</v>
      </c>
      <c r="F24" s="399"/>
      <c r="G24" s="565" t="s">
        <v>3407</v>
      </c>
      <c r="H24" s="399"/>
      <c r="I24" s="565" t="s">
        <v>3407</v>
      </c>
      <c r="J24" s="399"/>
      <c r="K24" s="740"/>
      <c r="L24" s="2721"/>
      <c r="M24" s="2715"/>
      <c r="N24" s="2715"/>
      <c r="O24" s="2773"/>
      <c r="P24" s="3756"/>
      <c r="Q24" s="1351"/>
      <c r="R24" s="705"/>
      <c r="S24" s="706"/>
      <c r="T24" s="705"/>
      <c r="U24" s="706"/>
      <c r="V24" s="705"/>
      <c r="W24" s="706"/>
      <c r="X24" s="1354"/>
      <c r="Y24" s="375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98</v>
      </c>
      <c r="G25" s="403"/>
      <c r="H25" s="401">
        <f>SUMIF(97:97,G26,98:98)-SUMIF(97:97,C26,98:98)+100</f>
        <v>98</v>
      </c>
      <c r="I25" s="405"/>
      <c r="J25" s="401">
        <f>SUMIF(97:97,I26,98:98)-SUMIF(97:97,C26,98:98)+100</f>
        <v>98</v>
      </c>
      <c r="K25" s="621">
        <v>2</v>
      </c>
      <c r="L25" s="2721"/>
      <c r="M25" s="2715"/>
      <c r="N25" s="2715"/>
      <c r="O25" s="2773"/>
      <c r="P25" s="3756"/>
      <c r="Q25" s="1351" t="str">
        <f t="shared" si="8"/>
        <v>自然及人文环境状况</v>
      </c>
      <c r="R25" s="705" t="s">
        <v>14</v>
      </c>
      <c r="S25" s="706">
        <f>F25</f>
        <v>98</v>
      </c>
      <c r="T25" s="705" t="s">
        <v>14</v>
      </c>
      <c r="U25" s="706">
        <f>H25</f>
        <v>98</v>
      </c>
      <c r="V25" s="705" t="s">
        <v>14</v>
      </c>
      <c r="W25" s="706">
        <f>J25</f>
        <v>98</v>
      </c>
      <c r="X25" s="1354"/>
      <c r="Y25" s="3756"/>
      <c r="Z25" s="1355" t="str">
        <f>Q25</f>
        <v>自然及人文环境状况</v>
      </c>
      <c r="AA25" s="1352">
        <f t="shared" si="3"/>
        <v>1.0204081632653061</v>
      </c>
      <c r="AB25" s="1352">
        <f t="shared" si="4"/>
        <v>1.0204081632653061</v>
      </c>
      <c r="AC25" s="1352">
        <f t="shared" si="5"/>
        <v>1.0204081632653061</v>
      </c>
    </row>
    <row r="26" spans="1:29" ht="15">
      <c r="A26" s="358"/>
      <c r="B26" s="407"/>
      <c r="C26" s="398" t="s">
        <v>3407</v>
      </c>
      <c r="D26" s="399"/>
      <c r="E26" s="1903" t="s">
        <v>3500</v>
      </c>
      <c r="F26" s="399"/>
      <c r="G26" s="1903" t="s">
        <v>3500</v>
      </c>
      <c r="H26" s="399"/>
      <c r="I26" s="1903" t="s">
        <v>3500</v>
      </c>
      <c r="J26" s="399"/>
      <c r="K26" s="620"/>
      <c r="L26" s="2721"/>
      <c r="M26" s="2715"/>
      <c r="N26" s="2715"/>
      <c r="O26" s="2773"/>
      <c r="P26" s="3756"/>
      <c r="Q26" s="1351"/>
      <c r="R26" s="705"/>
      <c r="S26" s="706"/>
      <c r="T26" s="705"/>
      <c r="U26" s="706"/>
      <c r="V26" s="705"/>
      <c r="W26" s="706"/>
      <c r="X26" s="1354"/>
      <c r="Y26" s="375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98</v>
      </c>
      <c r="G27" s="403"/>
      <c r="H27" s="401">
        <f>SUMIF(99:99,G28,100:100)-SUMIF(99:99,C28,100:100)+100</f>
        <v>100</v>
      </c>
      <c r="I27" s="405"/>
      <c r="J27" s="401">
        <f>SUMIF(99:99,I28,100:100)-SUMIF(99:99,C28,100:100)+100</f>
        <v>100</v>
      </c>
      <c r="K27" s="621">
        <v>2</v>
      </c>
      <c r="L27" s="2716"/>
      <c r="M27" s="2717"/>
      <c r="N27" s="2717"/>
      <c r="O27" s="2771"/>
      <c r="P27" s="3756"/>
      <c r="Q27" s="1342" t="str">
        <f t="shared" si="8"/>
        <v>公共配套设施</v>
      </c>
      <c r="R27" s="701" t="s">
        <v>14</v>
      </c>
      <c r="S27" s="702">
        <f>F27</f>
        <v>98</v>
      </c>
      <c r="T27" s="701" t="s">
        <v>14</v>
      </c>
      <c r="U27" s="702">
        <f>H27</f>
        <v>100</v>
      </c>
      <c r="V27" s="701" t="s">
        <v>14</v>
      </c>
      <c r="W27" s="702">
        <f>J27</f>
        <v>100</v>
      </c>
      <c r="X27" s="703"/>
      <c r="Y27" s="3756"/>
      <c r="Z27" s="52" t="str">
        <f>Q27</f>
        <v>公共配套设施</v>
      </c>
      <c r="AA27" s="1352">
        <f>D27/F27</f>
        <v>1.0204081632653061</v>
      </c>
      <c r="AB27" s="1352">
        <f>D27/H27</f>
        <v>1</v>
      </c>
      <c r="AC27" s="1352">
        <f>D27/J27</f>
        <v>1</v>
      </c>
    </row>
    <row r="28" spans="1:29" s="108" customFormat="1" ht="15">
      <c r="A28" s="597"/>
      <c r="B28" s="407"/>
      <c r="C28" s="1977" t="s">
        <v>3407</v>
      </c>
      <c r="D28" s="399"/>
      <c r="E28" s="1903" t="s">
        <v>3500</v>
      </c>
      <c r="F28" s="399"/>
      <c r="G28" s="1977" t="s">
        <v>3407</v>
      </c>
      <c r="H28" s="399"/>
      <c r="I28" s="1977" t="s">
        <v>3407</v>
      </c>
      <c r="J28" s="399"/>
      <c r="K28" s="620"/>
      <c r="L28" s="2716"/>
      <c r="M28" s="2717"/>
      <c r="N28" s="2717"/>
      <c r="O28" s="2771"/>
      <c r="P28" s="3756"/>
      <c r="Q28" s="1342"/>
      <c r="R28" s="701"/>
      <c r="S28" s="702"/>
      <c r="T28" s="701"/>
      <c r="U28" s="702"/>
      <c r="V28" s="701"/>
      <c r="W28" s="702"/>
      <c r="X28" s="703"/>
      <c r="Y28" s="375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56"/>
      <c r="Q29" s="1342" t="str">
        <f t="shared" ref="Q29" si="9">B29</f>
        <v>基础设施水平</v>
      </c>
      <c r="R29" s="701" t="s">
        <v>14</v>
      </c>
      <c r="S29" s="702">
        <f>F29</f>
        <v>100</v>
      </c>
      <c r="T29" s="701" t="s">
        <v>14</v>
      </c>
      <c r="U29" s="702">
        <f>H29</f>
        <v>100</v>
      </c>
      <c r="V29" s="701" t="s">
        <v>14</v>
      </c>
      <c r="W29" s="702">
        <f>J29</f>
        <v>100</v>
      </c>
      <c r="X29" s="703"/>
      <c r="Y29" s="3756"/>
      <c r="Z29" s="52" t="str">
        <f>Q29</f>
        <v>基础设施水平</v>
      </c>
      <c r="AA29" s="1352">
        <f>D29/F29</f>
        <v>1</v>
      </c>
      <c r="AB29" s="1352">
        <f>D29/H29</f>
        <v>1</v>
      </c>
      <c r="AC29" s="1352">
        <f>D29/J29</f>
        <v>1</v>
      </c>
    </row>
    <row r="30" spans="1:29" s="108" customFormat="1" ht="15">
      <c r="A30" s="597"/>
      <c r="B30" s="407"/>
      <c r="C30" s="1977" t="s">
        <v>3502</v>
      </c>
      <c r="D30" s="399"/>
      <c r="E30" s="1977" t="s">
        <v>3502</v>
      </c>
      <c r="F30" s="399"/>
      <c r="G30" s="1977" t="s">
        <v>3502</v>
      </c>
      <c r="H30" s="399"/>
      <c r="I30" s="1977" t="s">
        <v>3502</v>
      </c>
      <c r="J30" s="399"/>
      <c r="K30" s="620"/>
      <c r="L30" s="2716"/>
      <c r="M30" s="2717"/>
      <c r="N30" s="2717"/>
      <c r="O30" s="2771"/>
      <c r="P30" s="3756"/>
      <c r="Q30" s="1342"/>
      <c r="R30" s="701"/>
      <c r="S30" s="702"/>
      <c r="T30" s="701"/>
      <c r="U30" s="702"/>
      <c r="V30" s="701"/>
      <c r="W30" s="702"/>
      <c r="X30" s="703"/>
      <c r="Y30" s="375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6"/>
      <c r="Q32" s="1351" t="str">
        <f t="shared" si="8"/>
        <v>毗邻道路的类型与等级</v>
      </c>
      <c r="R32" s="705" t="s">
        <v>14</v>
      </c>
      <c r="S32" s="706">
        <f t="shared" si="10"/>
        <v>100</v>
      </c>
      <c r="T32" s="705" t="s">
        <v>14</v>
      </c>
      <c r="U32" s="706">
        <f t="shared" si="11"/>
        <v>100</v>
      </c>
      <c r="V32" s="705" t="s">
        <v>14</v>
      </c>
      <c r="W32" s="706">
        <f t="shared" si="12"/>
        <v>100</v>
      </c>
      <c r="X32" s="1354"/>
      <c r="Y32" s="37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56"/>
      <c r="Q33" s="1351"/>
      <c r="R33" s="705"/>
      <c r="S33" s="706"/>
      <c r="T33" s="705"/>
      <c r="U33" s="706"/>
      <c r="V33" s="705"/>
      <c r="W33" s="706"/>
      <c r="X33" s="1354"/>
      <c r="Y33" s="375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6"/>
      <c r="Q34" s="1351" t="str">
        <f t="shared" si="8"/>
        <v>土地级别</v>
      </c>
      <c r="R34" s="705" t="s">
        <v>14</v>
      </c>
      <c r="S34" s="706">
        <f t="shared" si="10"/>
        <v>100</v>
      </c>
      <c r="T34" s="705" t="s">
        <v>14</v>
      </c>
      <c r="U34" s="706">
        <f t="shared" si="11"/>
        <v>100</v>
      </c>
      <c r="V34" s="705" t="s">
        <v>14</v>
      </c>
      <c r="W34" s="706">
        <f t="shared" si="12"/>
        <v>100</v>
      </c>
      <c r="X34" s="1354"/>
      <c r="Y34" s="375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6"/>
      <c r="Q35" s="1351">
        <f t="shared" si="8"/>
        <v>111</v>
      </c>
      <c r="R35" s="705" t="s">
        <v>14</v>
      </c>
      <c r="S35" s="706">
        <f t="shared" si="10"/>
        <v>100</v>
      </c>
      <c r="T35" s="705" t="s">
        <v>14</v>
      </c>
      <c r="U35" s="706">
        <f t="shared" si="11"/>
        <v>100</v>
      </c>
      <c r="V35" s="705" t="s">
        <v>14</v>
      </c>
      <c r="W35" s="706">
        <f t="shared" si="12"/>
        <v>100</v>
      </c>
      <c r="X35" s="1354"/>
      <c r="Y35" s="375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4" t="s">
        <v>1696</v>
      </c>
      <c r="Q36" s="1351">
        <f t="shared" si="8"/>
        <v>111</v>
      </c>
      <c r="R36" s="705" t="s">
        <v>14</v>
      </c>
      <c r="S36" s="706">
        <f t="shared" si="10"/>
        <v>100</v>
      </c>
      <c r="T36" s="705" t="s">
        <v>14</v>
      </c>
      <c r="U36" s="706">
        <f t="shared" si="11"/>
        <v>100</v>
      </c>
      <c r="V36" s="705" t="s">
        <v>14</v>
      </c>
      <c r="W36" s="706">
        <f t="shared" si="12"/>
        <v>100</v>
      </c>
      <c r="X36" s="1354"/>
      <c r="Y36" s="376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60"/>
      <c r="Q37" s="1351">
        <f t="shared" si="8"/>
        <v>111</v>
      </c>
      <c r="R37" s="708" t="s">
        <v>14</v>
      </c>
      <c r="S37" s="709">
        <f t="shared" si="10"/>
        <v>100</v>
      </c>
      <c r="T37" s="708" t="s">
        <v>14</v>
      </c>
      <c r="U37" s="709">
        <f t="shared" si="11"/>
        <v>100</v>
      </c>
      <c r="V37" s="708" t="s">
        <v>14</v>
      </c>
      <c r="W37" s="709">
        <f t="shared" si="12"/>
        <v>100</v>
      </c>
      <c r="X37" s="710"/>
      <c r="Y37" s="3760"/>
      <c r="Z37" s="711">
        <f t="shared" si="13"/>
        <v>111</v>
      </c>
      <c r="AA37" s="1352">
        <f t="shared" si="3"/>
        <v>1</v>
      </c>
      <c r="AB37" s="1352">
        <f t="shared" si="4"/>
        <v>1</v>
      </c>
      <c r="AC37" s="1352">
        <f t="shared" si="5"/>
        <v>1</v>
      </c>
    </row>
    <row r="38" spans="1:29" ht="15">
      <c r="A38" s="423" t="s">
        <v>1694</v>
      </c>
      <c r="B38" s="407" t="s">
        <v>1874</v>
      </c>
      <c r="C38" s="627">
        <f>'数据-基础表'!A3</f>
        <v>10186.06</v>
      </c>
      <c r="D38" s="418">
        <v>100</v>
      </c>
      <c r="E38" s="627">
        <f>土地案例!E2</f>
        <v>49900.54</v>
      </c>
      <c r="F38" s="418">
        <f>LOOKUP(E38,116:116,117:117)-LOOKUP(C38,116:116,117:117)+100</f>
        <v>101</v>
      </c>
      <c r="G38" s="627">
        <f>土地案例!E3</f>
        <v>10610.35</v>
      </c>
      <c r="H38" s="418">
        <f>LOOKUP(G38,116:116,117:117)-LOOKUP(C38,116:116,117:117)+100</f>
        <v>100</v>
      </c>
      <c r="I38" s="479">
        <f>土地案例!E5</f>
        <v>62796.800000000003</v>
      </c>
      <c r="J38" s="418">
        <f>LOOKUP(I38,116:116,117:117)-LOOKUP(C38,116:116,117:117)+100</f>
        <v>102</v>
      </c>
      <c r="K38" s="562"/>
      <c r="L38" s="2721"/>
      <c r="M38" s="2715"/>
      <c r="N38" s="2715"/>
      <c r="O38" s="2773"/>
      <c r="P38" s="3760"/>
      <c r="Q38" s="1351" t="str">
        <f>B38</f>
        <v>宗地面积</v>
      </c>
      <c r="R38" s="705" t="s">
        <v>14</v>
      </c>
      <c r="S38" s="706">
        <f t="shared" si="10"/>
        <v>101</v>
      </c>
      <c r="T38" s="705" t="s">
        <v>14</v>
      </c>
      <c r="U38" s="706">
        <f t="shared" si="11"/>
        <v>100</v>
      </c>
      <c r="V38" s="705" t="s">
        <v>14</v>
      </c>
      <c r="W38" s="706">
        <f t="shared" si="12"/>
        <v>102</v>
      </c>
      <c r="X38" s="1354"/>
      <c r="Y38" s="3760"/>
      <c r="Z38" s="1355" t="str">
        <f t="shared" si="13"/>
        <v>宗地面积</v>
      </c>
      <c r="AA38" s="1352">
        <f t="shared" si="3"/>
        <v>0.99009900990099009</v>
      </c>
      <c r="AB38" s="1352">
        <f t="shared" si="4"/>
        <v>1</v>
      </c>
      <c r="AC38" s="1352">
        <f t="shared" si="5"/>
        <v>0.98039215686274506</v>
      </c>
    </row>
    <row r="39" spans="1:29" ht="15">
      <c r="A39" s="423"/>
      <c r="B39" s="375" t="s">
        <v>1875</v>
      </c>
      <c r="C39" s="1905" t="s">
        <v>3504</v>
      </c>
      <c r="D39" s="386">
        <v>100</v>
      </c>
      <c r="E39" s="1905" t="s">
        <v>3504</v>
      </c>
      <c r="F39" s="386">
        <f>SUMIF(118:118,E39,119:119)-SUMIF(118:118,C39,119:119)+100</f>
        <v>100</v>
      </c>
      <c r="G39" s="1905" t="s">
        <v>3504</v>
      </c>
      <c r="H39" s="386">
        <f>SUMIF(118:118,G39,119:119)-SUMIF(118:118,C39,119:119)+100</f>
        <v>100</v>
      </c>
      <c r="I39" s="1905" t="s">
        <v>3506</v>
      </c>
      <c r="J39" s="386">
        <f>SUMIF(118:118,I39,119:119)-SUMIF(118:118,C39,119:119)+100</f>
        <v>98</v>
      </c>
      <c r="K39" s="561">
        <v>2</v>
      </c>
      <c r="L39" s="2721"/>
      <c r="M39" s="2715"/>
      <c r="N39" s="2715"/>
      <c r="O39" s="2773"/>
      <c r="P39" s="3760"/>
      <c r="Q39" s="1351" t="str">
        <f t="shared" ref="Q39:Q45" si="14">B39</f>
        <v>宗地形状</v>
      </c>
      <c r="R39" s="705" t="s">
        <v>14</v>
      </c>
      <c r="S39" s="706">
        <f t="shared" si="10"/>
        <v>100</v>
      </c>
      <c r="T39" s="705" t="s">
        <v>14</v>
      </c>
      <c r="U39" s="706">
        <f t="shared" si="11"/>
        <v>100</v>
      </c>
      <c r="V39" s="705" t="s">
        <v>14</v>
      </c>
      <c r="W39" s="706">
        <f t="shared" si="12"/>
        <v>98</v>
      </c>
      <c r="X39" s="1354"/>
      <c r="Y39" s="3760"/>
      <c r="Z39" s="1355" t="str">
        <f t="shared" si="13"/>
        <v>宗地形状</v>
      </c>
      <c r="AA39" s="1352">
        <f t="shared" si="3"/>
        <v>1</v>
      </c>
      <c r="AB39" s="1352">
        <f t="shared" si="4"/>
        <v>1</v>
      </c>
      <c r="AC39" s="1352">
        <f t="shared" si="5"/>
        <v>1.0204081632653061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60"/>
      <c r="Q40" s="1351" t="str">
        <f t="shared" si="14"/>
        <v>临街宽度及深度</v>
      </c>
      <c r="R40" s="705" t="s">
        <v>14</v>
      </c>
      <c r="S40" s="706">
        <f t="shared" si="10"/>
        <v>100</v>
      </c>
      <c r="T40" s="705" t="s">
        <v>14</v>
      </c>
      <c r="U40" s="706">
        <f t="shared" si="11"/>
        <v>100</v>
      </c>
      <c r="V40" s="705" t="s">
        <v>14</v>
      </c>
      <c r="W40" s="706">
        <f t="shared" si="12"/>
        <v>100</v>
      </c>
      <c r="X40" s="1354"/>
      <c r="Y40" s="3760"/>
      <c r="Z40" s="1355" t="str">
        <f t="shared" si="13"/>
        <v>临街宽度及深度</v>
      </c>
      <c r="AA40" s="1352">
        <f t="shared" si="3"/>
        <v>1</v>
      </c>
      <c r="AB40" s="1352">
        <f t="shared" si="4"/>
        <v>1</v>
      </c>
      <c r="AC40" s="1352">
        <f t="shared" si="5"/>
        <v>1</v>
      </c>
    </row>
    <row r="41" spans="1:29" s="108" customFormat="1" ht="15">
      <c r="A41" s="424"/>
      <c r="B41" s="375" t="s">
        <v>1877</v>
      </c>
      <c r="C41" s="1979" t="s">
        <v>3502</v>
      </c>
      <c r="D41" s="127">
        <v>100</v>
      </c>
      <c r="E41" s="1979" t="s">
        <v>3511</v>
      </c>
      <c r="F41" s="386">
        <f>SUMIF(122:122,E41,123:123)-SUMIF(122:122,C41,123:123)+100</f>
        <v>98</v>
      </c>
      <c r="G41" s="1979" t="s">
        <v>3514</v>
      </c>
      <c r="H41" s="386">
        <f>SUMIF(122:122,G41,123:123)-SUMIF(122:122,C41,123:123)+100</f>
        <v>96</v>
      </c>
      <c r="I41" s="1979" t="s">
        <v>3514</v>
      </c>
      <c r="J41" s="386">
        <f>SUMIF(122:122,I41,123:123)-SUMIF(122:122,C41,123:123)+100</f>
        <v>96</v>
      </c>
      <c r="K41" s="561">
        <v>1</v>
      </c>
      <c r="L41" s="2716"/>
      <c r="M41" s="2717"/>
      <c r="N41" s="2717"/>
      <c r="O41" s="2771"/>
      <c r="P41" s="3760"/>
      <c r="Q41" s="1351" t="str">
        <f t="shared" si="14"/>
        <v>宗地开发程度</v>
      </c>
      <c r="R41" s="701" t="s">
        <v>14</v>
      </c>
      <c r="S41" s="702">
        <f t="shared" si="10"/>
        <v>98</v>
      </c>
      <c r="T41" s="701" t="s">
        <v>14</v>
      </c>
      <c r="U41" s="702">
        <f t="shared" si="11"/>
        <v>96</v>
      </c>
      <c r="V41" s="701" t="s">
        <v>14</v>
      </c>
      <c r="W41" s="702">
        <f t="shared" si="12"/>
        <v>96</v>
      </c>
      <c r="X41" s="703"/>
      <c r="Y41" s="3760"/>
      <c r="Z41" s="52" t="str">
        <f t="shared" si="13"/>
        <v>宗地开发程度</v>
      </c>
      <c r="AA41" s="704">
        <f t="shared" si="3"/>
        <v>1.0204081632653061</v>
      </c>
      <c r="AB41" s="704">
        <f t="shared" si="4"/>
        <v>1.0416666666666667</v>
      </c>
      <c r="AC41" s="704">
        <f t="shared" si="5"/>
        <v>1.0416666666666667</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60" t="s">
        <v>1696</v>
      </c>
      <c r="Q42" s="1351" t="str">
        <f t="shared" si="14"/>
        <v>工程地质条件</v>
      </c>
      <c r="R42" s="705" t="s">
        <v>14</v>
      </c>
      <c r="S42" s="706">
        <f t="shared" si="10"/>
        <v>100</v>
      </c>
      <c r="T42" s="705" t="s">
        <v>14</v>
      </c>
      <c r="U42" s="706">
        <f t="shared" si="11"/>
        <v>100</v>
      </c>
      <c r="V42" s="705" t="s">
        <v>14</v>
      </c>
      <c r="W42" s="706">
        <f t="shared" si="12"/>
        <v>100</v>
      </c>
      <c r="X42" s="1354"/>
      <c r="Y42" s="376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60"/>
      <c r="Q43" s="1351">
        <f t="shared" si="14"/>
        <v>111</v>
      </c>
      <c r="R43" s="705" t="s">
        <v>14</v>
      </c>
      <c r="S43" s="706">
        <f t="shared" si="10"/>
        <v>100</v>
      </c>
      <c r="T43" s="705" t="s">
        <v>14</v>
      </c>
      <c r="U43" s="706">
        <f t="shared" si="11"/>
        <v>100</v>
      </c>
      <c r="V43" s="705" t="s">
        <v>14</v>
      </c>
      <c r="W43" s="706">
        <f t="shared" si="12"/>
        <v>100</v>
      </c>
      <c r="X43" s="1354"/>
      <c r="Y43" s="376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60"/>
      <c r="Q44" s="1351">
        <f t="shared" si="14"/>
        <v>111</v>
      </c>
      <c r="R44" s="705" t="s">
        <v>14</v>
      </c>
      <c r="S44" s="706">
        <f t="shared" si="10"/>
        <v>100</v>
      </c>
      <c r="T44" s="705" t="s">
        <v>14</v>
      </c>
      <c r="U44" s="706">
        <f t="shared" si="11"/>
        <v>100</v>
      </c>
      <c r="V44" s="705" t="s">
        <v>14</v>
      </c>
      <c r="W44" s="706">
        <f t="shared" si="12"/>
        <v>100</v>
      </c>
      <c r="X44" s="1354"/>
      <c r="Y44" s="376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60"/>
      <c r="Q45" s="1351">
        <f t="shared" si="14"/>
        <v>111</v>
      </c>
      <c r="R45" s="708" t="s">
        <v>14</v>
      </c>
      <c r="S45" s="709">
        <f t="shared" si="10"/>
        <v>100</v>
      </c>
      <c r="T45" s="708" t="s">
        <v>14</v>
      </c>
      <c r="U45" s="709">
        <f t="shared" si="11"/>
        <v>100</v>
      </c>
      <c r="V45" s="708" t="s">
        <v>14</v>
      </c>
      <c r="W45" s="709">
        <f t="shared" si="12"/>
        <v>100</v>
      </c>
      <c r="X45" s="710"/>
      <c r="Y45" s="3760"/>
      <c r="Z45" s="711">
        <f t="shared" si="13"/>
        <v>111</v>
      </c>
      <c r="AA45" s="1352">
        <f t="shared" si="3"/>
        <v>1</v>
      </c>
      <c r="AB45" s="1352">
        <f t="shared" si="4"/>
        <v>1</v>
      </c>
      <c r="AC45" s="1352">
        <f t="shared" si="5"/>
        <v>1</v>
      </c>
    </row>
    <row r="46" spans="1:29" ht="15">
      <c r="A46" s="430" t="s">
        <v>1844</v>
      </c>
      <c r="B46" s="1981" t="s">
        <v>1879</v>
      </c>
      <c r="C46" s="630" t="s">
        <v>0</v>
      </c>
      <c r="D46" s="432"/>
      <c r="E46" s="433">
        <f>土地案例!R2</f>
        <v>20677</v>
      </c>
      <c r="F46" s="434"/>
      <c r="G46" s="435">
        <f>土地案例!R3</f>
        <v>28065</v>
      </c>
      <c r="H46" s="436"/>
      <c r="I46" s="433">
        <f>土地案例!R5</f>
        <v>23078</v>
      </c>
      <c r="J46" s="436"/>
      <c r="K46" s="714"/>
      <c r="L46" s="2723"/>
      <c r="M46" s="2724"/>
      <c r="N46" s="2715"/>
      <c r="O46" s="2724"/>
      <c r="P46" s="3753" t="str">
        <f>A46</f>
        <v>成交单价</v>
      </c>
      <c r="Q46" s="3753"/>
      <c r="R46" s="3748">
        <f>E46</f>
        <v>20677</v>
      </c>
      <c r="S46" s="3748"/>
      <c r="T46" s="3748">
        <f>G46</f>
        <v>28065</v>
      </c>
      <c r="U46" s="3748"/>
      <c r="V46" s="3748">
        <f>I46</f>
        <v>23078</v>
      </c>
      <c r="W46" s="3748"/>
      <c r="X46" s="690"/>
      <c r="Y46" s="712"/>
      <c r="Z46" s="690"/>
      <c r="AA46" s="690"/>
      <c r="AB46" s="690"/>
      <c r="AC46" s="690"/>
    </row>
    <row r="47" spans="1:29" ht="15.75" thickBot="1">
      <c r="A47" s="437" t="s">
        <v>1793</v>
      </c>
      <c r="B47" s="631"/>
      <c r="C47" s="440">
        <f>R48</f>
        <v>20278</v>
      </c>
      <c r="D47" s="2316" t="s">
        <v>2138</v>
      </c>
      <c r="E47" s="440">
        <f>R47</f>
        <v>17876</v>
      </c>
      <c r="F47" s="2317"/>
      <c r="G47" s="439">
        <f>T47</f>
        <v>23569</v>
      </c>
      <c r="H47" s="2317"/>
      <c r="I47" s="440">
        <f>V47</f>
        <v>19389</v>
      </c>
      <c r="J47" s="2317"/>
      <c r="K47" s="2319">
        <f>F47+H47+J47</f>
        <v>0</v>
      </c>
      <c r="L47" s="2723"/>
      <c r="M47" s="2724"/>
      <c r="N47" s="2724"/>
      <c r="O47" s="2724"/>
      <c r="P47" s="3753" t="str">
        <f>A47</f>
        <v>比较价值（元/平方米）</v>
      </c>
      <c r="Q47" s="3753"/>
      <c r="R47" s="3765">
        <f>ROUND(PRODUCT(R46,AA7:AA45),0)</f>
        <v>17876</v>
      </c>
      <c r="S47" s="3765"/>
      <c r="T47" s="3765">
        <f>ROUND(PRODUCT(T46,AB7:AB45),0)</f>
        <v>23569</v>
      </c>
      <c r="U47" s="3765"/>
      <c r="V47" s="3765">
        <f>ROUND(PRODUCT(V46,AC7:AC45),0)</f>
        <v>19389</v>
      </c>
      <c r="W47" s="3765"/>
      <c r="X47" s="690"/>
      <c r="Y47" s="690"/>
      <c r="Z47" s="690"/>
      <c r="AA47" s="690"/>
      <c r="AB47" s="690"/>
      <c r="AC47" s="690"/>
    </row>
    <row r="48" spans="1:29" ht="15.75" thickBot="1">
      <c r="A48" s="441" t="s">
        <v>1880</v>
      </c>
      <c r="B48" s="442"/>
      <c r="C48" s="443">
        <f>R48</f>
        <v>20278</v>
      </c>
      <c r="D48" s="443"/>
      <c r="E48" s="443"/>
      <c r="F48" s="443"/>
      <c r="G48" s="443"/>
      <c r="H48" s="443"/>
      <c r="I48" s="443"/>
      <c r="J48" s="443"/>
      <c r="K48" s="715"/>
      <c r="L48" s="2723"/>
      <c r="M48" s="2724"/>
      <c r="N48" s="2724"/>
      <c r="O48" s="2724"/>
      <c r="P48" s="3750" t="str">
        <f>A48</f>
        <v>估价对象XX用房的比较价值（楼面单价，元/平方米）</v>
      </c>
      <c r="Q48" s="3751"/>
      <c r="R48" s="3766">
        <f>ROUND(IF(D47="简单平均",AVERAGE(R47:W47),R47*F47+T47*H47+V47*J47),0)</f>
        <v>20278</v>
      </c>
      <c r="S48" s="3766"/>
      <c r="T48" s="3766"/>
      <c r="U48" s="3766"/>
      <c r="V48" s="3766"/>
      <c r="W48" s="376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0.1566905347952563</v>
      </c>
      <c r="F51" s="449" t="str">
        <f>IF(OR(E51&gt;=0.3,E51&lt;=-0.3),"超过30%","")</f>
        <v/>
      </c>
      <c r="G51" s="448">
        <f>IF(G46&lt;G47,G47/G46-1,G46/G47-1)</f>
        <v>0.19075904790190501</v>
      </c>
      <c r="H51" s="449" t="str">
        <f>IF(OR(G51&gt;=0.3,G51&lt;=-0.3),"超过30%","")</f>
        <v/>
      </c>
      <c r="I51" s="448">
        <f>IF(I46&lt;I47,I47/I46-1,I46/I47-1)</f>
        <v>0.19026251998555876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0.31847169389125085</v>
      </c>
      <c r="F52" s="449" t="str">
        <f>IF(OR(E52&gt;=0.2,E52&lt;=-0.2),"超过20%","")</f>
        <v>超过20%</v>
      </c>
      <c r="G52" s="448">
        <f>IF(G47&lt;I47,I47/G47-1,G47/I47-1)</f>
        <v>0.21558615709938622</v>
      </c>
      <c r="H52" s="449" t="str">
        <f>IF(OR(G52&gt;=0.2,G52&lt;=-0.2),"超过20%","")</f>
        <v>超过20%</v>
      </c>
      <c r="I52" s="448">
        <f>IF(I47&lt;E47,E47/I47-1,I47/E47-1)</f>
        <v>8.4638621615573895E-2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0.35730521835856255</v>
      </c>
      <c r="F53" s="449" t="str">
        <f>IF(OR(E53&gt;=0.3,E53&lt;=-0.3),"超过30%","")</f>
        <v>超过30%</v>
      </c>
      <c r="G53" s="448">
        <f>IF(G46&lt;I46,I46/G46-1,G46/I46-1)</f>
        <v>0.21609324898171423</v>
      </c>
      <c r="H53" s="449" t="str">
        <f>IF(OR(G53&gt;=0.3,G53&lt;=-0.3),"超过30%","")</f>
        <v/>
      </c>
      <c r="I53" s="448">
        <f>IF(I46&lt;E46,E46/I46-1,I46/E46-1)</f>
        <v>0.1161193596750012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20278</v>
      </c>
      <c r="C56" s="638">
        <v>1</v>
      </c>
      <c r="D56" s="944">
        <v>1</v>
      </c>
      <c r="E56" s="638">
        <f>'数据-汇总表'!E8+'数据-汇总表'!E9</f>
        <v>24964.55</v>
      </c>
      <c r="F56" s="886">
        <f t="shared" ref="F56:F64" si="15">ROUND(B56*E56/10000,0)</f>
        <v>50623</v>
      </c>
      <c r="G56" s="3735"/>
      <c r="H56" s="375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3042</v>
      </c>
      <c r="C57" s="171">
        <f t="shared" ref="C57:C64" si="16">IF($C$55="北京市系数",I57,J57)</f>
        <v>0.6</v>
      </c>
      <c r="D57" s="945">
        <v>0.25</v>
      </c>
      <c r="E57" s="642">
        <f>'数据-基础表'!K13</f>
        <v>6216.72</v>
      </c>
      <c r="F57" s="886">
        <f t="shared" si="15"/>
        <v>1891</v>
      </c>
      <c r="G57" s="3005" t="s">
        <v>1892</v>
      </c>
      <c r="H57" s="887" t="str">
        <f>项目基本情况!B37</f>
        <v>五级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1521</v>
      </c>
      <c r="C58" s="171">
        <f t="shared" si="16"/>
        <v>0.3</v>
      </c>
      <c r="D58" s="945">
        <v>0.25</v>
      </c>
      <c r="E58" s="642"/>
      <c r="F58" s="886">
        <f t="shared" si="15"/>
        <v>0</v>
      </c>
      <c r="G58" s="3006"/>
      <c r="H58" s="887" t="str">
        <f>项目基本情况!B37</f>
        <v>五级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1267</v>
      </c>
      <c r="C59" s="171">
        <f t="shared" si="16"/>
        <v>0.25</v>
      </c>
      <c r="D59" s="945">
        <v>0.25</v>
      </c>
      <c r="E59" s="642"/>
      <c r="F59" s="886">
        <f t="shared" si="15"/>
        <v>0</v>
      </c>
      <c r="G59" s="3006"/>
      <c r="H59" s="887" t="str">
        <f>项目基本情况!B37</f>
        <v>五级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3559.58</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760</v>
      </c>
      <c r="C63" s="171">
        <f t="shared" si="16"/>
        <v>0.15</v>
      </c>
      <c r="D63" s="945">
        <v>0.25</v>
      </c>
      <c r="E63" s="217">
        <f>'数据-汇总表'!E14</f>
        <v>0</v>
      </c>
      <c r="F63" s="886">
        <f t="shared" si="15"/>
        <v>0</v>
      </c>
      <c r="G63" s="1986" t="s">
        <v>1892</v>
      </c>
      <c r="H63" s="887" t="str">
        <f>项目基本情况!B37</f>
        <v>五级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34740.85</v>
      </c>
      <c r="F65" s="645">
        <f>IF(B46="楼面地价",SUM(F56:F64),ROUND(C48*E65/10000,0))</f>
        <v>52514</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f>C70-$C$71</f>
        <v>100</v>
      </c>
      <c r="E70" s="544">
        <f t="shared" ref="E70:O70" si="20">D70-$C$71</f>
        <v>100</v>
      </c>
      <c r="F70" s="544">
        <f t="shared" si="20"/>
        <v>100</v>
      </c>
      <c r="G70" s="544">
        <f t="shared" si="20"/>
        <v>100</v>
      </c>
      <c r="H70" s="544">
        <f t="shared" si="20"/>
        <v>100</v>
      </c>
      <c r="I70" s="544">
        <f t="shared" si="20"/>
        <v>100</v>
      </c>
      <c r="J70" s="544">
        <f t="shared" si="20"/>
        <v>100</v>
      </c>
      <c r="K70" s="544">
        <f t="shared" si="20"/>
        <v>100</v>
      </c>
      <c r="L70" s="544">
        <f t="shared" si="20"/>
        <v>100</v>
      </c>
      <c r="M70" s="544">
        <f t="shared" si="20"/>
        <v>100</v>
      </c>
      <c r="N70" s="544">
        <f t="shared" si="20"/>
        <v>100</v>
      </c>
      <c r="O70" s="544">
        <f t="shared" si="20"/>
        <v>100</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v>0</v>
      </c>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1" t="s">
        <v>3424</v>
      </c>
      <c r="D74" s="3461" t="s">
        <v>3499</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98</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97</v>
      </c>
      <c r="E90" s="493">
        <f>D90-$K17</f>
        <v>94</v>
      </c>
      <c r="F90" s="493">
        <f>E90-$K17</f>
        <v>91</v>
      </c>
      <c r="G90" s="493">
        <f>F90-$K17</f>
        <v>88</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26">D116&amp;"(含)"&amp;"-"&amp;E116</f>
        <v>30000(含)-60000</v>
      </c>
      <c r="E115" s="478" t="str">
        <f t="shared" si="26"/>
        <v>60000(含)-90000</v>
      </c>
      <c r="F115" s="478" t="str">
        <f t="shared" si="26"/>
        <v>90000(含)-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90000</v>
      </c>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100</v>
      </c>
      <c r="D117" s="540">
        <v>101</v>
      </c>
      <c r="E117" s="540">
        <v>102</v>
      </c>
      <c r="F117" s="540">
        <v>103</v>
      </c>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3468" t="s">
        <v>3503</v>
      </c>
      <c r="D118" s="3468" t="s">
        <v>3505</v>
      </c>
      <c r="E118" s="3468" t="s">
        <v>3507</v>
      </c>
      <c r="F118" s="3468" t="s">
        <v>3508</v>
      </c>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69" t="s">
        <v>3509</v>
      </c>
      <c r="D122" s="3469" t="s">
        <v>3510</v>
      </c>
      <c r="E122" s="3469" t="s">
        <v>3512</v>
      </c>
      <c r="F122" s="3469" t="s">
        <v>3513</v>
      </c>
      <c r="G122" s="3469" t="s">
        <v>3515</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4" priority="18" stopIfTrue="1" operator="containsText" text="超过">
      <formula>NOT(ISERROR(SEARCH("超过",F51)))</formula>
    </cfRule>
  </conditionalFormatting>
  <conditionalFormatting sqref="J53">
    <cfRule type="containsText" dxfId="133" priority="17" stopIfTrue="1" operator="containsText" text="超过">
      <formula>NOT(ISERROR(SEARCH("超过",J53)))</formula>
    </cfRule>
  </conditionalFormatting>
  <conditionalFormatting sqref="H53">
    <cfRule type="containsText" dxfId="132" priority="16" stopIfTrue="1" operator="containsText" text="超过">
      <formula>NOT(ISERROR(SEARCH("超过",H53)))</formula>
    </cfRule>
  </conditionalFormatting>
  <conditionalFormatting sqref="F53">
    <cfRule type="containsText" dxfId="131" priority="15" stopIfTrue="1" operator="containsText" text="超过">
      <formula>NOT(ISERROR(SEARCH("超过",F53)))</formula>
    </cfRule>
  </conditionalFormatting>
  <conditionalFormatting sqref="F52 H52 J52">
    <cfRule type="containsText" dxfId="130" priority="14" stopIfTrue="1" operator="containsText" text="超过">
      <formula>NOT(ISERROR(SEARCH("超过",F52)))</formula>
    </cfRule>
  </conditionalFormatting>
  <conditionalFormatting sqref="E51">
    <cfRule type="expression" dxfId="129" priority="13" stopIfTrue="1">
      <formula>$F$51="超过30%"</formula>
    </cfRule>
  </conditionalFormatting>
  <conditionalFormatting sqref="G53">
    <cfRule type="expression" dxfId="128" priority="12" stopIfTrue="1">
      <formula>$H$53="超过30%"</formula>
    </cfRule>
  </conditionalFormatting>
  <conditionalFormatting sqref="E52">
    <cfRule type="expression" dxfId="127" priority="11" stopIfTrue="1">
      <formula>$F$52="超过20%"</formula>
    </cfRule>
  </conditionalFormatting>
  <conditionalFormatting sqref="E53">
    <cfRule type="expression" dxfId="126" priority="10" stopIfTrue="1">
      <formula>$F$53="超过30%"</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I51">
    <cfRule type="expression" dxfId="123" priority="7" stopIfTrue="1">
      <formula>$J$51="超过30%"</formula>
    </cfRule>
  </conditionalFormatting>
  <conditionalFormatting sqref="I52">
    <cfRule type="expression" dxfId="122" priority="6" stopIfTrue="1">
      <formula>$J$52="超过20%"</formula>
    </cfRule>
  </conditionalFormatting>
  <conditionalFormatting sqref="I53">
    <cfRule type="expression" dxfId="121" priority="5" stopIfTrue="1">
      <formula>$J$53="超过30%"</formula>
    </cfRule>
  </conditionalFormatting>
  <conditionalFormatting sqref="F47">
    <cfRule type="expression" dxfId="120" priority="4">
      <formula>$D$47="简单平均"</formula>
    </cfRule>
  </conditionalFormatting>
  <conditionalFormatting sqref="H47">
    <cfRule type="expression" dxfId="119" priority="3">
      <formula>$D$47="简单平均"</formula>
    </cfRule>
  </conditionalFormatting>
  <conditionalFormatting sqref="J47">
    <cfRule type="expression" dxfId="118" priority="2">
      <formula>$D$47="简单平均"</formula>
    </cfRule>
  </conditionalFormatting>
  <conditionalFormatting sqref="F7:F45 H7:H45 J7:J45">
    <cfRule type="cellIs" dxfId="11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zoomScale="90" zoomScaleNormal="90" workbookViewId="0">
      <selection activeCell="A2" sqref="A2"/>
    </sheetView>
  </sheetViews>
  <sheetFormatPr defaultRowHeight="14.25"/>
  <cols>
    <col min="1" max="1" width="24.5" style="3462" customWidth="1"/>
    <col min="2" max="2" width="6.5" style="3462" customWidth="1"/>
    <col min="3" max="3" width="20" style="3462" customWidth="1"/>
    <col min="4" max="4" width="13.375" style="3462" customWidth="1"/>
    <col min="5" max="5" width="9" style="3462" customWidth="1"/>
    <col min="6" max="6" width="9.125" style="3462" customWidth="1"/>
    <col min="7" max="7" width="9.375" style="3462" customWidth="1"/>
    <col min="8" max="8" width="7" style="3462" customWidth="1"/>
    <col min="9" max="9" width="20" style="3462" customWidth="1"/>
    <col min="10" max="10" width="8.25" style="3462" customWidth="1"/>
    <col min="11" max="11" width="9.25" style="3462" customWidth="1"/>
    <col min="12" max="12" width="7.25" style="3462" customWidth="1"/>
    <col min="13" max="13" width="8.25" style="3462" customWidth="1"/>
    <col min="14" max="14" width="9" style="3462" customWidth="1"/>
    <col min="15" max="15" width="9.125" style="3462" customWidth="1"/>
    <col min="16" max="16" width="8.5" style="3462" customWidth="1"/>
    <col min="17" max="17" width="9.5" style="3462" customWidth="1"/>
    <col min="18" max="18" width="8" style="3462" customWidth="1"/>
    <col min="19" max="19" width="6.875" style="3462" customWidth="1"/>
    <col min="20" max="20" width="20" style="3462" customWidth="1"/>
    <col min="21" max="16384" width="9" style="3462"/>
  </cols>
  <sheetData>
    <row r="1" spans="1:19">
      <c r="A1" s="3462" t="s">
        <v>3425</v>
      </c>
      <c r="B1" s="3462" t="s">
        <v>3426</v>
      </c>
      <c r="C1" s="3462" t="s">
        <v>3427</v>
      </c>
      <c r="D1" s="3462" t="s">
        <v>3428</v>
      </c>
      <c r="E1" s="3462" t="s">
        <v>3429</v>
      </c>
      <c r="F1" s="3462" t="s">
        <v>3430</v>
      </c>
      <c r="G1" s="3462" t="s">
        <v>3431</v>
      </c>
      <c r="H1" s="3462" t="s">
        <v>3432</v>
      </c>
      <c r="I1" s="3462" t="s">
        <v>3433</v>
      </c>
      <c r="J1" s="3462" t="s">
        <v>3434</v>
      </c>
      <c r="K1" s="3462" t="s">
        <v>3435</v>
      </c>
      <c r="L1" s="3462" t="s">
        <v>3436</v>
      </c>
      <c r="M1" s="3462" t="s">
        <v>3437</v>
      </c>
      <c r="N1" s="3462" t="s">
        <v>3438</v>
      </c>
      <c r="O1" s="3462" t="s">
        <v>3439</v>
      </c>
      <c r="P1" s="3462" t="s">
        <v>3440</v>
      </c>
      <c r="Q1" s="3462" t="s">
        <v>3441</v>
      </c>
      <c r="R1" s="3462" t="s">
        <v>3442</v>
      </c>
      <c r="S1" s="3462" t="s">
        <v>3443</v>
      </c>
    </row>
    <row r="2" spans="1:19" s="3464" customFormat="1">
      <c r="A2" s="3464" t="s">
        <v>3444</v>
      </c>
      <c r="B2" s="3464" t="s">
        <v>3383</v>
      </c>
      <c r="C2" s="3464" t="s">
        <v>3445</v>
      </c>
      <c r="D2" s="3464" t="s">
        <v>3446</v>
      </c>
      <c r="E2" s="3464">
        <v>49900.54</v>
      </c>
      <c r="F2" s="3464">
        <v>109781.19</v>
      </c>
      <c r="G2" s="3464">
        <v>2.2000000000000002</v>
      </c>
      <c r="H2" s="3464" t="s">
        <v>3447</v>
      </c>
      <c r="I2" s="3464" t="s">
        <v>3448</v>
      </c>
      <c r="J2" s="3464" t="s">
        <v>3449</v>
      </c>
      <c r="K2" s="3465">
        <v>45141</v>
      </c>
      <c r="L2" s="3464" t="s">
        <v>3450</v>
      </c>
      <c r="M2" s="3464" t="s">
        <v>3451</v>
      </c>
      <c r="N2" s="3464" t="s">
        <v>3452</v>
      </c>
      <c r="O2" s="3464">
        <v>227000</v>
      </c>
      <c r="P2" s="3464">
        <v>227000</v>
      </c>
      <c r="Q2" s="3464">
        <v>3032.7</v>
      </c>
      <c r="R2" s="3464">
        <v>20677</v>
      </c>
      <c r="S2" s="3464">
        <v>0</v>
      </c>
    </row>
    <row r="3" spans="1:19" s="3464" customFormat="1">
      <c r="A3" s="3464" t="s">
        <v>3453</v>
      </c>
      <c r="B3" s="3464" t="s">
        <v>3383</v>
      </c>
      <c r="C3" s="3464" t="s">
        <v>3454</v>
      </c>
      <c r="D3" s="3464" t="s">
        <v>3446</v>
      </c>
      <c r="E3" s="3464">
        <v>10610.35</v>
      </c>
      <c r="F3" s="3464">
        <v>47747</v>
      </c>
      <c r="G3" s="3464">
        <v>4.5</v>
      </c>
      <c r="H3" s="3464" t="s">
        <v>3447</v>
      </c>
      <c r="I3" s="3464" t="s">
        <v>3455</v>
      </c>
      <c r="J3" s="3464" t="s">
        <v>3449</v>
      </c>
      <c r="K3" s="3465">
        <v>45114</v>
      </c>
      <c r="L3" s="3464" t="s">
        <v>3450</v>
      </c>
      <c r="M3" s="3464" t="s">
        <v>3456</v>
      </c>
      <c r="N3" s="3464" t="s">
        <v>3457</v>
      </c>
      <c r="O3" s="3464">
        <v>134000</v>
      </c>
      <c r="P3" s="3464">
        <v>134000</v>
      </c>
      <c r="Q3" s="3464">
        <v>8419.4500000000007</v>
      </c>
      <c r="R3" s="3464">
        <v>28065</v>
      </c>
      <c r="S3" s="3464">
        <v>0</v>
      </c>
    </row>
    <row r="4" spans="1:19">
      <c r="A4" s="3462" t="s">
        <v>3458</v>
      </c>
      <c r="B4" s="3462" t="s">
        <v>3383</v>
      </c>
      <c r="C4" s="3462" t="s">
        <v>3459</v>
      </c>
      <c r="D4" s="3462" t="s">
        <v>3446</v>
      </c>
      <c r="E4" s="3462">
        <v>67829.210000000006</v>
      </c>
      <c r="F4" s="3462">
        <v>298100</v>
      </c>
      <c r="G4" s="3462">
        <v>4.4000000000000004</v>
      </c>
      <c r="H4" s="3462" t="s">
        <v>3447</v>
      </c>
      <c r="I4" s="3462" t="s">
        <v>3460</v>
      </c>
      <c r="J4" s="3462" t="s">
        <v>3449</v>
      </c>
      <c r="K4" s="3463">
        <v>45090</v>
      </c>
      <c r="L4" s="3462" t="s">
        <v>3450</v>
      </c>
      <c r="M4" s="3462" t="s">
        <v>3461</v>
      </c>
      <c r="N4" s="3462" t="s">
        <v>3462</v>
      </c>
      <c r="O4" s="3462">
        <v>680000</v>
      </c>
      <c r="P4" s="3462">
        <v>680000</v>
      </c>
      <c r="Q4" s="3462">
        <v>6683.45</v>
      </c>
      <c r="R4" s="3462">
        <v>22811</v>
      </c>
      <c r="S4" s="3462">
        <v>0</v>
      </c>
    </row>
    <row r="5" spans="1:19" s="3464" customFormat="1">
      <c r="A5" s="3464" t="s">
        <v>3463</v>
      </c>
      <c r="B5" s="3464" t="s">
        <v>3383</v>
      </c>
      <c r="C5" s="3464" t="s">
        <v>3464</v>
      </c>
      <c r="D5" s="3464" t="s">
        <v>3446</v>
      </c>
      <c r="E5" s="3464">
        <v>62796.800000000003</v>
      </c>
      <c r="F5" s="3464">
        <v>275500</v>
      </c>
      <c r="G5" s="3464">
        <v>4.3899999999999997</v>
      </c>
      <c r="H5" s="3464" t="s">
        <v>3447</v>
      </c>
      <c r="I5" s="3464" t="s">
        <v>3455</v>
      </c>
      <c r="J5" s="3464" t="s">
        <v>3449</v>
      </c>
      <c r="K5" s="3465">
        <v>44980</v>
      </c>
      <c r="L5" s="3464" t="s">
        <v>3450</v>
      </c>
      <c r="M5" s="3464" t="s">
        <v>3465</v>
      </c>
      <c r="N5" s="3464" t="s">
        <v>3466</v>
      </c>
      <c r="O5" s="3464">
        <v>635800</v>
      </c>
      <c r="P5" s="3464">
        <v>635800</v>
      </c>
      <c r="Q5" s="3464">
        <v>6749.81</v>
      </c>
      <c r="R5" s="3464">
        <v>23078</v>
      </c>
      <c r="S5" s="3464">
        <v>0</v>
      </c>
    </row>
    <row r="6" spans="1:19">
      <c r="A6" s="3462" t="s">
        <v>3467</v>
      </c>
      <c r="B6" s="3462" t="s">
        <v>3383</v>
      </c>
      <c r="C6" s="3462" t="s">
        <v>3468</v>
      </c>
      <c r="D6" s="3462" t="s">
        <v>3446</v>
      </c>
      <c r="E6" s="3462">
        <v>32733.22</v>
      </c>
      <c r="F6" s="3462">
        <v>72013.08</v>
      </c>
      <c r="G6" s="3462">
        <v>2.2000000000000002</v>
      </c>
      <c r="H6" s="3462" t="s">
        <v>3447</v>
      </c>
      <c r="I6" s="3462" t="s">
        <v>3448</v>
      </c>
      <c r="J6" s="3462" t="s">
        <v>3449</v>
      </c>
      <c r="K6" s="3463">
        <v>44865</v>
      </c>
      <c r="L6" s="3462" t="s">
        <v>3450</v>
      </c>
      <c r="M6" s="3462" t="s">
        <v>3469</v>
      </c>
      <c r="N6" s="3462" t="s">
        <v>3470</v>
      </c>
      <c r="O6" s="3462">
        <v>149000</v>
      </c>
      <c r="P6" s="3462">
        <v>149000</v>
      </c>
      <c r="Q6" s="3462">
        <v>3034.63</v>
      </c>
      <c r="R6" s="3462">
        <v>20691</v>
      </c>
      <c r="S6" s="3462">
        <v>0</v>
      </c>
    </row>
    <row r="7" spans="1:19">
      <c r="A7" s="3462" t="s">
        <v>3471</v>
      </c>
      <c r="B7" s="3462" t="s">
        <v>3383</v>
      </c>
      <c r="C7" s="3462" t="s">
        <v>3472</v>
      </c>
      <c r="D7" s="3462" t="s">
        <v>3446</v>
      </c>
      <c r="E7" s="3462">
        <v>29506.55</v>
      </c>
      <c r="F7" s="3462">
        <v>64914.41</v>
      </c>
      <c r="G7" s="3462">
        <v>2.2000000000000002</v>
      </c>
      <c r="H7" s="3462" t="s">
        <v>3447</v>
      </c>
      <c r="I7" s="3462" t="s">
        <v>3448</v>
      </c>
      <c r="J7" s="3462" t="s">
        <v>3449</v>
      </c>
      <c r="K7" s="3463">
        <v>44865</v>
      </c>
      <c r="L7" s="3462" t="s">
        <v>3450</v>
      </c>
      <c r="M7" s="3462" t="s">
        <v>3473</v>
      </c>
      <c r="N7" s="3462" t="s">
        <v>3470</v>
      </c>
      <c r="O7" s="3462">
        <v>135000</v>
      </c>
      <c r="P7" s="3462">
        <v>135000</v>
      </c>
      <c r="Q7" s="3462">
        <v>3050.17</v>
      </c>
      <c r="R7" s="3462">
        <v>20797</v>
      </c>
      <c r="S7" s="3462">
        <v>0</v>
      </c>
    </row>
    <row r="8" spans="1:19">
      <c r="A8" s="3462" t="s">
        <v>3474</v>
      </c>
      <c r="B8" s="3462" t="s">
        <v>3383</v>
      </c>
      <c r="C8" s="3462" t="s">
        <v>3475</v>
      </c>
      <c r="D8" s="3462" t="s">
        <v>3446</v>
      </c>
      <c r="E8" s="3462">
        <v>12629.88</v>
      </c>
      <c r="F8" s="3462">
        <v>80000</v>
      </c>
      <c r="G8" s="3462" t="s">
        <v>3476</v>
      </c>
      <c r="H8" s="3462" t="s">
        <v>3447</v>
      </c>
      <c r="I8" s="3462" t="s">
        <v>3455</v>
      </c>
      <c r="J8" s="3462" t="s">
        <v>3449</v>
      </c>
      <c r="K8" s="3463">
        <v>44798</v>
      </c>
      <c r="L8" s="3462" t="s">
        <v>3450</v>
      </c>
      <c r="M8" s="3462" t="s">
        <v>3477</v>
      </c>
      <c r="N8" s="3462" t="s">
        <v>3478</v>
      </c>
      <c r="O8" s="3462">
        <v>166000</v>
      </c>
      <c r="P8" s="3462">
        <v>166000</v>
      </c>
      <c r="Q8" s="3462">
        <v>8762.2900000000009</v>
      </c>
      <c r="R8" s="3462">
        <v>20750</v>
      </c>
      <c r="S8" s="3462">
        <v>0</v>
      </c>
    </row>
    <row r="9" spans="1:19">
      <c r="A9" s="3462" t="s">
        <v>3479</v>
      </c>
      <c r="B9" s="3462" t="s">
        <v>3383</v>
      </c>
      <c r="C9" s="3462" t="s">
        <v>3480</v>
      </c>
      <c r="D9" s="3462" t="s">
        <v>3446</v>
      </c>
      <c r="E9" s="3462">
        <v>38252.550000000003</v>
      </c>
      <c r="F9" s="3462">
        <v>84155.61</v>
      </c>
      <c r="G9" s="3462">
        <v>2.2000000000000002</v>
      </c>
      <c r="H9" s="3462" t="s">
        <v>3447</v>
      </c>
      <c r="I9" s="3462" t="s">
        <v>3448</v>
      </c>
      <c r="J9" s="3462" t="s">
        <v>3449</v>
      </c>
      <c r="K9" s="3463">
        <v>44495</v>
      </c>
      <c r="L9" s="3462" t="s">
        <v>3450</v>
      </c>
      <c r="M9" s="3462" t="s">
        <v>3481</v>
      </c>
      <c r="N9" s="3462" t="s">
        <v>3482</v>
      </c>
      <c r="O9" s="3462">
        <v>175000</v>
      </c>
      <c r="P9" s="3462">
        <v>175000</v>
      </c>
      <c r="Q9" s="3462">
        <v>3049.91</v>
      </c>
      <c r="R9" s="3462">
        <v>20795</v>
      </c>
      <c r="S9" s="3462">
        <v>0</v>
      </c>
    </row>
    <row r="10" spans="1:19">
      <c r="A10" s="3462" t="s">
        <v>3483</v>
      </c>
      <c r="B10" s="3462" t="s">
        <v>3383</v>
      </c>
      <c r="C10" s="3462" t="s">
        <v>3484</v>
      </c>
      <c r="D10" s="3462" t="s">
        <v>3446</v>
      </c>
      <c r="E10" s="3462">
        <v>30025.18</v>
      </c>
      <c r="F10" s="3462">
        <v>66055.39</v>
      </c>
      <c r="G10" s="3462">
        <v>2.2000000000000002</v>
      </c>
      <c r="H10" s="3462" t="s">
        <v>3447</v>
      </c>
      <c r="I10" s="3462" t="s">
        <v>3448</v>
      </c>
      <c r="J10" s="3462" t="s">
        <v>3449</v>
      </c>
      <c r="K10" s="3463">
        <v>44495</v>
      </c>
      <c r="L10" s="3462" t="s">
        <v>3450</v>
      </c>
      <c r="M10" s="3462" t="s">
        <v>3485</v>
      </c>
      <c r="N10" s="3462" t="s">
        <v>3482</v>
      </c>
      <c r="O10" s="3462">
        <v>137000</v>
      </c>
      <c r="P10" s="3462">
        <v>137000</v>
      </c>
      <c r="Q10" s="3462">
        <v>3041.89</v>
      </c>
      <c r="R10" s="3462">
        <v>20740</v>
      </c>
      <c r="S10" s="3462">
        <v>0</v>
      </c>
    </row>
    <row r="11" spans="1:19">
      <c r="A11" s="3462" t="s">
        <v>3486</v>
      </c>
      <c r="B11" s="3462" t="s">
        <v>3383</v>
      </c>
      <c r="C11" s="3462" t="s">
        <v>3487</v>
      </c>
      <c r="D11" s="3462" t="s">
        <v>3446</v>
      </c>
      <c r="E11" s="3462">
        <v>5907.54</v>
      </c>
      <c r="F11" s="3462">
        <v>21900</v>
      </c>
      <c r="G11" s="3462">
        <v>3.71</v>
      </c>
      <c r="H11" s="3462" t="s">
        <v>3447</v>
      </c>
      <c r="I11" s="3462" t="s">
        <v>3488</v>
      </c>
      <c r="J11" s="3462" t="s">
        <v>3449</v>
      </c>
      <c r="K11" s="3463">
        <v>44495</v>
      </c>
      <c r="L11" s="3462" t="s">
        <v>3450</v>
      </c>
      <c r="M11" s="3462" t="s">
        <v>3489</v>
      </c>
      <c r="N11" s="3462" t="s">
        <v>3482</v>
      </c>
      <c r="O11" s="3462">
        <v>46000</v>
      </c>
      <c r="P11" s="3462">
        <v>46000</v>
      </c>
      <c r="Q11" s="3462">
        <v>5191.1099999999997</v>
      </c>
      <c r="R11" s="3462">
        <v>21005</v>
      </c>
      <c r="S11" s="3462">
        <v>0</v>
      </c>
    </row>
    <row r="12" spans="1:19">
      <c r="A12" s="3462" t="s">
        <v>3490</v>
      </c>
      <c r="B12" s="3462" t="s">
        <v>3383</v>
      </c>
      <c r="C12" s="3462" t="s">
        <v>3491</v>
      </c>
      <c r="D12" s="3462" t="s">
        <v>3446</v>
      </c>
      <c r="E12" s="3462">
        <v>25121.77</v>
      </c>
      <c r="F12" s="3462">
        <v>55267.89</v>
      </c>
      <c r="G12" s="3462">
        <v>2.2000000000000002</v>
      </c>
      <c r="H12" s="3462" t="s">
        <v>3447</v>
      </c>
      <c r="I12" s="3462" t="s">
        <v>3448</v>
      </c>
      <c r="J12" s="3462" t="s">
        <v>3449</v>
      </c>
      <c r="K12" s="3463">
        <v>44495</v>
      </c>
      <c r="L12" s="3462" t="s">
        <v>3450</v>
      </c>
      <c r="M12" s="3462" t="s">
        <v>3492</v>
      </c>
      <c r="N12" s="3462" t="s">
        <v>3482</v>
      </c>
      <c r="O12" s="3462">
        <v>115000</v>
      </c>
      <c r="P12" s="3462">
        <v>115000</v>
      </c>
      <c r="Q12" s="3462">
        <v>3051.8</v>
      </c>
      <c r="R12" s="3462">
        <v>20808</v>
      </c>
      <c r="S12" s="3462">
        <v>0</v>
      </c>
    </row>
    <row r="13" spans="1:19" s="3466" customFormat="1">
      <c r="A13" s="3466" t="s">
        <v>3493</v>
      </c>
      <c r="B13" s="3466" t="s">
        <v>3383</v>
      </c>
      <c r="C13" s="3466" t="s">
        <v>3494</v>
      </c>
      <c r="D13" s="3466" t="s">
        <v>3446</v>
      </c>
      <c r="E13" s="3466">
        <v>51788.13</v>
      </c>
      <c r="F13" s="3466">
        <v>184800</v>
      </c>
      <c r="G13" s="3466" t="s">
        <v>3495</v>
      </c>
      <c r="H13" s="3466" t="s">
        <v>3447</v>
      </c>
      <c r="I13" s="3466" t="s">
        <v>3455</v>
      </c>
      <c r="J13" s="3466" t="s">
        <v>3449</v>
      </c>
      <c r="K13" s="3467">
        <v>44167</v>
      </c>
      <c r="L13" s="3466" t="s">
        <v>3450</v>
      </c>
      <c r="M13" s="3466" t="s">
        <v>3496</v>
      </c>
      <c r="N13" s="3466" t="s">
        <v>3497</v>
      </c>
      <c r="O13" s="3466">
        <v>570500</v>
      </c>
      <c r="P13" s="3466">
        <v>579500</v>
      </c>
      <c r="Q13" s="3466">
        <v>7459.88</v>
      </c>
      <c r="R13" s="3466">
        <v>31358</v>
      </c>
      <c r="S13" s="3466">
        <v>1.58</v>
      </c>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39"/>
  <sheetViews>
    <sheetView showGridLines="0" zoomScaleNormal="100" zoomScaleSheetLayoutView="90" workbookViewId="0">
      <pane xSplit="4" ySplit="3" topLeftCell="E4" activePane="bottomRight" state="frozen"/>
      <selection pane="topRight" activeCell="F1" sqref="F1"/>
      <selection pane="bottomLeft" activeCell="A4" sqref="A4"/>
      <selection pane="bottomRight" activeCell="L19" sqref="L19"/>
    </sheetView>
  </sheetViews>
  <sheetFormatPr defaultColWidth="8.875" defaultRowHeight="13.5"/>
  <cols>
    <col min="1" max="1" width="5.875" style="3470" customWidth="1"/>
    <col min="2" max="2" width="5.375" style="3470" customWidth="1"/>
    <col min="3" max="3" width="11.5" style="3470" customWidth="1"/>
    <col min="4" max="4" width="12.5" style="3470" customWidth="1"/>
    <col min="5" max="9" width="12.75" style="3470" customWidth="1"/>
    <col min="10" max="16384" width="8.875" style="3470"/>
  </cols>
  <sheetData>
    <row r="1" spans="1:19" s="3471" customFormat="1" ht="20.85" customHeight="1">
      <c r="A1" s="3774" t="s">
        <v>3516</v>
      </c>
      <c r="B1" s="3771" t="s">
        <v>3517</v>
      </c>
      <c r="C1" s="3771" t="s">
        <v>3518</v>
      </c>
      <c r="D1" s="3775" t="s">
        <v>3519</v>
      </c>
      <c r="E1" s="3776"/>
      <c r="F1" s="3776"/>
      <c r="G1" s="3776"/>
      <c r="H1" s="3777" t="s">
        <v>3520</v>
      </c>
      <c r="I1" s="3768" t="s">
        <v>3521</v>
      </c>
      <c r="J1" s="3470"/>
      <c r="K1" s="3470"/>
      <c r="L1" s="3470"/>
      <c r="M1" s="3470"/>
      <c r="N1" s="3470"/>
      <c r="O1" s="3470"/>
      <c r="P1" s="3470"/>
      <c r="Q1" s="3470"/>
      <c r="R1" s="3470"/>
      <c r="S1" s="3470"/>
    </row>
    <row r="2" spans="1:19" s="3471" customFormat="1" ht="21.6" customHeight="1">
      <c r="A2" s="3774"/>
      <c r="B2" s="3771"/>
      <c r="C2" s="3771"/>
      <c r="D2" s="3775"/>
      <c r="E2" s="3771" t="s">
        <v>3522</v>
      </c>
      <c r="F2" s="3771"/>
      <c r="G2" s="3772" t="s">
        <v>3523</v>
      </c>
      <c r="H2" s="3777"/>
      <c r="I2" s="3769"/>
      <c r="J2" s="3470"/>
      <c r="K2" s="3470"/>
      <c r="L2" s="3470"/>
      <c r="M2" s="3470"/>
      <c r="N2" s="3470"/>
      <c r="O2" s="3470"/>
      <c r="P2" s="3470"/>
      <c r="Q2" s="3470"/>
      <c r="R2" s="3470"/>
      <c r="S2" s="3470"/>
    </row>
    <row r="3" spans="1:19" s="3471" customFormat="1" ht="12.6" customHeight="1">
      <c r="A3" s="3774"/>
      <c r="B3" s="3771"/>
      <c r="C3" s="3771"/>
      <c r="D3" s="3775"/>
      <c r="E3" s="3472" t="s">
        <v>3524</v>
      </c>
      <c r="F3" s="3472" t="s">
        <v>3525</v>
      </c>
      <c r="G3" s="3773"/>
      <c r="H3" s="3473" t="s">
        <v>3526</v>
      </c>
      <c r="I3" s="3770"/>
      <c r="J3" s="3470"/>
      <c r="K3" s="3470"/>
      <c r="L3" s="3470"/>
      <c r="M3" s="3470"/>
      <c r="N3" s="3470"/>
      <c r="O3" s="3470"/>
      <c r="P3" s="3470"/>
      <c r="Q3" s="3470"/>
      <c r="R3" s="3470"/>
      <c r="S3" s="3470"/>
    </row>
    <row r="4" spans="1:19" ht="20.85" customHeight="1">
      <c r="A4" s="3474" t="s">
        <v>3527</v>
      </c>
      <c r="B4" s="3475" t="s">
        <v>3528</v>
      </c>
      <c r="C4" s="3475" t="s">
        <v>3529</v>
      </c>
      <c r="D4" s="3475">
        <f>6522.04-D5</f>
        <v>6380.04</v>
      </c>
      <c r="E4" s="3476"/>
      <c r="F4" s="3476"/>
      <c r="G4" s="3475"/>
      <c r="H4" s="3477"/>
      <c r="I4" s="3477"/>
    </row>
    <row r="5" spans="1:19" ht="20.85" customHeight="1">
      <c r="A5" s="3474" t="s">
        <v>3527</v>
      </c>
      <c r="B5" s="3475" t="s">
        <v>3528</v>
      </c>
      <c r="C5" s="3475" t="s">
        <v>3530</v>
      </c>
      <c r="D5" s="3475">
        <v>142</v>
      </c>
      <c r="E5" s="3476">
        <v>44197</v>
      </c>
      <c r="F5" s="3476">
        <v>45716</v>
      </c>
      <c r="G5" s="3475">
        <f>191.75*12/365</f>
        <v>6.3041095890410963</v>
      </c>
      <c r="H5" s="3477">
        <v>18.25</v>
      </c>
      <c r="I5" s="3477"/>
    </row>
    <row r="6" spans="1:19" ht="20.85" customHeight="1">
      <c r="A6" s="3474" t="s">
        <v>3527</v>
      </c>
      <c r="B6" s="3475" t="s">
        <v>3531</v>
      </c>
      <c r="C6" s="3475" t="s">
        <v>3530</v>
      </c>
      <c r="D6" s="3475">
        <v>6054</v>
      </c>
      <c r="E6" s="3476">
        <v>44197</v>
      </c>
      <c r="F6" s="3476">
        <v>45716</v>
      </c>
      <c r="G6" s="3475">
        <f>191.75*12/365</f>
        <v>6.3041095890410963</v>
      </c>
      <c r="H6" s="3477">
        <v>18.25</v>
      </c>
      <c r="I6" s="3477"/>
    </row>
    <row r="7" spans="1:19" ht="20.85" customHeight="1">
      <c r="A7" s="3474" t="s">
        <v>3527</v>
      </c>
      <c r="B7" s="3475" t="s">
        <v>3531</v>
      </c>
      <c r="C7" s="3475" t="s">
        <v>3532</v>
      </c>
      <c r="D7" s="3475">
        <v>50</v>
      </c>
      <c r="E7" s="3476">
        <v>44197</v>
      </c>
      <c r="F7" s="3476">
        <v>45716</v>
      </c>
      <c r="G7" s="3475">
        <f>191.75*12/365</f>
        <v>6.3041095890410963</v>
      </c>
      <c r="H7" s="3477">
        <v>18.25</v>
      </c>
      <c r="I7" s="3477"/>
    </row>
    <row r="8" spans="1:19" ht="20.85" customHeight="1">
      <c r="A8" s="3474" t="s">
        <v>3527</v>
      </c>
      <c r="B8" s="3475" t="s">
        <v>3533</v>
      </c>
      <c r="C8" s="3475" t="s">
        <v>3534</v>
      </c>
      <c r="D8" s="3475">
        <v>3109.86</v>
      </c>
      <c r="E8" s="3476">
        <v>44510</v>
      </c>
      <c r="F8" s="3476">
        <v>45605</v>
      </c>
      <c r="G8" s="3475">
        <f>214.44/365*12</f>
        <v>7.0500821917808221</v>
      </c>
      <c r="H8" s="3477">
        <v>24.33</v>
      </c>
      <c r="I8" s="3477"/>
    </row>
    <row r="9" spans="1:19" ht="20.85" customHeight="1">
      <c r="A9" s="3474" t="s">
        <v>3527</v>
      </c>
      <c r="B9" s="3475" t="s">
        <v>3533</v>
      </c>
      <c r="C9" s="3476" t="s">
        <v>3530</v>
      </c>
      <c r="D9" s="3475">
        <v>1120</v>
      </c>
      <c r="E9" s="3476">
        <v>44986</v>
      </c>
      <c r="F9" s="3476">
        <v>45716</v>
      </c>
      <c r="G9" s="3475">
        <f>191.75*12/365</f>
        <v>6.3041095890410963</v>
      </c>
      <c r="H9" s="3477">
        <v>18.25</v>
      </c>
      <c r="I9" s="3477"/>
    </row>
    <row r="10" spans="1:19" ht="20.85" customHeight="1">
      <c r="A10" s="3474" t="s">
        <v>3527</v>
      </c>
      <c r="B10" s="3475" t="s">
        <v>3533</v>
      </c>
      <c r="C10" s="3475" t="s">
        <v>3535</v>
      </c>
      <c r="D10" s="3475">
        <v>600</v>
      </c>
      <c r="E10" s="3476">
        <v>44256</v>
      </c>
      <c r="F10" s="3476">
        <v>45716</v>
      </c>
      <c r="G10" s="3475">
        <f>191.75*12/365</f>
        <v>6.3041095890410963</v>
      </c>
      <c r="H10" s="3477">
        <v>18.25</v>
      </c>
      <c r="I10" s="3477"/>
    </row>
    <row r="11" spans="1:19" ht="20.85" customHeight="1">
      <c r="A11" s="3474" t="s">
        <v>3527</v>
      </c>
      <c r="B11" s="3475" t="s">
        <v>3533</v>
      </c>
      <c r="C11" s="3475" t="s">
        <v>3532</v>
      </c>
      <c r="D11" s="3475">
        <v>30</v>
      </c>
      <c r="E11" s="3476">
        <v>44986</v>
      </c>
      <c r="F11" s="3476">
        <v>45716</v>
      </c>
      <c r="G11" s="3475">
        <f>191.75*12/365</f>
        <v>6.3041095890410963</v>
      </c>
      <c r="H11" s="3477">
        <v>18.25</v>
      </c>
      <c r="I11" s="3477"/>
    </row>
    <row r="12" spans="1:19" ht="20.85" customHeight="1">
      <c r="A12" s="3474" t="s">
        <v>3527</v>
      </c>
      <c r="B12" s="3475" t="s">
        <v>3533</v>
      </c>
      <c r="C12" s="3475" t="s">
        <v>3536</v>
      </c>
      <c r="D12" s="3475">
        <f>5964.67-D8-D9-D10-D11</f>
        <v>1104.81</v>
      </c>
      <c r="E12" s="3476">
        <v>45078</v>
      </c>
      <c r="F12" s="3476">
        <v>46173</v>
      </c>
      <c r="G12" s="3475">
        <v>6.2</v>
      </c>
      <c r="H12" s="3477">
        <v>24</v>
      </c>
      <c r="I12" s="3477"/>
    </row>
    <row r="13" spans="1:19" ht="20.85" customHeight="1">
      <c r="A13" s="3478" t="s">
        <v>3537</v>
      </c>
      <c r="B13" s="3479" t="s">
        <v>3538</v>
      </c>
      <c r="C13" s="3480" t="s">
        <v>3539</v>
      </c>
      <c r="D13" s="3480">
        <v>1618</v>
      </c>
      <c r="E13" s="3481">
        <v>45017</v>
      </c>
      <c r="F13" s="3481">
        <v>47573</v>
      </c>
      <c r="G13" s="3480">
        <v>3.3</v>
      </c>
      <c r="H13" s="3480">
        <v>16</v>
      </c>
      <c r="I13" s="3480"/>
    </row>
    <row r="14" spans="1:19" ht="20.85" customHeight="1">
      <c r="A14" s="3478" t="s">
        <v>3537</v>
      </c>
      <c r="B14" s="3479" t="s">
        <v>3538</v>
      </c>
      <c r="C14" s="3480" t="s">
        <v>3529</v>
      </c>
      <c r="D14" s="3480">
        <v>196.95</v>
      </c>
      <c r="E14" s="3481"/>
      <c r="F14" s="3481"/>
      <c r="G14" s="3480"/>
      <c r="H14" s="3480"/>
      <c r="I14" s="3480"/>
    </row>
    <row r="15" spans="1:19" ht="20.85" customHeight="1">
      <c r="A15" s="3478" t="s">
        <v>3537</v>
      </c>
      <c r="B15" s="3479" t="s">
        <v>3538</v>
      </c>
      <c r="C15" s="3480" t="s">
        <v>3529</v>
      </c>
      <c r="D15" s="3480">
        <v>246.03</v>
      </c>
      <c r="E15" s="3481"/>
      <c r="F15" s="3481"/>
      <c r="G15" s="3480"/>
      <c r="H15" s="3480"/>
      <c r="I15" s="3480"/>
    </row>
    <row r="16" spans="1:19" ht="20.85" customHeight="1">
      <c r="A16" s="3478" t="s">
        <v>3537</v>
      </c>
      <c r="B16" s="3479" t="s">
        <v>3538</v>
      </c>
      <c r="C16" s="3480" t="s">
        <v>3529</v>
      </c>
      <c r="D16" s="3480">
        <v>134</v>
      </c>
      <c r="E16" s="3481"/>
      <c r="F16" s="3481"/>
      <c r="G16" s="3480"/>
      <c r="H16" s="3480"/>
      <c r="I16" s="3480"/>
    </row>
    <row r="17" spans="1:9" ht="20.85" customHeight="1">
      <c r="A17" s="3478" t="s">
        <v>3537</v>
      </c>
      <c r="B17" s="3479" t="s">
        <v>3538</v>
      </c>
      <c r="C17" s="3480" t="s">
        <v>3529</v>
      </c>
      <c r="D17" s="3480">
        <v>106</v>
      </c>
      <c r="E17" s="3481"/>
      <c r="F17" s="3481"/>
      <c r="G17" s="3480"/>
      <c r="H17" s="3480"/>
      <c r="I17" s="3480"/>
    </row>
    <row r="18" spans="1:9" ht="20.85" customHeight="1">
      <c r="A18" s="3478" t="s">
        <v>3537</v>
      </c>
      <c r="B18" s="3479" t="s">
        <v>3538</v>
      </c>
      <c r="C18" s="3480" t="s">
        <v>3529</v>
      </c>
      <c r="D18" s="3480">
        <v>19</v>
      </c>
      <c r="E18" s="3481"/>
      <c r="F18" s="3481"/>
      <c r="G18" s="3480"/>
      <c r="H18" s="3480"/>
      <c r="I18" s="3480"/>
    </row>
    <row r="19" spans="1:9" ht="20.85" customHeight="1">
      <c r="A19" s="3478" t="s">
        <v>3537</v>
      </c>
      <c r="B19" s="3479" t="s">
        <v>3538</v>
      </c>
      <c r="C19" s="3480" t="s">
        <v>3540</v>
      </c>
      <c r="D19" s="3480">
        <v>183.8</v>
      </c>
      <c r="E19" s="3482">
        <v>45017</v>
      </c>
      <c r="F19" s="3483">
        <v>47938</v>
      </c>
      <c r="G19" s="3480">
        <v>7.5</v>
      </c>
      <c r="H19" s="3480">
        <v>60</v>
      </c>
      <c r="I19" s="3480"/>
    </row>
    <row r="20" spans="1:9" ht="20.85" customHeight="1">
      <c r="A20" s="3478" t="s">
        <v>3537</v>
      </c>
      <c r="B20" s="3479" t="s">
        <v>3538</v>
      </c>
      <c r="C20" s="3480" t="s">
        <v>3529</v>
      </c>
      <c r="D20" s="3480">
        <v>26.81</v>
      </c>
      <c r="E20" s="3481"/>
      <c r="F20" s="3481"/>
      <c r="G20" s="3480"/>
      <c r="H20" s="3480"/>
      <c r="I20" s="3480"/>
    </row>
    <row r="21" spans="1:9" ht="21.75" customHeight="1">
      <c r="A21" s="3478" t="s">
        <v>3537</v>
      </c>
      <c r="B21" s="3479" t="s">
        <v>3538</v>
      </c>
      <c r="C21" s="3480" t="s">
        <v>3541</v>
      </c>
      <c r="D21" s="3480">
        <v>156.61000000000001</v>
      </c>
      <c r="E21" s="3482">
        <v>45067</v>
      </c>
      <c r="F21" s="3482">
        <v>46112</v>
      </c>
      <c r="G21" s="3480">
        <v>13</v>
      </c>
      <c r="H21" s="3480">
        <v>51.71</v>
      </c>
      <c r="I21" s="3480"/>
    </row>
    <row r="22" spans="1:9" ht="24.6" customHeight="1">
      <c r="A22" s="3478" t="s">
        <v>3537</v>
      </c>
      <c r="B22" s="3479" t="s">
        <v>3538</v>
      </c>
      <c r="C22" s="3480" t="s">
        <v>3542</v>
      </c>
      <c r="D22" s="3480">
        <v>278.94</v>
      </c>
      <c r="E22" s="3481">
        <v>45017</v>
      </c>
      <c r="F22" s="3481">
        <v>46843</v>
      </c>
      <c r="G22" s="3480">
        <v>10.199999999999999</v>
      </c>
      <c r="H22" s="3480">
        <v>60</v>
      </c>
      <c r="I22" s="3480"/>
    </row>
    <row r="23" spans="1:9" ht="20.85" customHeight="1">
      <c r="A23" s="3484" t="s">
        <v>3537</v>
      </c>
      <c r="B23" s="3485" t="s">
        <v>3543</v>
      </c>
      <c r="C23" s="3475" t="s">
        <v>3544</v>
      </c>
      <c r="D23" s="3475">
        <v>67.12</v>
      </c>
      <c r="E23" s="3476">
        <v>45047</v>
      </c>
      <c r="F23" s="3476">
        <v>46142</v>
      </c>
      <c r="G23" s="3475">
        <v>13.5</v>
      </c>
      <c r="H23" s="3475">
        <v>60</v>
      </c>
      <c r="I23" s="3475" t="s">
        <v>3545</v>
      </c>
    </row>
    <row r="24" spans="1:9" ht="20.85" customHeight="1">
      <c r="A24" s="3484" t="s">
        <v>3537</v>
      </c>
      <c r="B24" s="3485" t="s">
        <v>3543</v>
      </c>
      <c r="C24" s="3475" t="s">
        <v>3546</v>
      </c>
      <c r="D24" s="3475">
        <v>110.4</v>
      </c>
      <c r="E24" s="3476">
        <v>45017</v>
      </c>
      <c r="F24" s="3476">
        <v>46112</v>
      </c>
      <c r="G24" s="3475">
        <v>10</v>
      </c>
      <c r="H24" s="3475">
        <v>60</v>
      </c>
      <c r="I24" s="3475"/>
    </row>
    <row r="25" spans="1:9" ht="20.85" customHeight="1">
      <c r="A25" s="3484" t="s">
        <v>3537</v>
      </c>
      <c r="B25" s="3475" t="s">
        <v>3543</v>
      </c>
      <c r="C25" s="3475" t="s">
        <v>3529</v>
      </c>
      <c r="D25" s="3475">
        <v>130.07</v>
      </c>
      <c r="E25" s="3476"/>
      <c r="F25" s="3476"/>
      <c r="G25" s="3475"/>
      <c r="H25" s="3475"/>
      <c r="I25" s="3475"/>
    </row>
    <row r="26" spans="1:9" ht="20.85" customHeight="1">
      <c r="A26" s="3484" t="s">
        <v>3537</v>
      </c>
      <c r="B26" s="3475" t="s">
        <v>3543</v>
      </c>
      <c r="C26" s="3475" t="s">
        <v>3529</v>
      </c>
      <c r="D26" s="3475">
        <v>130.07</v>
      </c>
      <c r="E26" s="3476"/>
      <c r="F26" s="3476"/>
      <c r="G26" s="3475"/>
      <c r="H26" s="3475"/>
      <c r="I26" s="3475"/>
    </row>
    <row r="27" spans="1:9" ht="20.85" customHeight="1">
      <c r="A27" s="3484" t="s">
        <v>3537</v>
      </c>
      <c r="B27" s="3485" t="s">
        <v>3543</v>
      </c>
      <c r="C27" s="3475" t="s">
        <v>3547</v>
      </c>
      <c r="D27" s="3475">
        <v>131</v>
      </c>
      <c r="E27" s="3476">
        <v>44986</v>
      </c>
      <c r="F27" s="3476">
        <v>46812</v>
      </c>
      <c r="G27" s="3475">
        <f>334.58*12/365</f>
        <v>10.999890410958905</v>
      </c>
      <c r="H27" s="3475">
        <v>60</v>
      </c>
      <c r="I27" s="3475"/>
    </row>
    <row r="28" spans="1:9" ht="20.85" customHeight="1">
      <c r="A28" s="3484" t="s">
        <v>3537</v>
      </c>
      <c r="B28" s="3475" t="s">
        <v>3543</v>
      </c>
      <c r="C28" s="3475" t="s">
        <v>3529</v>
      </c>
      <c r="D28" s="3475">
        <v>127.82</v>
      </c>
      <c r="E28" s="3476"/>
      <c r="F28" s="3476"/>
      <c r="G28" s="3475"/>
      <c r="H28" s="3475"/>
      <c r="I28" s="3475"/>
    </row>
    <row r="29" spans="1:9" ht="20.85" customHeight="1">
      <c r="A29" s="3484" t="s">
        <v>3537</v>
      </c>
      <c r="B29" s="3475" t="s">
        <v>3543</v>
      </c>
      <c r="C29" s="3475" t="s">
        <v>3548</v>
      </c>
      <c r="D29" s="3475">
        <v>592.19000000000005</v>
      </c>
      <c r="E29" s="3476">
        <v>45078</v>
      </c>
      <c r="F29" s="3476">
        <v>47269</v>
      </c>
      <c r="G29" s="3475">
        <f>92.08/365*12</f>
        <v>3.0272876712328767</v>
      </c>
      <c r="H29" s="3475">
        <v>60</v>
      </c>
      <c r="I29" s="3475" t="s">
        <v>3549</v>
      </c>
    </row>
    <row r="30" spans="1:9" ht="20.85" customHeight="1">
      <c r="A30" s="3484" t="s">
        <v>3537</v>
      </c>
      <c r="B30" s="3485" t="s">
        <v>3543</v>
      </c>
      <c r="C30" s="3475" t="s">
        <v>3550</v>
      </c>
      <c r="D30" s="3475">
        <v>159</v>
      </c>
      <c r="E30" s="3476">
        <v>45017</v>
      </c>
      <c r="F30" s="3476">
        <v>46843</v>
      </c>
      <c r="G30" s="3475">
        <f>101.21*12/365</f>
        <v>3.3274520547945206</v>
      </c>
      <c r="H30" s="3475">
        <v>60</v>
      </c>
      <c r="I30" s="3475" t="s">
        <v>3551</v>
      </c>
    </row>
    <row r="31" spans="1:9" ht="20.85" customHeight="1">
      <c r="A31" s="3484" t="s">
        <v>3537</v>
      </c>
      <c r="B31" s="3475" t="s">
        <v>3543</v>
      </c>
      <c r="C31" s="3475" t="s">
        <v>3529</v>
      </c>
      <c r="D31" s="3475">
        <v>116.9</v>
      </c>
      <c r="E31" s="3476"/>
      <c r="F31" s="3476"/>
      <c r="G31" s="3475"/>
      <c r="H31" s="3475"/>
      <c r="I31" s="3475"/>
    </row>
    <row r="32" spans="1:9" ht="20.85" customHeight="1">
      <c r="A32" s="3484" t="s">
        <v>3537</v>
      </c>
      <c r="B32" s="3475" t="s">
        <v>3543</v>
      </c>
      <c r="C32" s="3475" t="s">
        <v>3529</v>
      </c>
      <c r="D32" s="3475">
        <v>233.62</v>
      </c>
      <c r="E32" s="3476"/>
      <c r="F32" s="3476"/>
      <c r="G32" s="3475"/>
      <c r="H32" s="3475"/>
      <c r="I32" s="3475"/>
    </row>
    <row r="33" spans="1:9" ht="20.85" customHeight="1">
      <c r="A33" s="3484" t="s">
        <v>3537</v>
      </c>
      <c r="B33" s="3485" t="s">
        <v>3543</v>
      </c>
      <c r="C33" s="3475" t="s">
        <v>3552</v>
      </c>
      <c r="D33" s="3475">
        <v>120</v>
      </c>
      <c r="E33" s="3476">
        <v>44786</v>
      </c>
      <c r="F33" s="3476">
        <v>48438</v>
      </c>
      <c r="G33" s="3475">
        <f>228.13*12/365</f>
        <v>7.5001643835616436</v>
      </c>
      <c r="H33" s="3475">
        <v>60</v>
      </c>
      <c r="I33" s="3475"/>
    </row>
    <row r="34" spans="1:9" ht="20.85" customHeight="1">
      <c r="A34" s="3484" t="s">
        <v>3537</v>
      </c>
      <c r="B34" s="3475" t="s">
        <v>3543</v>
      </c>
      <c r="C34" s="3475" t="s">
        <v>3529</v>
      </c>
      <c r="D34" s="3475">
        <v>106.38</v>
      </c>
      <c r="E34" s="3476"/>
      <c r="F34" s="3476"/>
      <c r="G34" s="3475"/>
      <c r="H34" s="3475"/>
      <c r="I34" s="3475"/>
    </row>
    <row r="35" spans="1:9" ht="20.85" customHeight="1">
      <c r="A35" s="3484" t="s">
        <v>3537</v>
      </c>
      <c r="B35" s="3475" t="s">
        <v>3543</v>
      </c>
      <c r="C35" s="3475" t="s">
        <v>3553</v>
      </c>
      <c r="D35" s="3475">
        <v>285.08999999999997</v>
      </c>
      <c r="E35" s="3476">
        <v>45047</v>
      </c>
      <c r="F35" s="3476">
        <v>46873</v>
      </c>
      <c r="G35" s="3475">
        <v>5</v>
      </c>
      <c r="H35" s="3475">
        <v>60</v>
      </c>
      <c r="I35" s="3475" t="s">
        <v>3545</v>
      </c>
    </row>
    <row r="36" spans="1:9" ht="20.85" customHeight="1">
      <c r="A36" s="3484" t="s">
        <v>3537</v>
      </c>
      <c r="B36" s="3485" t="s">
        <v>3543</v>
      </c>
      <c r="C36" s="3475" t="s">
        <v>3553</v>
      </c>
      <c r="D36" s="3475">
        <v>151.6</v>
      </c>
      <c r="E36" s="3476">
        <v>45047</v>
      </c>
      <c r="F36" s="3476">
        <v>46873</v>
      </c>
      <c r="G36" s="3475">
        <v>5</v>
      </c>
      <c r="H36" s="3475">
        <v>60</v>
      </c>
      <c r="I36" s="3475" t="s">
        <v>3545</v>
      </c>
    </row>
    <row r="37" spans="1:9" ht="20.85" customHeight="1">
      <c r="A37" s="3484" t="s">
        <v>3537</v>
      </c>
      <c r="B37" s="3475" t="s">
        <v>3543</v>
      </c>
      <c r="C37" s="3475" t="s">
        <v>3529</v>
      </c>
      <c r="D37" s="3475">
        <v>45.75</v>
      </c>
      <c r="E37" s="3476"/>
      <c r="F37" s="3476"/>
      <c r="G37" s="3475"/>
      <c r="H37" s="3475"/>
      <c r="I37" s="3475"/>
    </row>
    <row r="38" spans="1:9" ht="20.45" customHeight="1">
      <c r="D38" s="3486"/>
    </row>
    <row r="39" spans="1:9" ht="20.45" customHeight="1"/>
  </sheetData>
  <mergeCells count="9">
    <mergeCell ref="I1:I3"/>
    <mergeCell ref="E2:F2"/>
    <mergeCell ref="G2:G3"/>
    <mergeCell ref="A1:A3"/>
    <mergeCell ref="B1:B3"/>
    <mergeCell ref="C1:C3"/>
    <mergeCell ref="D1:D3"/>
    <mergeCell ref="E1:G1"/>
    <mergeCell ref="H1:H2"/>
  </mergeCells>
  <phoneticPr fontId="135" type="noConversion"/>
  <conditionalFormatting sqref="C7">
    <cfRule type="containsText" dxfId="116" priority="2" operator="containsText" text="空置">
      <formula>NOT(ISERROR(SEARCH("空置",C7)))</formula>
    </cfRule>
  </conditionalFormatting>
  <conditionalFormatting sqref="C11">
    <cfRule type="containsText" dxfId="115" priority="1" operator="containsText" text="空置">
      <formula>NOT(ISERROR(SEARCH("空置",C11)))</formula>
    </cfRule>
  </conditionalFormatting>
  <pageMargins left="0.7" right="0.7" top="0.75" bottom="0.75" header="0.3" footer="0.3"/>
  <pageSetup paperSize="66" scale="22"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34740.85</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3" t="s">
        <v>1771</v>
      </c>
      <c r="S4" s="3724"/>
      <c r="T4" s="3723" t="s">
        <v>1772</v>
      </c>
      <c r="U4" s="3724"/>
      <c r="V4" s="3748" t="s">
        <v>1773</v>
      </c>
      <c r="W4" s="3748"/>
      <c r="X4" s="1354"/>
      <c r="Y4" s="3723" t="s">
        <v>1775</v>
      </c>
      <c r="Z4" s="3724"/>
      <c r="AA4" s="3718" t="s">
        <v>1771</v>
      </c>
      <c r="AB4" s="3748" t="s">
        <v>1772</v>
      </c>
      <c r="AC4" s="3718" t="s">
        <v>1773</v>
      </c>
    </row>
    <row r="5" spans="1:29" ht="15">
      <c r="A5" s="358"/>
      <c r="B5" s="359"/>
      <c r="C5" s="3729" t="s">
        <v>1673</v>
      </c>
      <c r="D5" s="3730"/>
      <c r="E5" s="3727" t="s">
        <v>1674</v>
      </c>
      <c r="F5" s="3728"/>
      <c r="G5" s="3729" t="s">
        <v>1675</v>
      </c>
      <c r="H5" s="3730"/>
      <c r="I5" s="3729" t="s">
        <v>1676</v>
      </c>
      <c r="J5" s="3730"/>
      <c r="K5" s="559"/>
      <c r="L5" s="2714"/>
      <c r="M5" s="2715"/>
      <c r="N5" s="2715"/>
      <c r="O5" s="2715"/>
      <c r="P5" s="3742"/>
      <c r="Q5" s="3743"/>
      <c r="R5" s="3725"/>
      <c r="S5" s="3726"/>
      <c r="T5" s="3725"/>
      <c r="U5" s="3726"/>
      <c r="V5" s="3748"/>
      <c r="W5" s="3748"/>
      <c r="X5" s="1354"/>
      <c r="Y5" s="3725"/>
      <c r="Z5" s="3726"/>
      <c r="AA5" s="3719"/>
      <c r="AB5" s="3748"/>
      <c r="AC5" s="3719"/>
    </row>
    <row r="6" spans="1:29" ht="15.75" thickBot="1">
      <c r="A6" s="360"/>
      <c r="B6" s="361"/>
      <c r="C6" s="3731" t="s">
        <v>1677</v>
      </c>
      <c r="D6" s="3732"/>
      <c r="E6" s="3733" t="s">
        <v>1677</v>
      </c>
      <c r="F6" s="3734"/>
      <c r="G6" s="3731" t="s">
        <v>1677</v>
      </c>
      <c r="H6" s="3732"/>
      <c r="I6" s="3731" t="s">
        <v>1677</v>
      </c>
      <c r="J6" s="3732"/>
      <c r="K6" s="559" t="s">
        <v>1678</v>
      </c>
      <c r="L6" s="2714"/>
      <c r="M6" s="2715"/>
      <c r="N6" s="2715"/>
      <c r="O6" s="2715"/>
      <c r="P6" s="3744"/>
      <c r="Q6" s="3745"/>
      <c r="R6" s="3725"/>
      <c r="S6" s="3726"/>
      <c r="T6" s="3746"/>
      <c r="U6" s="3747"/>
      <c r="V6" s="3748"/>
      <c r="W6" s="3748"/>
      <c r="X6" s="1354"/>
      <c r="Y6" s="3746"/>
      <c r="Z6" s="3747"/>
      <c r="AA6" s="3720"/>
      <c r="AB6" s="3748"/>
      <c r="AC6" s="3720"/>
    </row>
    <row r="7" spans="1:29" s="108" customFormat="1" ht="15.75" thickBot="1">
      <c r="A7" s="362" t="s">
        <v>1679</v>
      </c>
      <c r="B7" s="363"/>
      <c r="C7" s="364">
        <f>'数据-取费表'!B2</f>
        <v>45152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5"/>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5"/>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2" t="s">
        <v>1691</v>
      </c>
      <c r="Q15" s="1351" t="str">
        <f t="shared" si="6"/>
        <v>商业繁华度</v>
      </c>
      <c r="R15" s="705" t="s">
        <v>14</v>
      </c>
      <c r="S15" s="706">
        <f t="shared" si="0"/>
        <v>100</v>
      </c>
      <c r="T15" s="705" t="s">
        <v>14</v>
      </c>
      <c r="U15" s="706">
        <f t="shared" si="1"/>
        <v>100</v>
      </c>
      <c r="V15" s="705" t="s">
        <v>14</v>
      </c>
      <c r="W15" s="706">
        <f t="shared" si="2"/>
        <v>100</v>
      </c>
      <c r="X15" s="1354"/>
      <c r="Y15" s="375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3"/>
      <c r="Q16" s="1351"/>
      <c r="R16" s="705"/>
      <c r="S16" s="706"/>
      <c r="T16" s="705"/>
      <c r="U16" s="706"/>
      <c r="V16" s="705"/>
      <c r="W16" s="706"/>
      <c r="X16" s="1354"/>
      <c r="Y16" s="375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3"/>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3"/>
      <c r="Q18" s="1351"/>
      <c r="R18" s="705"/>
      <c r="S18" s="706"/>
      <c r="T18" s="705"/>
      <c r="U18" s="706"/>
      <c r="V18" s="705"/>
      <c r="W18" s="706"/>
      <c r="X18" s="1354"/>
      <c r="Y18" s="375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3"/>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3"/>
      <c r="Q20" s="1351"/>
      <c r="R20" s="705"/>
      <c r="S20" s="706"/>
      <c r="T20" s="705"/>
      <c r="U20" s="706"/>
      <c r="V20" s="705"/>
      <c r="W20" s="706"/>
      <c r="X20" s="1354"/>
      <c r="Y20" s="375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3"/>
      <c r="Q22" s="1351"/>
      <c r="R22" s="705"/>
      <c r="S22" s="706"/>
      <c r="T22" s="705"/>
      <c r="U22" s="706"/>
      <c r="V22" s="705"/>
      <c r="W22" s="706"/>
      <c r="X22" s="1354"/>
      <c r="Y22" s="375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3"/>
      <c r="Q23" s="1351" t="str">
        <f>B23</f>
        <v>自然及人文环境</v>
      </c>
      <c r="R23" s="705" t="s">
        <v>14</v>
      </c>
      <c r="S23" s="706">
        <f>F23</f>
        <v>100</v>
      </c>
      <c r="T23" s="705" t="s">
        <v>14</v>
      </c>
      <c r="U23" s="706">
        <f>H23</f>
        <v>100</v>
      </c>
      <c r="V23" s="705" t="s">
        <v>14</v>
      </c>
      <c r="W23" s="706">
        <f>J23</f>
        <v>100</v>
      </c>
      <c r="X23" s="1354"/>
      <c r="Y23" s="375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3"/>
      <c r="Q24" s="1351"/>
      <c r="R24" s="705"/>
      <c r="S24" s="706"/>
      <c r="T24" s="705"/>
      <c r="U24" s="706"/>
      <c r="V24" s="705"/>
      <c r="W24" s="706"/>
      <c r="X24" s="1354"/>
      <c r="Y24" s="375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3"/>
      <c r="Q25" s="1351" t="str">
        <f t="shared" ref="Q25:Q46" si="11">B25</f>
        <v>临街状况</v>
      </c>
      <c r="R25" s="705" t="s">
        <v>14</v>
      </c>
      <c r="S25" s="706">
        <f>F25</f>
        <v>100</v>
      </c>
      <c r="T25" s="705" t="s">
        <v>14</v>
      </c>
      <c r="U25" s="706">
        <f>H25</f>
        <v>100</v>
      </c>
      <c r="V25" s="705" t="s">
        <v>14</v>
      </c>
      <c r="W25" s="706">
        <f>J25</f>
        <v>100</v>
      </c>
      <c r="X25" s="1354"/>
      <c r="Y25" s="375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3"/>
      <c r="Q26" s="1351" t="str">
        <f t="shared" si="11"/>
        <v>平面位置/可视性</v>
      </c>
      <c r="R26" s="705" t="s">
        <v>14</v>
      </c>
      <c r="S26" s="706">
        <f>F26</f>
        <v>100</v>
      </c>
      <c r="T26" s="705" t="s">
        <v>14</v>
      </c>
      <c r="U26" s="706">
        <f>H26</f>
        <v>100</v>
      </c>
      <c r="V26" s="705" t="s">
        <v>14</v>
      </c>
      <c r="W26" s="706">
        <f>J26</f>
        <v>100</v>
      </c>
      <c r="X26" s="1354"/>
      <c r="Y26" s="375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3"/>
      <c r="Q27" s="1342" t="str">
        <f t="shared" si="11"/>
        <v>人流量</v>
      </c>
      <c r="R27" s="701" t="s">
        <v>14</v>
      </c>
      <c r="S27" s="702">
        <f>F27</f>
        <v>100</v>
      </c>
      <c r="T27" s="701" t="s">
        <v>14</v>
      </c>
      <c r="U27" s="702">
        <f>H27</f>
        <v>100</v>
      </c>
      <c r="V27" s="701" t="s">
        <v>14</v>
      </c>
      <c r="W27" s="702">
        <f>J27</f>
        <v>100</v>
      </c>
      <c r="X27" s="703"/>
      <c r="Y27" s="375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3"/>
      <c r="Q29" s="1351">
        <f t="shared" si="11"/>
        <v>111</v>
      </c>
      <c r="R29" s="705" t="s">
        <v>14</v>
      </c>
      <c r="S29" s="706">
        <f t="shared" si="12"/>
        <v>100</v>
      </c>
      <c r="T29" s="705" t="s">
        <v>14</v>
      </c>
      <c r="U29" s="706">
        <f t="shared" si="13"/>
        <v>100</v>
      </c>
      <c r="V29" s="705" t="s">
        <v>14</v>
      </c>
      <c r="W29" s="706">
        <f t="shared" si="14"/>
        <v>100</v>
      </c>
      <c r="X29" s="1354"/>
      <c r="Y29" s="375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3"/>
      <c r="Q30" s="1351">
        <f t="shared" si="11"/>
        <v>111</v>
      </c>
      <c r="R30" s="705" t="s">
        <v>14</v>
      </c>
      <c r="S30" s="706">
        <f t="shared" si="12"/>
        <v>100</v>
      </c>
      <c r="T30" s="705" t="s">
        <v>14</v>
      </c>
      <c r="U30" s="706">
        <f t="shared" si="13"/>
        <v>100</v>
      </c>
      <c r="V30" s="705" t="s">
        <v>14</v>
      </c>
      <c r="W30" s="706">
        <f t="shared" si="14"/>
        <v>100</v>
      </c>
      <c r="X30" s="1354"/>
      <c r="Y30" s="375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3"/>
      <c r="Q31" s="1351">
        <f t="shared" si="11"/>
        <v>111</v>
      </c>
      <c r="R31" s="705" t="s">
        <v>14</v>
      </c>
      <c r="S31" s="706">
        <f t="shared" si="12"/>
        <v>100</v>
      </c>
      <c r="T31" s="705" t="s">
        <v>14</v>
      </c>
      <c r="U31" s="706">
        <f t="shared" si="13"/>
        <v>100</v>
      </c>
      <c r="V31" s="705" t="s">
        <v>14</v>
      </c>
      <c r="W31" s="706">
        <f t="shared" si="14"/>
        <v>100</v>
      </c>
      <c r="X31" s="1354"/>
      <c r="Y31" s="375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7" t="s">
        <v>1696</v>
      </c>
      <c r="Q32" s="1351" t="str">
        <f t="shared" si="11"/>
        <v>商业类型</v>
      </c>
      <c r="R32" s="705" t="s">
        <v>14</v>
      </c>
      <c r="S32" s="706">
        <f t="shared" si="12"/>
        <v>100</v>
      </c>
      <c r="T32" s="705" t="s">
        <v>14</v>
      </c>
      <c r="U32" s="706">
        <f t="shared" si="13"/>
        <v>100</v>
      </c>
      <c r="V32" s="705" t="s">
        <v>14</v>
      </c>
      <c r="W32" s="706">
        <f t="shared" si="14"/>
        <v>100</v>
      </c>
      <c r="X32" s="1354"/>
      <c r="Y32" s="376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8"/>
      <c r="Q33" s="707" t="str">
        <f t="shared" si="11"/>
        <v>项目建筑规模</v>
      </c>
      <c r="R33" s="708" t="s">
        <v>14</v>
      </c>
      <c r="S33" s="709" t="e">
        <f t="shared" si="12"/>
        <v>#N/A</v>
      </c>
      <c r="T33" s="708" t="s">
        <v>14</v>
      </c>
      <c r="U33" s="709" t="e">
        <f t="shared" si="13"/>
        <v>#N/A</v>
      </c>
      <c r="V33" s="708" t="s">
        <v>14</v>
      </c>
      <c r="W33" s="709" t="e">
        <f t="shared" si="14"/>
        <v>#N/A</v>
      </c>
      <c r="X33" s="710"/>
      <c r="Y33" s="376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8"/>
      <c r="Q34" s="1351" t="str">
        <f t="shared" si="11"/>
        <v>建筑结构</v>
      </c>
      <c r="R34" s="705" t="s">
        <v>14</v>
      </c>
      <c r="S34" s="706">
        <f t="shared" si="12"/>
        <v>100</v>
      </c>
      <c r="T34" s="705" t="s">
        <v>14</v>
      </c>
      <c r="U34" s="706">
        <f t="shared" si="13"/>
        <v>100</v>
      </c>
      <c r="V34" s="705" t="s">
        <v>14</v>
      </c>
      <c r="W34" s="706">
        <f t="shared" si="14"/>
        <v>100</v>
      </c>
      <c r="X34" s="1354"/>
      <c r="Y34" s="376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8"/>
      <c r="Q35" s="1351" t="str">
        <f t="shared" si="11"/>
        <v>公共部分装修</v>
      </c>
      <c r="R35" s="705" t="s">
        <v>14</v>
      </c>
      <c r="S35" s="706">
        <f t="shared" si="12"/>
        <v>100</v>
      </c>
      <c r="T35" s="705" t="s">
        <v>14</v>
      </c>
      <c r="U35" s="706">
        <f t="shared" si="13"/>
        <v>100</v>
      </c>
      <c r="V35" s="705" t="s">
        <v>14</v>
      </c>
      <c r="W35" s="706">
        <f t="shared" si="14"/>
        <v>100</v>
      </c>
      <c r="X35" s="1354"/>
      <c r="Y35" s="376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8"/>
      <c r="Q36" s="1351" t="str">
        <f t="shared" si="11"/>
        <v>成新度</v>
      </c>
      <c r="R36" s="705" t="s">
        <v>14</v>
      </c>
      <c r="S36" s="706" t="e">
        <f t="shared" si="12"/>
        <v>#N/A</v>
      </c>
      <c r="T36" s="705" t="s">
        <v>14</v>
      </c>
      <c r="U36" s="706" t="e">
        <f t="shared" si="13"/>
        <v>#N/A</v>
      </c>
      <c r="V36" s="705" t="s">
        <v>14</v>
      </c>
      <c r="W36" s="706" t="e">
        <f t="shared" si="14"/>
        <v>#N/A</v>
      </c>
      <c r="X36" s="1354"/>
      <c r="Y36" s="376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8"/>
      <c r="Q37" s="1342" t="str">
        <f t="shared" si="11"/>
        <v>市政基础设施</v>
      </c>
      <c r="R37" s="701" t="s">
        <v>14</v>
      </c>
      <c r="S37" s="702">
        <f t="shared" si="12"/>
        <v>100</v>
      </c>
      <c r="T37" s="701" t="s">
        <v>14</v>
      </c>
      <c r="U37" s="702">
        <f t="shared" si="13"/>
        <v>100</v>
      </c>
      <c r="V37" s="701" t="s">
        <v>14</v>
      </c>
      <c r="W37" s="702">
        <f t="shared" si="14"/>
        <v>100</v>
      </c>
      <c r="X37" s="703"/>
      <c r="Y37" s="376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8" t="s">
        <v>1696</v>
      </c>
      <c r="Q38" s="1351" t="str">
        <f t="shared" si="11"/>
        <v>业态</v>
      </c>
      <c r="R38" s="705" t="s">
        <v>14</v>
      </c>
      <c r="S38" s="706">
        <f t="shared" si="12"/>
        <v>100</v>
      </c>
      <c r="T38" s="705" t="s">
        <v>14</v>
      </c>
      <c r="U38" s="706">
        <f t="shared" si="13"/>
        <v>100</v>
      </c>
      <c r="V38" s="705" t="s">
        <v>14</v>
      </c>
      <c r="W38" s="706">
        <f t="shared" si="14"/>
        <v>100</v>
      </c>
      <c r="X38" s="1354"/>
      <c r="Y38" s="376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8"/>
      <c r="Q39" s="1351" t="str">
        <f t="shared" si="11"/>
        <v>层高</v>
      </c>
      <c r="R39" s="705" t="s">
        <v>14</v>
      </c>
      <c r="S39" s="706">
        <f t="shared" si="12"/>
        <v>100</v>
      </c>
      <c r="T39" s="705" t="s">
        <v>14</v>
      </c>
      <c r="U39" s="706">
        <f t="shared" si="13"/>
        <v>100</v>
      </c>
      <c r="V39" s="705" t="s">
        <v>14</v>
      </c>
      <c r="W39" s="706">
        <f t="shared" si="14"/>
        <v>100</v>
      </c>
      <c r="X39" s="1354"/>
      <c r="Y39" s="376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8"/>
      <c r="Q40" s="1351" t="str">
        <f t="shared" si="11"/>
        <v>单套建筑面积</v>
      </c>
      <c r="R40" s="705" t="s">
        <v>14</v>
      </c>
      <c r="S40" s="706">
        <f t="shared" si="12"/>
        <v>100</v>
      </c>
      <c r="T40" s="705" t="s">
        <v>14</v>
      </c>
      <c r="U40" s="706">
        <f t="shared" si="13"/>
        <v>100</v>
      </c>
      <c r="V40" s="705" t="s">
        <v>14</v>
      </c>
      <c r="W40" s="706">
        <f t="shared" si="14"/>
        <v>100</v>
      </c>
      <c r="X40" s="1354"/>
      <c r="Y40" s="376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8"/>
      <c r="Q41" s="707" t="str">
        <f t="shared" si="11"/>
        <v>进深比</v>
      </c>
      <c r="R41" s="708" t="s">
        <v>14</v>
      </c>
      <c r="S41" s="709">
        <f t="shared" si="12"/>
        <v>100</v>
      </c>
      <c r="T41" s="708" t="s">
        <v>14</v>
      </c>
      <c r="U41" s="709">
        <f t="shared" si="13"/>
        <v>100</v>
      </c>
      <c r="V41" s="708" t="s">
        <v>14</v>
      </c>
      <c r="W41" s="709">
        <f t="shared" si="14"/>
        <v>100</v>
      </c>
      <c r="X41" s="710"/>
      <c r="Y41" s="376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8"/>
      <c r="Q42" s="1351" t="str">
        <f t="shared" si="11"/>
        <v>内部装修</v>
      </c>
      <c r="R42" s="705" t="s">
        <v>14</v>
      </c>
      <c r="S42" s="706">
        <f t="shared" si="12"/>
        <v>100</v>
      </c>
      <c r="T42" s="705" t="s">
        <v>14</v>
      </c>
      <c r="U42" s="706">
        <f t="shared" si="13"/>
        <v>100</v>
      </c>
      <c r="V42" s="705" t="s">
        <v>14</v>
      </c>
      <c r="W42" s="706">
        <f t="shared" si="14"/>
        <v>100</v>
      </c>
      <c r="X42" s="1354"/>
      <c r="Y42" s="376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8"/>
      <c r="Q43" s="1351" t="str">
        <f t="shared" si="11"/>
        <v>内部装修维护情况</v>
      </c>
      <c r="R43" s="705" t="s">
        <v>14</v>
      </c>
      <c r="S43" s="706">
        <f t="shared" si="12"/>
        <v>100</v>
      </c>
      <c r="T43" s="705" t="s">
        <v>14</v>
      </c>
      <c r="U43" s="706">
        <f t="shared" si="13"/>
        <v>100</v>
      </c>
      <c r="V43" s="705" t="s">
        <v>14</v>
      </c>
      <c r="W43" s="706">
        <f t="shared" si="14"/>
        <v>100</v>
      </c>
      <c r="X43" s="1354"/>
      <c r="Y43" s="376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8"/>
      <c r="Q44" s="1342">
        <f t="shared" si="11"/>
        <v>111</v>
      </c>
      <c r="R44" s="701" t="s">
        <v>14</v>
      </c>
      <c r="S44" s="702">
        <f t="shared" si="12"/>
        <v>100</v>
      </c>
      <c r="T44" s="701" t="s">
        <v>14</v>
      </c>
      <c r="U44" s="702">
        <f t="shared" si="13"/>
        <v>100</v>
      </c>
      <c r="V44" s="701" t="s">
        <v>14</v>
      </c>
      <c r="W44" s="702">
        <f t="shared" si="14"/>
        <v>100</v>
      </c>
      <c r="X44" s="703"/>
      <c r="Y44" s="37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8"/>
      <c r="Q45" s="1351">
        <f t="shared" si="11"/>
        <v>111</v>
      </c>
      <c r="R45" s="705" t="s">
        <v>14</v>
      </c>
      <c r="S45" s="706">
        <f t="shared" si="12"/>
        <v>100</v>
      </c>
      <c r="T45" s="705" t="s">
        <v>14</v>
      </c>
      <c r="U45" s="706">
        <f t="shared" si="13"/>
        <v>100</v>
      </c>
      <c r="V45" s="705" t="s">
        <v>14</v>
      </c>
      <c r="W45" s="706">
        <f t="shared" si="14"/>
        <v>100</v>
      </c>
      <c r="X45" s="1354"/>
      <c r="Y45" s="376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9"/>
      <c r="Q46" s="1351">
        <f t="shared" si="11"/>
        <v>111</v>
      </c>
      <c r="R46" s="705" t="s">
        <v>14</v>
      </c>
      <c r="S46" s="706">
        <f t="shared" si="12"/>
        <v>100</v>
      </c>
      <c r="T46" s="705" t="s">
        <v>14</v>
      </c>
      <c r="U46" s="706">
        <f t="shared" si="13"/>
        <v>100</v>
      </c>
      <c r="V46" s="705" t="s">
        <v>14</v>
      </c>
      <c r="W46" s="706">
        <f t="shared" si="14"/>
        <v>100</v>
      </c>
      <c r="X46" s="1354"/>
      <c r="Y46" s="376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53" t="str">
        <f>A47</f>
        <v>成交单价（元/平方米）</v>
      </c>
      <c r="Q47" s="3753"/>
      <c r="R47" s="3748">
        <f>E47</f>
        <v>0</v>
      </c>
      <c r="S47" s="3748"/>
      <c r="T47" s="3748">
        <f>G47</f>
        <v>0</v>
      </c>
      <c r="U47" s="3748"/>
      <c r="V47" s="3748">
        <f>I47</f>
        <v>0</v>
      </c>
      <c r="W47" s="3748"/>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53" t="str">
        <f>A48</f>
        <v>比较价值（元/平方米）</v>
      </c>
      <c r="Q48" s="3753"/>
      <c r="R48" s="3754" t="e">
        <f>IF(F1="售价",ROUND(PRODUCT(R47,AA7:AA46),0),ROUND(PRODUCT(R47,AA7:AA46),1))</f>
        <v>#DIV/0!</v>
      </c>
      <c r="S48" s="3754"/>
      <c r="T48" s="3754" t="e">
        <f>IF(F1="售价",ROUND(PRODUCT(T47,AB7:AB46),0),ROUND(PRODUCT(T47,AB7:AB46),1))</f>
        <v>#DIV/0!</v>
      </c>
      <c r="U48" s="3754"/>
      <c r="V48" s="3754" t="e">
        <f>IF(F1="售价",ROUND(PRODUCT(V47,AC7:AC46),0),ROUND(PRODUCT(V47,AC7:AC46),1))</f>
        <v>#DIV/0!</v>
      </c>
      <c r="W48" s="375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34740.85</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84" t="s">
        <v>1775</v>
      </c>
      <c r="Q4" s="3785"/>
      <c r="R4" s="3779" t="s">
        <v>1771</v>
      </c>
      <c r="S4" s="3780"/>
      <c r="T4" s="3779" t="s">
        <v>1772</v>
      </c>
      <c r="U4" s="3780"/>
      <c r="V4" s="3788" t="s">
        <v>1773</v>
      </c>
      <c r="W4" s="3788"/>
      <c r="X4" s="1957"/>
      <c r="Y4" s="3779" t="s">
        <v>1775</v>
      </c>
      <c r="Z4" s="3780"/>
      <c r="AA4" s="3778" t="s">
        <v>1771</v>
      </c>
      <c r="AB4" s="3778" t="s">
        <v>1772</v>
      </c>
      <c r="AC4" s="3781" t="s">
        <v>1773</v>
      </c>
    </row>
    <row r="5" spans="1:29" ht="15">
      <c r="A5" s="358"/>
      <c r="B5" s="359"/>
      <c r="C5" s="3729" t="s">
        <v>1673</v>
      </c>
      <c r="D5" s="3730"/>
      <c r="E5" s="3727" t="s">
        <v>1674</v>
      </c>
      <c r="F5" s="3728"/>
      <c r="G5" s="3729" t="s">
        <v>1675</v>
      </c>
      <c r="H5" s="3730"/>
      <c r="I5" s="3729" t="s">
        <v>1676</v>
      </c>
      <c r="J5" s="3730"/>
      <c r="K5" s="559"/>
      <c r="L5" s="2714"/>
      <c r="M5" s="2715"/>
      <c r="N5" s="2715"/>
      <c r="O5" s="2715"/>
      <c r="P5" s="3786"/>
      <c r="Q5" s="3743"/>
      <c r="R5" s="3725"/>
      <c r="S5" s="3726"/>
      <c r="T5" s="3725"/>
      <c r="U5" s="3726"/>
      <c r="V5" s="3748"/>
      <c r="W5" s="3748"/>
      <c r="X5" s="1354"/>
      <c r="Y5" s="3725"/>
      <c r="Z5" s="3726"/>
      <c r="AA5" s="3719"/>
      <c r="AB5" s="3719"/>
      <c r="AC5" s="3782"/>
    </row>
    <row r="6" spans="1:29" ht="15.75" thickBot="1">
      <c r="A6" s="360"/>
      <c r="B6" s="361"/>
      <c r="C6" s="3731" t="s">
        <v>1677</v>
      </c>
      <c r="D6" s="3732"/>
      <c r="E6" s="3733" t="s">
        <v>1677</v>
      </c>
      <c r="F6" s="3734"/>
      <c r="G6" s="3731" t="s">
        <v>1677</v>
      </c>
      <c r="H6" s="3732"/>
      <c r="I6" s="3731" t="s">
        <v>1677</v>
      </c>
      <c r="J6" s="3732"/>
      <c r="K6" s="559" t="s">
        <v>1678</v>
      </c>
      <c r="L6" s="2714"/>
      <c r="M6" s="2715"/>
      <c r="N6" s="2715"/>
      <c r="O6" s="2715"/>
      <c r="P6" s="3787"/>
      <c r="Q6" s="3745"/>
      <c r="R6" s="3725"/>
      <c r="S6" s="3726"/>
      <c r="T6" s="3746"/>
      <c r="U6" s="3747"/>
      <c r="V6" s="3748"/>
      <c r="W6" s="3748"/>
      <c r="X6" s="1354"/>
      <c r="Y6" s="3746"/>
      <c r="Z6" s="3747"/>
      <c r="AA6" s="3720"/>
      <c r="AB6" s="3720"/>
      <c r="AC6" s="3783"/>
    </row>
    <row r="7" spans="1:29" s="108" customFormat="1" ht="15.75" thickBot="1">
      <c r="A7" s="362" t="s">
        <v>1679</v>
      </c>
      <c r="B7" s="363"/>
      <c r="C7" s="364">
        <f>'数据-取费表'!B2</f>
        <v>45152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9"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9"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5"/>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5"/>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2" t="s">
        <v>1691</v>
      </c>
      <c r="Q15" s="1351" t="str">
        <f t="shared" si="6"/>
        <v>办公集聚程度</v>
      </c>
      <c r="R15" s="705" t="s">
        <v>14</v>
      </c>
      <c r="S15" s="706">
        <f t="shared" si="0"/>
        <v>100</v>
      </c>
      <c r="T15" s="705" t="s">
        <v>14</v>
      </c>
      <c r="U15" s="706">
        <f t="shared" si="1"/>
        <v>100</v>
      </c>
      <c r="V15" s="705" t="s">
        <v>14</v>
      </c>
      <c r="W15" s="706">
        <f t="shared" si="2"/>
        <v>100</v>
      </c>
      <c r="X15" s="1354"/>
      <c r="Y15" s="375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3"/>
      <c r="Q16" s="1351"/>
      <c r="R16" s="705"/>
      <c r="S16" s="706"/>
      <c r="T16" s="705"/>
      <c r="U16" s="706"/>
      <c r="V16" s="705"/>
      <c r="W16" s="706"/>
      <c r="X16" s="1354"/>
      <c r="Y16" s="375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3"/>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3"/>
      <c r="Q18" s="1351"/>
      <c r="R18" s="705"/>
      <c r="S18" s="706"/>
      <c r="T18" s="705"/>
      <c r="U18" s="706"/>
      <c r="V18" s="705"/>
      <c r="W18" s="706"/>
      <c r="X18" s="1354"/>
      <c r="Y18" s="375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3"/>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3"/>
      <c r="Q20" s="1351"/>
      <c r="R20" s="705"/>
      <c r="S20" s="706"/>
      <c r="T20" s="705"/>
      <c r="U20" s="706"/>
      <c r="V20" s="705"/>
      <c r="W20" s="706"/>
      <c r="X20" s="1354"/>
      <c r="Y20" s="375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3"/>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3"/>
      <c r="Q22" s="1351"/>
      <c r="R22" s="705"/>
      <c r="S22" s="706"/>
      <c r="T22" s="705"/>
      <c r="U22" s="706"/>
      <c r="V22" s="705"/>
      <c r="W22" s="706"/>
      <c r="X22" s="1354"/>
      <c r="Y22" s="375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3"/>
      <c r="Q23" s="1351" t="str">
        <f>B23</f>
        <v>环境质量</v>
      </c>
      <c r="R23" s="705" t="s">
        <v>14</v>
      </c>
      <c r="S23" s="706">
        <f>F23</f>
        <v>100</v>
      </c>
      <c r="T23" s="705" t="s">
        <v>14</v>
      </c>
      <c r="U23" s="706">
        <f>H23</f>
        <v>100</v>
      </c>
      <c r="V23" s="705" t="s">
        <v>14</v>
      </c>
      <c r="W23" s="706">
        <f>J23</f>
        <v>100</v>
      </c>
      <c r="X23" s="1354"/>
      <c r="Y23" s="375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3"/>
      <c r="Q24" s="1351"/>
      <c r="R24" s="705"/>
      <c r="S24" s="706"/>
      <c r="T24" s="705"/>
      <c r="U24" s="706"/>
      <c r="V24" s="705"/>
      <c r="W24" s="706"/>
      <c r="X24" s="1354"/>
      <c r="Y24" s="375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3"/>
      <c r="Q25" s="1351" t="str">
        <f>B25</f>
        <v>毗邻道路的类型与等级</v>
      </c>
      <c r="R25" s="705" t="s">
        <v>14</v>
      </c>
      <c r="S25" s="706">
        <f>F25</f>
        <v>100</v>
      </c>
      <c r="T25" s="705" t="s">
        <v>14</v>
      </c>
      <c r="U25" s="706">
        <f>H25</f>
        <v>100</v>
      </c>
      <c r="V25" s="705" t="s">
        <v>14</v>
      </c>
      <c r="W25" s="706">
        <f>J25</f>
        <v>100</v>
      </c>
      <c r="X25" s="1354"/>
      <c r="Y25" s="375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3"/>
      <c r="Q26" s="1351"/>
      <c r="R26" s="705"/>
      <c r="S26" s="706"/>
      <c r="T26" s="705"/>
      <c r="U26" s="706"/>
      <c r="V26" s="705"/>
      <c r="W26" s="706"/>
      <c r="X26" s="1354"/>
      <c r="Y26" s="375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3"/>
      <c r="Q27" s="1351" t="str">
        <f t="shared" ref="Q27:Q47" si="11">B27</f>
        <v>楼层</v>
      </c>
      <c r="R27" s="705" t="s">
        <v>14</v>
      </c>
      <c r="S27" s="706">
        <f>F27</f>
        <v>100</v>
      </c>
      <c r="T27" s="705" t="s">
        <v>14</v>
      </c>
      <c r="U27" s="706">
        <f>H27</f>
        <v>100</v>
      </c>
      <c r="V27" s="705" t="s">
        <v>14</v>
      </c>
      <c r="W27" s="706">
        <f>J27</f>
        <v>100</v>
      </c>
      <c r="X27" s="1354"/>
      <c r="Y27" s="375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3"/>
      <c r="Q28" s="1342" t="str">
        <f t="shared" si="11"/>
        <v>朝向</v>
      </c>
      <c r="R28" s="701" t="s">
        <v>14</v>
      </c>
      <c r="S28" s="702">
        <f>F28</f>
        <v>100</v>
      </c>
      <c r="T28" s="701" t="s">
        <v>14</v>
      </c>
      <c r="U28" s="702">
        <f>H28</f>
        <v>100</v>
      </c>
      <c r="V28" s="701" t="s">
        <v>14</v>
      </c>
      <c r="W28" s="702">
        <f>J28</f>
        <v>100</v>
      </c>
      <c r="X28" s="703"/>
      <c r="Y28" s="37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3"/>
      <c r="Q29" s="1351">
        <f t="shared" si="11"/>
        <v>111</v>
      </c>
      <c r="R29" s="705" t="s">
        <v>14</v>
      </c>
      <c r="S29" s="706">
        <f t="shared" ref="S29:S47" si="12">F29</f>
        <v>100</v>
      </c>
      <c r="T29" s="705" t="s">
        <v>14</v>
      </c>
      <c r="U29" s="706">
        <f t="shared" ref="U29:U47" si="13">H29</f>
        <v>100</v>
      </c>
      <c r="V29" s="705" t="s">
        <v>14</v>
      </c>
      <c r="W29" s="706">
        <f t="shared" ref="W29:W47" si="14">J29</f>
        <v>100</v>
      </c>
      <c r="X29" s="1354"/>
      <c r="Y29" s="37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3"/>
      <c r="Q30" s="1351">
        <f t="shared" si="11"/>
        <v>111</v>
      </c>
      <c r="R30" s="705" t="s">
        <v>14</v>
      </c>
      <c r="S30" s="706">
        <f t="shared" si="12"/>
        <v>100</v>
      </c>
      <c r="T30" s="705" t="s">
        <v>14</v>
      </c>
      <c r="U30" s="706">
        <f t="shared" si="13"/>
        <v>100</v>
      </c>
      <c r="V30" s="705" t="s">
        <v>14</v>
      </c>
      <c r="W30" s="706">
        <f t="shared" si="14"/>
        <v>100</v>
      </c>
      <c r="X30" s="1354"/>
      <c r="Y30" s="37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3"/>
      <c r="Q31" s="1351">
        <f t="shared" si="11"/>
        <v>111</v>
      </c>
      <c r="R31" s="705" t="s">
        <v>14</v>
      </c>
      <c r="S31" s="706">
        <f t="shared" si="12"/>
        <v>100</v>
      </c>
      <c r="T31" s="705" t="s">
        <v>14</v>
      </c>
      <c r="U31" s="706">
        <f t="shared" si="13"/>
        <v>100</v>
      </c>
      <c r="V31" s="705" t="s">
        <v>14</v>
      </c>
      <c r="W31" s="706">
        <f t="shared" si="14"/>
        <v>100</v>
      </c>
      <c r="X31" s="1354"/>
      <c r="Y31" s="375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3"/>
      <c r="Q32" s="1351">
        <f t="shared" si="11"/>
        <v>111</v>
      </c>
      <c r="R32" s="705" t="s">
        <v>14</v>
      </c>
      <c r="S32" s="706">
        <f t="shared" si="12"/>
        <v>100</v>
      </c>
      <c r="T32" s="705" t="s">
        <v>14</v>
      </c>
      <c r="U32" s="706">
        <f t="shared" si="13"/>
        <v>100</v>
      </c>
      <c r="V32" s="705" t="s">
        <v>14</v>
      </c>
      <c r="W32" s="706">
        <f t="shared" si="14"/>
        <v>100</v>
      </c>
      <c r="X32" s="1354"/>
      <c r="Y32" s="375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7" t="s">
        <v>1696</v>
      </c>
      <c r="Q33" s="1351" t="str">
        <f t="shared" si="11"/>
        <v>建筑类型</v>
      </c>
      <c r="R33" s="705" t="s">
        <v>14</v>
      </c>
      <c r="S33" s="706">
        <f t="shared" si="12"/>
        <v>100</v>
      </c>
      <c r="T33" s="705" t="s">
        <v>14</v>
      </c>
      <c r="U33" s="706">
        <f t="shared" si="13"/>
        <v>100</v>
      </c>
      <c r="V33" s="705" t="s">
        <v>14</v>
      </c>
      <c r="W33" s="706">
        <f t="shared" si="14"/>
        <v>100</v>
      </c>
      <c r="X33" s="1354"/>
      <c r="Y33" s="376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8"/>
      <c r="Q34" s="707" t="str">
        <f t="shared" si="11"/>
        <v>项目建筑规模</v>
      </c>
      <c r="R34" s="708" t="s">
        <v>14</v>
      </c>
      <c r="S34" s="709" t="e">
        <f t="shared" si="12"/>
        <v>#N/A</v>
      </c>
      <c r="T34" s="708" t="s">
        <v>14</v>
      </c>
      <c r="U34" s="709" t="e">
        <f t="shared" si="13"/>
        <v>#N/A</v>
      </c>
      <c r="V34" s="708" t="s">
        <v>14</v>
      </c>
      <c r="W34" s="709" t="e">
        <f t="shared" si="14"/>
        <v>#N/A</v>
      </c>
      <c r="X34" s="710"/>
      <c r="Y34" s="376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8"/>
      <c r="Q35" s="1351" t="str">
        <f t="shared" si="11"/>
        <v>建筑结构</v>
      </c>
      <c r="R35" s="705" t="s">
        <v>14</v>
      </c>
      <c r="S35" s="706">
        <f t="shared" si="12"/>
        <v>100</v>
      </c>
      <c r="T35" s="705" t="s">
        <v>14</v>
      </c>
      <c r="U35" s="706">
        <f t="shared" si="13"/>
        <v>100</v>
      </c>
      <c r="V35" s="705" t="s">
        <v>14</v>
      </c>
      <c r="W35" s="706">
        <f t="shared" si="14"/>
        <v>100</v>
      </c>
      <c r="X35" s="1354"/>
      <c r="Y35" s="376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8"/>
      <c r="Q36" s="1351" t="str">
        <f t="shared" si="11"/>
        <v>公共部分装修</v>
      </c>
      <c r="R36" s="705" t="s">
        <v>14</v>
      </c>
      <c r="S36" s="706">
        <f t="shared" si="12"/>
        <v>100</v>
      </c>
      <c r="T36" s="705" t="s">
        <v>14</v>
      </c>
      <c r="U36" s="706">
        <f t="shared" si="13"/>
        <v>100</v>
      </c>
      <c r="V36" s="705" t="s">
        <v>14</v>
      </c>
      <c r="W36" s="706">
        <f t="shared" si="14"/>
        <v>100</v>
      </c>
      <c r="X36" s="1354"/>
      <c r="Y36" s="376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8"/>
      <c r="Q37" s="1351" t="str">
        <f t="shared" si="11"/>
        <v>成新度</v>
      </c>
      <c r="R37" s="705" t="s">
        <v>14</v>
      </c>
      <c r="S37" s="706" t="e">
        <f t="shared" si="12"/>
        <v>#N/A</v>
      </c>
      <c r="T37" s="705" t="s">
        <v>14</v>
      </c>
      <c r="U37" s="706" t="e">
        <f t="shared" si="13"/>
        <v>#N/A</v>
      </c>
      <c r="V37" s="705" t="s">
        <v>14</v>
      </c>
      <c r="W37" s="706" t="e">
        <f t="shared" si="14"/>
        <v>#N/A</v>
      </c>
      <c r="X37" s="1354"/>
      <c r="Y37" s="376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8"/>
      <c r="Q38" s="1342" t="str">
        <f t="shared" si="11"/>
        <v>写字楼等级</v>
      </c>
      <c r="R38" s="701" t="s">
        <v>14</v>
      </c>
      <c r="S38" s="702">
        <f t="shared" si="12"/>
        <v>100</v>
      </c>
      <c r="T38" s="701" t="s">
        <v>14</v>
      </c>
      <c r="U38" s="702">
        <f t="shared" si="13"/>
        <v>100</v>
      </c>
      <c r="V38" s="701" t="s">
        <v>14</v>
      </c>
      <c r="W38" s="702">
        <f t="shared" si="14"/>
        <v>100</v>
      </c>
      <c r="X38" s="703"/>
      <c r="Y38" s="376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8" t="s">
        <v>1696</v>
      </c>
      <c r="Q39" s="1351" t="str">
        <f t="shared" si="11"/>
        <v>物业管理</v>
      </c>
      <c r="R39" s="705" t="s">
        <v>14</v>
      </c>
      <c r="S39" s="706">
        <f t="shared" si="12"/>
        <v>100</v>
      </c>
      <c r="T39" s="705" t="s">
        <v>14</v>
      </c>
      <c r="U39" s="706">
        <f t="shared" si="13"/>
        <v>100</v>
      </c>
      <c r="V39" s="705" t="s">
        <v>14</v>
      </c>
      <c r="W39" s="706">
        <f t="shared" si="14"/>
        <v>100</v>
      </c>
      <c r="X39" s="1354"/>
      <c r="Y39" s="376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8"/>
      <c r="Q40" s="1351" t="str">
        <f t="shared" si="11"/>
        <v>市政基础设施</v>
      </c>
      <c r="R40" s="705" t="s">
        <v>14</v>
      </c>
      <c r="S40" s="706">
        <f t="shared" si="12"/>
        <v>100</v>
      </c>
      <c r="T40" s="705" t="s">
        <v>14</v>
      </c>
      <c r="U40" s="706">
        <f t="shared" si="13"/>
        <v>100</v>
      </c>
      <c r="V40" s="705" t="s">
        <v>14</v>
      </c>
      <c r="W40" s="706">
        <f t="shared" si="14"/>
        <v>100</v>
      </c>
      <c r="X40" s="1354"/>
      <c r="Y40" s="376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8"/>
      <c r="Q41" s="1351" t="str">
        <f t="shared" si="11"/>
        <v>层高</v>
      </c>
      <c r="R41" s="705" t="s">
        <v>14</v>
      </c>
      <c r="S41" s="706">
        <f t="shared" si="12"/>
        <v>100</v>
      </c>
      <c r="T41" s="705" t="s">
        <v>14</v>
      </c>
      <c r="U41" s="706">
        <f t="shared" si="13"/>
        <v>100</v>
      </c>
      <c r="V41" s="705" t="s">
        <v>14</v>
      </c>
      <c r="W41" s="706">
        <f t="shared" si="14"/>
        <v>100</v>
      </c>
      <c r="X41" s="1354"/>
      <c r="Y41" s="376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8"/>
      <c r="Q42" s="707" t="str">
        <f t="shared" si="11"/>
        <v>单套建筑面积</v>
      </c>
      <c r="R42" s="708" t="s">
        <v>14</v>
      </c>
      <c r="S42" s="709">
        <f t="shared" si="12"/>
        <v>100</v>
      </c>
      <c r="T42" s="708" t="s">
        <v>14</v>
      </c>
      <c r="U42" s="709">
        <f t="shared" si="13"/>
        <v>100</v>
      </c>
      <c r="V42" s="708" t="s">
        <v>14</v>
      </c>
      <c r="W42" s="709">
        <f t="shared" si="14"/>
        <v>100</v>
      </c>
      <c r="X42" s="710"/>
      <c r="Y42" s="376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8"/>
      <c r="Q43" s="1351" t="str">
        <f t="shared" si="11"/>
        <v>内部装修</v>
      </c>
      <c r="R43" s="705" t="s">
        <v>14</v>
      </c>
      <c r="S43" s="706">
        <f t="shared" si="12"/>
        <v>100</v>
      </c>
      <c r="T43" s="705" t="s">
        <v>14</v>
      </c>
      <c r="U43" s="706">
        <f t="shared" si="13"/>
        <v>100</v>
      </c>
      <c r="V43" s="705" t="s">
        <v>14</v>
      </c>
      <c r="W43" s="706">
        <f t="shared" si="14"/>
        <v>100</v>
      </c>
      <c r="X43" s="1354"/>
      <c r="Y43" s="376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8"/>
      <c r="Q44" s="1351" t="str">
        <f t="shared" si="11"/>
        <v>内部装修维护情况</v>
      </c>
      <c r="R44" s="705" t="s">
        <v>14</v>
      </c>
      <c r="S44" s="706">
        <f t="shared" si="12"/>
        <v>100</v>
      </c>
      <c r="T44" s="705" t="s">
        <v>14</v>
      </c>
      <c r="U44" s="706">
        <f t="shared" si="13"/>
        <v>100</v>
      </c>
      <c r="V44" s="705" t="s">
        <v>14</v>
      </c>
      <c r="W44" s="706">
        <f t="shared" si="14"/>
        <v>100</v>
      </c>
      <c r="X44" s="1354"/>
      <c r="Y44" s="376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8"/>
      <c r="Q45" s="1342">
        <f t="shared" si="11"/>
        <v>111</v>
      </c>
      <c r="R45" s="701" t="s">
        <v>14</v>
      </c>
      <c r="S45" s="702">
        <f t="shared" si="12"/>
        <v>100</v>
      </c>
      <c r="T45" s="701" t="s">
        <v>14</v>
      </c>
      <c r="U45" s="702">
        <f t="shared" si="13"/>
        <v>100</v>
      </c>
      <c r="V45" s="701" t="s">
        <v>14</v>
      </c>
      <c r="W45" s="702">
        <f t="shared" si="14"/>
        <v>100</v>
      </c>
      <c r="X45" s="703"/>
      <c r="Y45" s="376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8"/>
      <c r="Q46" s="1351">
        <f t="shared" si="11"/>
        <v>111</v>
      </c>
      <c r="R46" s="705" t="s">
        <v>14</v>
      </c>
      <c r="S46" s="706">
        <f t="shared" si="12"/>
        <v>100</v>
      </c>
      <c r="T46" s="705" t="s">
        <v>14</v>
      </c>
      <c r="U46" s="706">
        <f t="shared" si="13"/>
        <v>100</v>
      </c>
      <c r="V46" s="705" t="s">
        <v>14</v>
      </c>
      <c r="W46" s="706">
        <f t="shared" si="14"/>
        <v>100</v>
      </c>
      <c r="X46" s="1354"/>
      <c r="Y46" s="376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9"/>
      <c r="Q47" s="1351">
        <f t="shared" si="11"/>
        <v>111</v>
      </c>
      <c r="R47" s="705" t="s">
        <v>14</v>
      </c>
      <c r="S47" s="706">
        <f t="shared" si="12"/>
        <v>100</v>
      </c>
      <c r="T47" s="705" t="s">
        <v>14</v>
      </c>
      <c r="U47" s="706">
        <f t="shared" si="13"/>
        <v>100</v>
      </c>
      <c r="V47" s="705" t="s">
        <v>14</v>
      </c>
      <c r="W47" s="706">
        <f t="shared" si="14"/>
        <v>100</v>
      </c>
      <c r="X47" s="1354"/>
      <c r="Y47" s="376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5" t="str">
        <f>A48</f>
        <v>成交单价（元/平方米）</v>
      </c>
      <c r="Q48" s="3753"/>
      <c r="R48" s="3754">
        <f>E48</f>
        <v>0</v>
      </c>
      <c r="S48" s="3754"/>
      <c r="T48" s="3754">
        <f>G48</f>
        <v>0</v>
      </c>
      <c r="U48" s="3754"/>
      <c r="V48" s="3754">
        <f>I48</f>
        <v>0</v>
      </c>
      <c r="W48" s="3754"/>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5" t="str">
        <f>A49</f>
        <v>比较价值（元/平方米）</v>
      </c>
      <c r="Q49" s="3753"/>
      <c r="R49" s="3754" t="e">
        <f>IF(F1="售价",ROUND(PRODUCT(R48,AA7:AA47),0),ROUND(PRODUCT(R48,AA7:AA47),1))</f>
        <v>#DIV/0!</v>
      </c>
      <c r="S49" s="3754"/>
      <c r="T49" s="3754" t="e">
        <f>IF(F1="售价",ROUND(PRODUCT(T48,AB7:AB47),0),ROUND(PRODUCT(T48,AB7:AB47),1))</f>
        <v>#DIV/0!</v>
      </c>
      <c r="U49" s="3754"/>
      <c r="V49" s="3754" t="e">
        <f>IF(F1="售价",ROUND(PRODUCT(V48,AC7:AC47),0),ROUND(PRODUCT(V48,AC7:AC47),1))</f>
        <v>#DIV/0!</v>
      </c>
      <c r="W49" s="375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34740.85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913"/>
      <c r="M4" s="914"/>
      <c r="N4" s="914"/>
      <c r="O4" s="914"/>
      <c r="P4" s="3740" t="s">
        <v>1775</v>
      </c>
      <c r="Q4" s="3741"/>
      <c r="R4" s="3723" t="s">
        <v>1771</v>
      </c>
      <c r="S4" s="3724"/>
      <c r="T4" s="3723" t="s">
        <v>1772</v>
      </c>
      <c r="U4" s="3724"/>
      <c r="V4" s="3748" t="s">
        <v>1773</v>
      </c>
      <c r="W4" s="3748"/>
      <c r="X4" s="1354"/>
      <c r="Y4" s="3723" t="s">
        <v>1775</v>
      </c>
      <c r="Z4" s="3724"/>
      <c r="AA4" s="3718" t="s">
        <v>1771</v>
      </c>
      <c r="AB4" s="3719" t="s">
        <v>1772</v>
      </c>
      <c r="AC4" s="3718" t="s">
        <v>1773</v>
      </c>
    </row>
    <row r="5" spans="1:29" ht="15">
      <c r="A5" s="358"/>
      <c r="B5" s="359"/>
      <c r="C5" s="3729" t="s">
        <v>1673</v>
      </c>
      <c r="D5" s="3730"/>
      <c r="E5" s="3727" t="s">
        <v>1674</v>
      </c>
      <c r="F5" s="3728"/>
      <c r="G5" s="3729" t="s">
        <v>1675</v>
      </c>
      <c r="H5" s="3730"/>
      <c r="I5" s="3729" t="s">
        <v>1676</v>
      </c>
      <c r="J5" s="3730"/>
      <c r="K5" s="559"/>
      <c r="L5" s="913"/>
      <c r="M5" s="914"/>
      <c r="N5" s="914"/>
      <c r="O5" s="914"/>
      <c r="P5" s="3742"/>
      <c r="Q5" s="3743"/>
      <c r="R5" s="3725"/>
      <c r="S5" s="3726"/>
      <c r="T5" s="3725"/>
      <c r="U5" s="3726"/>
      <c r="V5" s="3748"/>
      <c r="W5" s="3748"/>
      <c r="X5" s="1354"/>
      <c r="Y5" s="3725"/>
      <c r="Z5" s="3726"/>
      <c r="AA5" s="3719"/>
      <c r="AB5" s="3719"/>
      <c r="AC5" s="3719"/>
    </row>
    <row r="6" spans="1:29" ht="15.75" thickBot="1">
      <c r="A6" s="360"/>
      <c r="B6" s="361"/>
      <c r="C6" s="3731" t="s">
        <v>1677</v>
      </c>
      <c r="D6" s="3732"/>
      <c r="E6" s="3733" t="s">
        <v>1677</v>
      </c>
      <c r="F6" s="3734"/>
      <c r="G6" s="3731" t="s">
        <v>1677</v>
      </c>
      <c r="H6" s="3732"/>
      <c r="I6" s="3731" t="s">
        <v>1677</v>
      </c>
      <c r="J6" s="3732"/>
      <c r="K6" s="559" t="s">
        <v>1678</v>
      </c>
      <c r="L6" s="913"/>
      <c r="M6" s="914"/>
      <c r="N6" s="914"/>
      <c r="O6" s="914"/>
      <c r="P6" s="3744"/>
      <c r="Q6" s="3745"/>
      <c r="R6" s="3725"/>
      <c r="S6" s="3726"/>
      <c r="T6" s="3746"/>
      <c r="U6" s="3747"/>
      <c r="V6" s="3748"/>
      <c r="W6" s="3748"/>
      <c r="X6" s="1354"/>
      <c r="Y6" s="3746"/>
      <c r="Z6" s="3747"/>
      <c r="AA6" s="3720"/>
      <c r="AB6" s="3720"/>
      <c r="AC6" s="3720"/>
    </row>
    <row r="7" spans="1:29" s="108" customFormat="1" ht="15.75" thickBot="1">
      <c r="A7" s="362" t="s">
        <v>1679</v>
      </c>
      <c r="B7" s="363"/>
      <c r="C7" s="364">
        <f>'数据-取费表'!B2</f>
        <v>45152</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3"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3"/>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3"/>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53"/>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53"/>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53"/>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5" t="s">
        <v>1691</v>
      </c>
      <c r="Q15" s="1351" t="str">
        <f t="shared" si="6"/>
        <v>产业集聚程度</v>
      </c>
      <c r="R15" s="705" t="s">
        <v>14</v>
      </c>
      <c r="S15" s="706">
        <f t="shared" si="0"/>
        <v>100</v>
      </c>
      <c r="T15" s="705" t="s">
        <v>14</v>
      </c>
      <c r="U15" s="706">
        <f t="shared" si="1"/>
        <v>100</v>
      </c>
      <c r="V15" s="705" t="s">
        <v>14</v>
      </c>
      <c r="W15" s="706">
        <f t="shared" si="2"/>
        <v>100</v>
      </c>
      <c r="X15" s="1354"/>
      <c r="Y15" s="375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56"/>
      <c r="Q16" s="1351"/>
      <c r="R16" s="705"/>
      <c r="S16" s="706"/>
      <c r="T16" s="705"/>
      <c r="U16" s="706"/>
      <c r="V16" s="705"/>
      <c r="W16" s="706"/>
      <c r="X16" s="1354"/>
      <c r="Y16" s="375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6"/>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56"/>
      <c r="Q18" s="1351"/>
      <c r="R18" s="705"/>
      <c r="S18" s="706"/>
      <c r="T18" s="705"/>
      <c r="U18" s="706"/>
      <c r="V18" s="705"/>
      <c r="W18" s="706"/>
      <c r="X18" s="1354"/>
      <c r="Y18" s="375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6"/>
      <c r="Q19" s="1351" t="str">
        <f>B19</f>
        <v>公共配套设施</v>
      </c>
      <c r="R19" s="705" t="s">
        <v>14</v>
      </c>
      <c r="S19" s="706">
        <f>F19</f>
        <v>100</v>
      </c>
      <c r="T19" s="705" t="s">
        <v>14</v>
      </c>
      <c r="U19" s="706">
        <f>H19</f>
        <v>100</v>
      </c>
      <c r="V19" s="705" t="s">
        <v>14</v>
      </c>
      <c r="W19" s="706">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56"/>
      <c r="Q20" s="1351"/>
      <c r="R20" s="705"/>
      <c r="S20" s="706"/>
      <c r="T20" s="705"/>
      <c r="U20" s="706"/>
      <c r="V20" s="705"/>
      <c r="W20" s="706"/>
      <c r="X20" s="1354"/>
      <c r="Y20" s="375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6"/>
      <c r="Q21" s="1351" t="str">
        <f>B21</f>
        <v>基础设施水平</v>
      </c>
      <c r="R21" s="705" t="s">
        <v>14</v>
      </c>
      <c r="S21" s="706">
        <f>F21</f>
        <v>100</v>
      </c>
      <c r="T21" s="705" t="s">
        <v>14</v>
      </c>
      <c r="U21" s="706">
        <f>H21</f>
        <v>100</v>
      </c>
      <c r="V21" s="705" t="s">
        <v>14</v>
      </c>
      <c r="W21" s="706">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56"/>
      <c r="Q22" s="1351"/>
      <c r="R22" s="705"/>
      <c r="S22" s="706"/>
      <c r="T22" s="705"/>
      <c r="U22" s="706"/>
      <c r="V22" s="705"/>
      <c r="W22" s="706"/>
      <c r="X22" s="1354"/>
      <c r="Y22" s="375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6"/>
      <c r="Q23" s="1351" t="str">
        <f>B23</f>
        <v>环境质量</v>
      </c>
      <c r="R23" s="705" t="s">
        <v>14</v>
      </c>
      <c r="S23" s="706">
        <f>F23</f>
        <v>100</v>
      </c>
      <c r="T23" s="705" t="s">
        <v>14</v>
      </c>
      <c r="U23" s="706">
        <f>H23</f>
        <v>100</v>
      </c>
      <c r="V23" s="705" t="s">
        <v>14</v>
      </c>
      <c r="W23" s="706">
        <f>J23</f>
        <v>100</v>
      </c>
      <c r="X23" s="1354"/>
      <c r="Y23" s="375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56"/>
      <c r="Q24" s="1351"/>
      <c r="R24" s="705"/>
      <c r="S24" s="706"/>
      <c r="T24" s="705"/>
      <c r="U24" s="706"/>
      <c r="V24" s="705"/>
      <c r="W24" s="706"/>
      <c r="X24" s="1354"/>
      <c r="Y24" s="375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6"/>
      <c r="Q25" s="1351">
        <f>B25</f>
        <v>111</v>
      </c>
      <c r="R25" s="705" t="s">
        <v>14</v>
      </c>
      <c r="S25" s="706">
        <f>F25</f>
        <v>100</v>
      </c>
      <c r="T25" s="705" t="s">
        <v>14</v>
      </c>
      <c r="U25" s="706">
        <f>H25</f>
        <v>100</v>
      </c>
      <c r="V25" s="705" t="s">
        <v>14</v>
      </c>
      <c r="W25" s="706">
        <f>J25</f>
        <v>100</v>
      </c>
      <c r="X25" s="1354"/>
      <c r="Y25" s="375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6"/>
      <c r="Q26" s="1351">
        <f t="shared" ref="Q26:Q40" si="11">B26</f>
        <v>111</v>
      </c>
      <c r="R26" s="705" t="s">
        <v>14</v>
      </c>
      <c r="S26" s="706">
        <f>F26</f>
        <v>100</v>
      </c>
      <c r="T26" s="705" t="s">
        <v>14</v>
      </c>
      <c r="U26" s="706">
        <f>H26</f>
        <v>100</v>
      </c>
      <c r="V26" s="705" t="s">
        <v>14</v>
      </c>
      <c r="W26" s="706">
        <f>J26</f>
        <v>100</v>
      </c>
      <c r="X26" s="1354"/>
      <c r="Y26" s="375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6"/>
      <c r="Q27" s="1342">
        <f t="shared" si="11"/>
        <v>111</v>
      </c>
      <c r="R27" s="701" t="s">
        <v>14</v>
      </c>
      <c r="S27" s="702">
        <f>F27</f>
        <v>100</v>
      </c>
      <c r="T27" s="701" t="s">
        <v>14</v>
      </c>
      <c r="U27" s="702">
        <f>H27</f>
        <v>100</v>
      </c>
      <c r="V27" s="701" t="s">
        <v>14</v>
      </c>
      <c r="W27" s="702">
        <f>J27</f>
        <v>100</v>
      </c>
      <c r="X27" s="703"/>
      <c r="Y27" s="375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6"/>
      <c r="Q28" s="1351">
        <f t="shared" si="11"/>
        <v>111</v>
      </c>
      <c r="R28" s="705" t="s">
        <v>14</v>
      </c>
      <c r="S28" s="706">
        <f t="shared" ref="S28:S40" si="12">F28</f>
        <v>100</v>
      </c>
      <c r="T28" s="705" t="s">
        <v>14</v>
      </c>
      <c r="U28" s="706">
        <f t="shared" ref="U28:U40" si="13">H28</f>
        <v>100</v>
      </c>
      <c r="V28" s="705" t="s">
        <v>14</v>
      </c>
      <c r="W28" s="706">
        <f t="shared" ref="W28:W40" si="14">J28</f>
        <v>100</v>
      </c>
      <c r="X28" s="1354"/>
      <c r="Y28" s="375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4" t="s">
        <v>1696</v>
      </c>
      <c r="Q29" s="1351" t="str">
        <f t="shared" si="11"/>
        <v>建筑类型</v>
      </c>
      <c r="R29" s="705" t="s">
        <v>14</v>
      </c>
      <c r="S29" s="706">
        <f t="shared" si="12"/>
        <v>100</v>
      </c>
      <c r="T29" s="705" t="s">
        <v>14</v>
      </c>
      <c r="U29" s="706">
        <f t="shared" si="13"/>
        <v>100</v>
      </c>
      <c r="V29" s="705" t="s">
        <v>14</v>
      </c>
      <c r="W29" s="706">
        <f t="shared" si="14"/>
        <v>100</v>
      </c>
      <c r="X29" s="1354"/>
      <c r="Y29" s="376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0"/>
      <c r="Q30" s="707" t="str">
        <f t="shared" si="11"/>
        <v>项目建筑规模</v>
      </c>
      <c r="R30" s="708" t="s">
        <v>14</v>
      </c>
      <c r="S30" s="709" t="e">
        <f t="shared" si="12"/>
        <v>#N/A</v>
      </c>
      <c r="T30" s="708" t="s">
        <v>14</v>
      </c>
      <c r="U30" s="709" t="e">
        <f t="shared" si="13"/>
        <v>#N/A</v>
      </c>
      <c r="V30" s="708" t="s">
        <v>14</v>
      </c>
      <c r="W30" s="709" t="e">
        <f t="shared" si="14"/>
        <v>#N/A</v>
      </c>
      <c r="X30" s="710"/>
      <c r="Y30" s="376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0"/>
      <c r="Q31" s="1351" t="str">
        <f t="shared" si="11"/>
        <v>建筑结构</v>
      </c>
      <c r="R31" s="705" t="s">
        <v>14</v>
      </c>
      <c r="S31" s="706">
        <f t="shared" si="12"/>
        <v>100</v>
      </c>
      <c r="T31" s="705" t="s">
        <v>14</v>
      </c>
      <c r="U31" s="706">
        <f t="shared" si="13"/>
        <v>100</v>
      </c>
      <c r="V31" s="705" t="s">
        <v>14</v>
      </c>
      <c r="W31" s="706">
        <f t="shared" si="14"/>
        <v>100</v>
      </c>
      <c r="X31" s="1354"/>
      <c r="Y31" s="376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0"/>
      <c r="Q32" s="1351" t="str">
        <f t="shared" si="11"/>
        <v>公共部分装修</v>
      </c>
      <c r="R32" s="705" t="s">
        <v>14</v>
      </c>
      <c r="S32" s="706">
        <f t="shared" si="12"/>
        <v>100</v>
      </c>
      <c r="T32" s="705" t="s">
        <v>14</v>
      </c>
      <c r="U32" s="706">
        <f t="shared" si="13"/>
        <v>100</v>
      </c>
      <c r="V32" s="705" t="s">
        <v>14</v>
      </c>
      <c r="W32" s="706">
        <f t="shared" si="14"/>
        <v>100</v>
      </c>
      <c r="X32" s="1354"/>
      <c r="Y32" s="376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0"/>
      <c r="Q33" s="1351" t="str">
        <f t="shared" si="11"/>
        <v>成新度</v>
      </c>
      <c r="R33" s="705" t="s">
        <v>14</v>
      </c>
      <c r="S33" s="706" t="e">
        <f t="shared" si="12"/>
        <v>#N/A</v>
      </c>
      <c r="T33" s="705" t="s">
        <v>14</v>
      </c>
      <c r="U33" s="706" t="e">
        <f t="shared" si="13"/>
        <v>#N/A</v>
      </c>
      <c r="V33" s="705" t="s">
        <v>14</v>
      </c>
      <c r="W33" s="706" t="e">
        <f t="shared" si="14"/>
        <v>#N/A</v>
      </c>
      <c r="X33" s="1354"/>
      <c r="Y33" s="376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0"/>
      <c r="Q34" s="1342" t="str">
        <f t="shared" si="11"/>
        <v>物业管理</v>
      </c>
      <c r="R34" s="701" t="s">
        <v>14</v>
      </c>
      <c r="S34" s="702">
        <f t="shared" si="12"/>
        <v>100</v>
      </c>
      <c r="T34" s="701" t="s">
        <v>14</v>
      </c>
      <c r="U34" s="702">
        <f t="shared" si="13"/>
        <v>100</v>
      </c>
      <c r="V34" s="701" t="s">
        <v>14</v>
      </c>
      <c r="W34" s="702">
        <f t="shared" si="14"/>
        <v>100</v>
      </c>
      <c r="X34" s="703"/>
      <c r="Y34" s="37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0" t="s">
        <v>1696</v>
      </c>
      <c r="Q35" s="1351" t="str">
        <f t="shared" si="11"/>
        <v>市政基础设施</v>
      </c>
      <c r="R35" s="705" t="s">
        <v>14</v>
      </c>
      <c r="S35" s="706">
        <f t="shared" si="12"/>
        <v>100</v>
      </c>
      <c r="T35" s="705" t="s">
        <v>14</v>
      </c>
      <c r="U35" s="706">
        <f t="shared" si="13"/>
        <v>100</v>
      </c>
      <c r="V35" s="705" t="s">
        <v>14</v>
      </c>
      <c r="W35" s="706">
        <f t="shared" si="14"/>
        <v>100</v>
      </c>
      <c r="X35" s="1354"/>
      <c r="Y35" s="376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0"/>
      <c r="Q36" s="1351" t="str">
        <f t="shared" si="11"/>
        <v>内部装修</v>
      </c>
      <c r="R36" s="705" t="s">
        <v>14</v>
      </c>
      <c r="S36" s="706">
        <f t="shared" si="12"/>
        <v>100</v>
      </c>
      <c r="T36" s="705" t="s">
        <v>14</v>
      </c>
      <c r="U36" s="706">
        <f t="shared" si="13"/>
        <v>100</v>
      </c>
      <c r="V36" s="705" t="s">
        <v>14</v>
      </c>
      <c r="W36" s="706">
        <f t="shared" si="14"/>
        <v>100</v>
      </c>
      <c r="X36" s="1354"/>
      <c r="Y36" s="376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0"/>
      <c r="Q37" s="1351" t="str">
        <f t="shared" si="11"/>
        <v>内部装修状况</v>
      </c>
      <c r="R37" s="705" t="s">
        <v>14</v>
      </c>
      <c r="S37" s="706">
        <f t="shared" si="12"/>
        <v>100</v>
      </c>
      <c r="T37" s="705" t="s">
        <v>14</v>
      </c>
      <c r="U37" s="706">
        <f t="shared" si="13"/>
        <v>100</v>
      </c>
      <c r="V37" s="705" t="s">
        <v>14</v>
      </c>
      <c r="W37" s="706">
        <f t="shared" si="14"/>
        <v>100</v>
      </c>
      <c r="X37" s="1354"/>
      <c r="Y37" s="376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0"/>
      <c r="Q38" s="707">
        <f t="shared" si="11"/>
        <v>111</v>
      </c>
      <c r="R38" s="708" t="s">
        <v>14</v>
      </c>
      <c r="S38" s="709">
        <f t="shared" si="12"/>
        <v>100</v>
      </c>
      <c r="T38" s="708" t="s">
        <v>14</v>
      </c>
      <c r="U38" s="709">
        <f t="shared" si="13"/>
        <v>100</v>
      </c>
      <c r="V38" s="708" t="s">
        <v>14</v>
      </c>
      <c r="W38" s="709">
        <f t="shared" si="14"/>
        <v>100</v>
      </c>
      <c r="X38" s="710"/>
      <c r="Y38" s="376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0"/>
      <c r="Q39" s="1351">
        <f t="shared" si="11"/>
        <v>111</v>
      </c>
      <c r="R39" s="705" t="s">
        <v>14</v>
      </c>
      <c r="S39" s="706">
        <f t="shared" si="12"/>
        <v>100</v>
      </c>
      <c r="T39" s="705" t="s">
        <v>14</v>
      </c>
      <c r="U39" s="706">
        <f t="shared" si="13"/>
        <v>100</v>
      </c>
      <c r="V39" s="705" t="s">
        <v>14</v>
      </c>
      <c r="W39" s="706">
        <f t="shared" si="14"/>
        <v>100</v>
      </c>
      <c r="X39" s="1354"/>
      <c r="Y39" s="376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1"/>
      <c r="Q40" s="1351">
        <f t="shared" si="11"/>
        <v>111</v>
      </c>
      <c r="R40" s="705" t="s">
        <v>14</v>
      </c>
      <c r="S40" s="706">
        <f t="shared" si="12"/>
        <v>100</v>
      </c>
      <c r="T40" s="705" t="s">
        <v>14</v>
      </c>
      <c r="U40" s="706">
        <f t="shared" si="13"/>
        <v>100</v>
      </c>
      <c r="V40" s="705" t="s">
        <v>14</v>
      </c>
      <c r="W40" s="706">
        <f t="shared" si="14"/>
        <v>100</v>
      </c>
      <c r="X40" s="1354"/>
      <c r="Y40" s="376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53" t="str">
        <f>A41</f>
        <v>成交单价（元/平方米）</v>
      </c>
      <c r="Q41" s="3753"/>
      <c r="R41" s="3754">
        <f>E41</f>
        <v>0</v>
      </c>
      <c r="S41" s="3754"/>
      <c r="T41" s="3754">
        <f>G41</f>
        <v>0</v>
      </c>
      <c r="U41" s="3754"/>
      <c r="V41" s="3754">
        <f>I41</f>
        <v>0</v>
      </c>
      <c r="W41" s="375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53" t="str">
        <f>A42</f>
        <v>比较价值（元/平方米）</v>
      </c>
      <c r="Q42" s="3753"/>
      <c r="R42" s="3754" t="e">
        <f>IF(F1="售价",ROUND(PRODUCT(R41,AA7:AA40),0),ROUND(PRODUCT(R41,AA7:AA40),1))</f>
        <v>#DIV/0!</v>
      </c>
      <c r="S42" s="3754"/>
      <c r="T42" s="3754" t="e">
        <f>IF(F1="售价",ROUND(PRODUCT(T41,AB7:AB40),0),ROUND(PRODUCT(T41,AB7:AB40),1))</f>
        <v>#DIV/0!</v>
      </c>
      <c r="U42" s="3754"/>
      <c r="V42" s="3754" t="e">
        <f>IF(F1="售价",ROUND(PRODUCT(V41,AC7:AC40),0),ROUND(PRODUCT(V41,AC7:AC40),1))</f>
        <v>#DIV/0!</v>
      </c>
      <c r="W42" s="375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3" t="s">
        <v>1771</v>
      </c>
      <c r="S4" s="3724"/>
      <c r="T4" s="3723" t="s">
        <v>1772</v>
      </c>
      <c r="U4" s="3724"/>
      <c r="V4" s="3748" t="s">
        <v>1773</v>
      </c>
      <c r="W4" s="3748"/>
      <c r="X4" s="1354"/>
      <c r="Y4" s="3723" t="s">
        <v>1775</v>
      </c>
      <c r="Z4" s="3724"/>
      <c r="AA4" s="3718" t="s">
        <v>1771</v>
      </c>
      <c r="AB4" s="3719" t="s">
        <v>1772</v>
      </c>
      <c r="AC4" s="3718" t="s">
        <v>1773</v>
      </c>
    </row>
    <row r="5" spans="1:29" ht="15">
      <c r="A5" s="358"/>
      <c r="B5" s="359"/>
      <c r="C5" s="3729" t="s">
        <v>1673</v>
      </c>
      <c r="D5" s="3730"/>
      <c r="E5" s="3727" t="s">
        <v>1674</v>
      </c>
      <c r="F5" s="3728"/>
      <c r="G5" s="3729" t="s">
        <v>1675</v>
      </c>
      <c r="H5" s="3730"/>
      <c r="I5" s="3729" t="s">
        <v>1676</v>
      </c>
      <c r="J5" s="3730"/>
      <c r="K5" s="559"/>
      <c r="L5" s="2714"/>
      <c r="M5" s="2715"/>
      <c r="N5" s="2715"/>
      <c r="O5" s="2715"/>
      <c r="P5" s="3742"/>
      <c r="Q5" s="3743"/>
      <c r="R5" s="3725"/>
      <c r="S5" s="3726"/>
      <c r="T5" s="3725"/>
      <c r="U5" s="3726"/>
      <c r="V5" s="3748"/>
      <c r="W5" s="3748"/>
      <c r="X5" s="1354"/>
      <c r="Y5" s="3725"/>
      <c r="Z5" s="3726"/>
      <c r="AA5" s="3719"/>
      <c r="AB5" s="3719"/>
      <c r="AC5" s="3719"/>
    </row>
    <row r="6" spans="1:29" ht="15.75" thickBot="1">
      <c r="A6" s="360"/>
      <c r="B6" s="361"/>
      <c r="C6" s="3731" t="s">
        <v>1677</v>
      </c>
      <c r="D6" s="3732"/>
      <c r="E6" s="3733" t="s">
        <v>1677</v>
      </c>
      <c r="F6" s="3734"/>
      <c r="G6" s="3731" t="s">
        <v>1677</v>
      </c>
      <c r="H6" s="3732"/>
      <c r="I6" s="3731" t="s">
        <v>1677</v>
      </c>
      <c r="J6" s="3732"/>
      <c r="K6" s="559" t="s">
        <v>1678</v>
      </c>
      <c r="L6" s="2714"/>
      <c r="M6" s="2715"/>
      <c r="N6" s="2715"/>
      <c r="O6" s="2715"/>
      <c r="P6" s="3744"/>
      <c r="Q6" s="3745"/>
      <c r="R6" s="3725"/>
      <c r="S6" s="3726"/>
      <c r="T6" s="3746"/>
      <c r="U6" s="3747"/>
      <c r="V6" s="3748"/>
      <c r="W6" s="3748"/>
      <c r="X6" s="1354"/>
      <c r="Y6" s="3746"/>
      <c r="Z6" s="3747"/>
      <c r="AA6" s="3720"/>
      <c r="AB6" s="3720"/>
      <c r="AC6" s="3720"/>
    </row>
    <row r="7" spans="1:29" s="108" customFormat="1" ht="15.75" thickBot="1">
      <c r="A7" s="362" t="s">
        <v>1679</v>
      </c>
      <c r="B7" s="363"/>
      <c r="C7" s="364">
        <f>'数据-取费表'!B2</f>
        <v>45152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3"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3"/>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3"/>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3"/>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3"/>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55" t="s">
        <v>1691</v>
      </c>
      <c r="Q14" s="1351" t="str">
        <f t="shared" si="6"/>
        <v>交通便捷度</v>
      </c>
      <c r="R14" s="705" t="s">
        <v>14</v>
      </c>
      <c r="S14" s="706">
        <f t="shared" si="0"/>
        <v>100</v>
      </c>
      <c r="T14" s="705" t="s">
        <v>14</v>
      </c>
      <c r="U14" s="706">
        <f t="shared" si="1"/>
        <v>100</v>
      </c>
      <c r="V14" s="705" t="s">
        <v>14</v>
      </c>
      <c r="W14" s="706">
        <f t="shared" si="2"/>
        <v>100</v>
      </c>
      <c r="X14" s="1354"/>
      <c r="Y14" s="375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56"/>
      <c r="Q15" s="1351"/>
      <c r="R15" s="705"/>
      <c r="S15" s="706"/>
      <c r="T15" s="705"/>
      <c r="U15" s="706"/>
      <c r="V15" s="705"/>
      <c r="W15" s="706"/>
      <c r="X15" s="1354"/>
      <c r="Y15" s="375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6"/>
      <c r="Q16" s="1351" t="str">
        <f>B16</f>
        <v>公共配套设施</v>
      </c>
      <c r="R16" s="705" t="s">
        <v>14</v>
      </c>
      <c r="S16" s="706">
        <f>F16</f>
        <v>100</v>
      </c>
      <c r="T16" s="705" t="s">
        <v>14</v>
      </c>
      <c r="U16" s="706">
        <f>H16</f>
        <v>100</v>
      </c>
      <c r="V16" s="705" t="s">
        <v>14</v>
      </c>
      <c r="W16" s="706">
        <f>J16</f>
        <v>100</v>
      </c>
      <c r="X16" s="1354"/>
      <c r="Y16" s="375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56"/>
      <c r="Q17" s="1351"/>
      <c r="R17" s="705"/>
      <c r="S17" s="706"/>
      <c r="T17" s="705"/>
      <c r="U17" s="706"/>
      <c r="V17" s="705"/>
      <c r="W17" s="706"/>
      <c r="X17" s="1354"/>
      <c r="Y17" s="375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6"/>
      <c r="Q18" s="1351" t="str">
        <f>B18</f>
        <v>基础设施水平</v>
      </c>
      <c r="R18" s="705" t="s">
        <v>14</v>
      </c>
      <c r="S18" s="706">
        <f>F18</f>
        <v>100</v>
      </c>
      <c r="T18" s="705" t="s">
        <v>14</v>
      </c>
      <c r="U18" s="706">
        <f>H18</f>
        <v>100</v>
      </c>
      <c r="V18" s="705" t="s">
        <v>14</v>
      </c>
      <c r="W18" s="706">
        <f>J18</f>
        <v>100</v>
      </c>
      <c r="X18" s="1354"/>
      <c r="Y18" s="375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56"/>
      <c r="Q19" s="1351"/>
      <c r="R19" s="705"/>
      <c r="S19" s="706"/>
      <c r="T19" s="705"/>
      <c r="U19" s="706"/>
      <c r="V19" s="705"/>
      <c r="W19" s="706"/>
      <c r="X19" s="1354"/>
      <c r="Y19" s="375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6"/>
      <c r="Q20" s="1351" t="str">
        <f>B20</f>
        <v>自然及人文环境</v>
      </c>
      <c r="R20" s="705" t="s">
        <v>14</v>
      </c>
      <c r="S20" s="706">
        <f>F20</f>
        <v>100</v>
      </c>
      <c r="T20" s="705" t="s">
        <v>14</v>
      </c>
      <c r="U20" s="706">
        <f>H20</f>
        <v>100</v>
      </c>
      <c r="V20" s="705" t="s">
        <v>14</v>
      </c>
      <c r="W20" s="706">
        <f>J20</f>
        <v>100</v>
      </c>
      <c r="X20" s="1354"/>
      <c r="Y20" s="375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56"/>
      <c r="Q21" s="1351"/>
      <c r="R21" s="705"/>
      <c r="S21" s="706"/>
      <c r="T21" s="705"/>
      <c r="U21" s="706"/>
      <c r="V21" s="705"/>
      <c r="W21" s="706"/>
      <c r="X21" s="1354"/>
      <c r="Y21" s="375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6"/>
      <c r="Q22" s="1351" t="str">
        <f>B22</f>
        <v>楼层</v>
      </c>
      <c r="R22" s="705" t="s">
        <v>14</v>
      </c>
      <c r="S22" s="706">
        <f>F22</f>
        <v>100</v>
      </c>
      <c r="T22" s="705" t="s">
        <v>14</v>
      </c>
      <c r="U22" s="706">
        <f>H22</f>
        <v>100</v>
      </c>
      <c r="V22" s="705" t="s">
        <v>14</v>
      </c>
      <c r="W22" s="706">
        <f>J22</f>
        <v>100</v>
      </c>
      <c r="X22" s="1354"/>
      <c r="Y22" s="375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6"/>
      <c r="Q23" s="1351">
        <f>B23</f>
        <v>111</v>
      </c>
      <c r="R23" s="705" t="s">
        <v>14</v>
      </c>
      <c r="S23" s="706">
        <f>F23</f>
        <v>100</v>
      </c>
      <c r="T23" s="705" t="s">
        <v>14</v>
      </c>
      <c r="U23" s="706">
        <f>H23</f>
        <v>100</v>
      </c>
      <c r="V23" s="705" t="s">
        <v>14</v>
      </c>
      <c r="W23" s="706">
        <f>J23</f>
        <v>100</v>
      </c>
      <c r="X23" s="1354"/>
      <c r="Y23" s="375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6"/>
      <c r="Q24" s="1351">
        <f t="shared" ref="Q24:Q36" si="11">B24</f>
        <v>111</v>
      </c>
      <c r="R24" s="705" t="s">
        <v>14</v>
      </c>
      <c r="S24" s="706">
        <f>F24</f>
        <v>100</v>
      </c>
      <c r="T24" s="705" t="s">
        <v>14</v>
      </c>
      <c r="U24" s="706">
        <f>H24</f>
        <v>100</v>
      </c>
      <c r="V24" s="705" t="s">
        <v>14</v>
      </c>
      <c r="W24" s="706">
        <f>J24</f>
        <v>100</v>
      </c>
      <c r="X24" s="1354"/>
      <c r="Y24" s="375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6"/>
      <c r="Q25" s="1342">
        <f t="shared" si="11"/>
        <v>111</v>
      </c>
      <c r="R25" s="701" t="s">
        <v>14</v>
      </c>
      <c r="S25" s="702">
        <f>F25</f>
        <v>100</v>
      </c>
      <c r="T25" s="701" t="s">
        <v>14</v>
      </c>
      <c r="U25" s="702">
        <f>H25</f>
        <v>100</v>
      </c>
      <c r="V25" s="701" t="s">
        <v>14</v>
      </c>
      <c r="W25" s="702">
        <f>J25</f>
        <v>100</v>
      </c>
      <c r="X25" s="703"/>
      <c r="Y25" s="375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6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60"/>
      <c r="Q27" s="707" t="str">
        <f t="shared" si="11"/>
        <v>项目停车位配比</v>
      </c>
      <c r="R27" s="708" t="s">
        <v>14</v>
      </c>
      <c r="S27" s="709">
        <f t="shared" si="12"/>
        <v>100</v>
      </c>
      <c r="T27" s="708" t="s">
        <v>14</v>
      </c>
      <c r="U27" s="709">
        <f t="shared" si="13"/>
        <v>100</v>
      </c>
      <c r="V27" s="708" t="s">
        <v>14</v>
      </c>
      <c r="W27" s="709">
        <f t="shared" si="14"/>
        <v>100</v>
      </c>
      <c r="X27" s="710"/>
      <c r="Y27" s="376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60"/>
      <c r="Q28" s="1351" t="str">
        <f t="shared" si="11"/>
        <v>公共部分装修</v>
      </c>
      <c r="R28" s="705" t="s">
        <v>14</v>
      </c>
      <c r="S28" s="706">
        <f t="shared" si="12"/>
        <v>100</v>
      </c>
      <c r="T28" s="705" t="s">
        <v>14</v>
      </c>
      <c r="U28" s="706">
        <f t="shared" si="13"/>
        <v>100</v>
      </c>
      <c r="V28" s="705" t="s">
        <v>14</v>
      </c>
      <c r="W28" s="706">
        <f t="shared" si="14"/>
        <v>100</v>
      </c>
      <c r="X28" s="1354"/>
      <c r="Y28" s="376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60"/>
      <c r="Q29" s="1351" t="str">
        <f t="shared" si="11"/>
        <v>成新率</v>
      </c>
      <c r="R29" s="705" t="s">
        <v>14</v>
      </c>
      <c r="S29" s="706" t="e">
        <f t="shared" si="12"/>
        <v>#N/A</v>
      </c>
      <c r="T29" s="705" t="s">
        <v>14</v>
      </c>
      <c r="U29" s="706" t="e">
        <f t="shared" si="13"/>
        <v>#N/A</v>
      </c>
      <c r="V29" s="705" t="s">
        <v>14</v>
      </c>
      <c r="W29" s="706" t="e">
        <f t="shared" si="14"/>
        <v>#N/A</v>
      </c>
      <c r="X29" s="1354"/>
      <c r="Y29" s="376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60"/>
      <c r="Q30" s="1351" t="str">
        <f t="shared" si="11"/>
        <v>物业等级</v>
      </c>
      <c r="R30" s="705" t="s">
        <v>14</v>
      </c>
      <c r="S30" s="706">
        <f t="shared" si="12"/>
        <v>100</v>
      </c>
      <c r="T30" s="705" t="s">
        <v>14</v>
      </c>
      <c r="U30" s="706">
        <f t="shared" si="13"/>
        <v>100</v>
      </c>
      <c r="V30" s="705" t="s">
        <v>14</v>
      </c>
      <c r="W30" s="706">
        <f t="shared" si="14"/>
        <v>100</v>
      </c>
      <c r="X30" s="1354"/>
      <c r="Y30" s="376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60"/>
      <c r="Q31" s="1342" t="str">
        <f t="shared" si="11"/>
        <v>停车位面积</v>
      </c>
      <c r="R31" s="701" t="s">
        <v>14</v>
      </c>
      <c r="S31" s="702" t="e">
        <f t="shared" si="12"/>
        <v>#N/A</v>
      </c>
      <c r="T31" s="701" t="s">
        <v>14</v>
      </c>
      <c r="U31" s="702" t="e">
        <f t="shared" si="13"/>
        <v>#N/A</v>
      </c>
      <c r="V31" s="701" t="s">
        <v>14</v>
      </c>
      <c r="W31" s="702" t="e">
        <f t="shared" si="14"/>
        <v>#N/A</v>
      </c>
      <c r="X31" s="703"/>
      <c r="Y31" s="37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60" t="s">
        <v>1696</v>
      </c>
      <c r="Q32" s="1351" t="str">
        <f t="shared" si="11"/>
        <v>车位类型</v>
      </c>
      <c r="R32" s="705" t="s">
        <v>14</v>
      </c>
      <c r="S32" s="706">
        <f t="shared" si="12"/>
        <v>100</v>
      </c>
      <c r="T32" s="705" t="s">
        <v>14</v>
      </c>
      <c r="U32" s="706">
        <f t="shared" si="13"/>
        <v>100</v>
      </c>
      <c r="V32" s="705" t="s">
        <v>14</v>
      </c>
      <c r="W32" s="706">
        <f t="shared" si="14"/>
        <v>100</v>
      </c>
      <c r="X32" s="1354"/>
      <c r="Y32" s="376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60"/>
      <c r="Q33" s="1351" t="str">
        <f t="shared" si="11"/>
        <v>是否直接入户</v>
      </c>
      <c r="R33" s="705" t="s">
        <v>14</v>
      </c>
      <c r="S33" s="706">
        <f t="shared" si="12"/>
        <v>100</v>
      </c>
      <c r="T33" s="705" t="s">
        <v>14</v>
      </c>
      <c r="U33" s="706">
        <f t="shared" si="13"/>
        <v>100</v>
      </c>
      <c r="V33" s="705" t="s">
        <v>14</v>
      </c>
      <c r="W33" s="706">
        <f t="shared" si="14"/>
        <v>100</v>
      </c>
      <c r="X33" s="1354"/>
      <c r="Y33" s="376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60"/>
      <c r="Q34" s="1351">
        <f t="shared" si="11"/>
        <v>111</v>
      </c>
      <c r="R34" s="705" t="s">
        <v>14</v>
      </c>
      <c r="S34" s="706">
        <f t="shared" si="12"/>
        <v>100</v>
      </c>
      <c r="T34" s="705" t="s">
        <v>14</v>
      </c>
      <c r="U34" s="706">
        <f t="shared" si="13"/>
        <v>100</v>
      </c>
      <c r="V34" s="705" t="s">
        <v>14</v>
      </c>
      <c r="W34" s="706">
        <f t="shared" si="14"/>
        <v>100</v>
      </c>
      <c r="X34" s="1354"/>
      <c r="Y34" s="376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60"/>
      <c r="Q35" s="707">
        <f t="shared" si="11"/>
        <v>111</v>
      </c>
      <c r="R35" s="708" t="s">
        <v>14</v>
      </c>
      <c r="S35" s="709">
        <f t="shared" si="12"/>
        <v>100</v>
      </c>
      <c r="T35" s="708" t="s">
        <v>14</v>
      </c>
      <c r="U35" s="709">
        <f t="shared" si="13"/>
        <v>100</v>
      </c>
      <c r="V35" s="708" t="s">
        <v>14</v>
      </c>
      <c r="W35" s="709">
        <f t="shared" si="14"/>
        <v>100</v>
      </c>
      <c r="X35" s="710"/>
      <c r="Y35" s="376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60"/>
      <c r="Q36" s="1351">
        <f t="shared" si="11"/>
        <v>111</v>
      </c>
      <c r="R36" s="705" t="s">
        <v>14</v>
      </c>
      <c r="S36" s="706">
        <f t="shared" si="12"/>
        <v>100</v>
      </c>
      <c r="T36" s="705" t="s">
        <v>14</v>
      </c>
      <c r="U36" s="706">
        <f t="shared" si="13"/>
        <v>100</v>
      </c>
      <c r="V36" s="705" t="s">
        <v>14</v>
      </c>
      <c r="W36" s="706">
        <f t="shared" si="14"/>
        <v>100</v>
      </c>
      <c r="X36" s="1354"/>
      <c r="Y36" s="3760"/>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53" t="str">
        <f>A37</f>
        <v>成交单价</v>
      </c>
      <c r="Q37" s="3753"/>
      <c r="R37" s="3754">
        <f>E37</f>
        <v>0</v>
      </c>
      <c r="S37" s="3754"/>
      <c r="T37" s="3754">
        <f>G37</f>
        <v>0</v>
      </c>
      <c r="U37" s="3754"/>
      <c r="V37" s="3754">
        <f>I37</f>
        <v>0</v>
      </c>
      <c r="W37" s="375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53" t="str">
        <f>A38</f>
        <v>比较价值（元/平方米）</v>
      </c>
      <c r="Q38" s="3753"/>
      <c r="R38" s="3754" t="e">
        <f>IF(F1="售价",ROUND(PRODUCT(R37,AA7:AA36),0),ROUND(PRODUCT(R37,AA7:AA36),1))</f>
        <v>#DIV/0!</v>
      </c>
      <c r="S38" s="3754"/>
      <c r="T38" s="3754" t="e">
        <f>IF(F1="售价",ROUND(PRODUCT(T37,AB7:AB36),0),ROUND(PRODUCT(T37,AB7:AB36),1))</f>
        <v>#DIV/0!</v>
      </c>
      <c r="U38" s="3754"/>
      <c r="V38" s="3754" t="e">
        <f>IF(F1="售价",ROUND(PRODUCT(V37,AC7:AC36),0),ROUND(PRODUCT(V37,AC7:AC36),1))</f>
        <v>#DIV/0!</v>
      </c>
      <c r="W38" s="375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50" t="str">
        <f>A39</f>
        <v>估价对象XX用房的比较价值（楼面单价，元/平方米）</v>
      </c>
      <c r="Q39" s="3751"/>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3" t="s">
        <v>1771</v>
      </c>
      <c r="S4" s="3724"/>
      <c r="T4" s="3723" t="s">
        <v>1772</v>
      </c>
      <c r="U4" s="3724"/>
      <c r="V4" s="3748" t="s">
        <v>1773</v>
      </c>
      <c r="W4" s="3748"/>
      <c r="X4" s="1354"/>
      <c r="Y4" s="3723" t="s">
        <v>1775</v>
      </c>
      <c r="Z4" s="3724"/>
      <c r="AA4" s="3718" t="s">
        <v>1771</v>
      </c>
      <c r="AB4" s="3719" t="s">
        <v>1772</v>
      </c>
      <c r="AC4" s="3718" t="s">
        <v>1773</v>
      </c>
    </row>
    <row r="5" spans="1:29" ht="15">
      <c r="A5" s="358"/>
      <c r="B5" s="359"/>
      <c r="C5" s="3729" t="s">
        <v>1673</v>
      </c>
      <c r="D5" s="3730"/>
      <c r="E5" s="3727" t="s">
        <v>1674</v>
      </c>
      <c r="F5" s="3728"/>
      <c r="G5" s="3729" t="s">
        <v>1675</v>
      </c>
      <c r="H5" s="3730"/>
      <c r="I5" s="3729" t="s">
        <v>1676</v>
      </c>
      <c r="J5" s="3730"/>
      <c r="K5" s="559"/>
      <c r="L5" s="2714"/>
      <c r="M5" s="2715"/>
      <c r="N5" s="2715"/>
      <c r="O5" s="2715"/>
      <c r="P5" s="3742"/>
      <c r="Q5" s="3743"/>
      <c r="R5" s="3725"/>
      <c r="S5" s="3726"/>
      <c r="T5" s="3725"/>
      <c r="U5" s="3726"/>
      <c r="V5" s="3748"/>
      <c r="W5" s="3748"/>
      <c r="X5" s="1354"/>
      <c r="Y5" s="3725"/>
      <c r="Z5" s="3726"/>
      <c r="AA5" s="3719"/>
      <c r="AB5" s="3719"/>
      <c r="AC5" s="3719"/>
    </row>
    <row r="6" spans="1:29" ht="15.75" thickBot="1">
      <c r="A6" s="360"/>
      <c r="B6" s="361"/>
      <c r="C6" s="3731" t="s">
        <v>1677</v>
      </c>
      <c r="D6" s="3732"/>
      <c r="E6" s="3733" t="s">
        <v>1677</v>
      </c>
      <c r="F6" s="3734"/>
      <c r="G6" s="3731" t="s">
        <v>1677</v>
      </c>
      <c r="H6" s="3732"/>
      <c r="I6" s="3731" t="s">
        <v>1677</v>
      </c>
      <c r="J6" s="3732"/>
      <c r="K6" s="559" t="s">
        <v>1678</v>
      </c>
      <c r="L6" s="2714"/>
      <c r="M6" s="2715"/>
      <c r="N6" s="2715"/>
      <c r="O6" s="2715"/>
      <c r="P6" s="3744"/>
      <c r="Q6" s="3745"/>
      <c r="R6" s="3725"/>
      <c r="S6" s="3726"/>
      <c r="T6" s="3746"/>
      <c r="U6" s="3747"/>
      <c r="V6" s="3748"/>
      <c r="W6" s="3748"/>
      <c r="X6" s="1354"/>
      <c r="Y6" s="3746"/>
      <c r="Z6" s="3747"/>
      <c r="AA6" s="3720"/>
      <c r="AB6" s="3720"/>
      <c r="AC6" s="3720"/>
    </row>
    <row r="7" spans="1:29" s="108" customFormat="1" ht="15.75" thickBot="1">
      <c r="A7" s="362" t="s">
        <v>1679</v>
      </c>
      <c r="B7" s="363"/>
      <c r="C7" s="364">
        <f>'数据-取费表'!B2</f>
        <v>45152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1" t="s">
        <v>1680</v>
      </c>
      <c r="Q7" s="3749"/>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3"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3"/>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3"/>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3"/>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55" t="s">
        <v>1691</v>
      </c>
      <c r="Q14" s="1351" t="str">
        <f t="shared" si="6"/>
        <v>交通便捷度</v>
      </c>
      <c r="R14" s="705" t="s">
        <v>14</v>
      </c>
      <c r="S14" s="706">
        <f t="shared" si="0"/>
        <v>100</v>
      </c>
      <c r="T14" s="705" t="s">
        <v>14</v>
      </c>
      <c r="U14" s="706">
        <f t="shared" si="1"/>
        <v>100</v>
      </c>
      <c r="V14" s="705" t="s">
        <v>14</v>
      </c>
      <c r="W14" s="706">
        <f t="shared" si="2"/>
        <v>100</v>
      </c>
      <c r="X14" s="1354"/>
      <c r="Y14" s="375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56"/>
      <c r="Q15" s="1351"/>
      <c r="R15" s="705"/>
      <c r="S15" s="706"/>
      <c r="T15" s="705"/>
      <c r="U15" s="706"/>
      <c r="V15" s="705"/>
      <c r="W15" s="706"/>
      <c r="X15" s="1354"/>
      <c r="Y15" s="375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6"/>
      <c r="Q16" s="1351" t="str">
        <f>B16</f>
        <v>公共配套设施</v>
      </c>
      <c r="R16" s="705" t="s">
        <v>14</v>
      </c>
      <c r="S16" s="706">
        <f>F16</f>
        <v>100</v>
      </c>
      <c r="T16" s="705" t="s">
        <v>14</v>
      </c>
      <c r="U16" s="706">
        <f>H16</f>
        <v>100</v>
      </c>
      <c r="V16" s="705" t="s">
        <v>14</v>
      </c>
      <c r="W16" s="706">
        <f>J16</f>
        <v>100</v>
      </c>
      <c r="X16" s="1354"/>
      <c r="Y16" s="375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56"/>
      <c r="Q17" s="1351"/>
      <c r="R17" s="705"/>
      <c r="S17" s="706"/>
      <c r="T17" s="705"/>
      <c r="U17" s="706"/>
      <c r="V17" s="705"/>
      <c r="W17" s="706"/>
      <c r="X17" s="1354"/>
      <c r="Y17" s="375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6"/>
      <c r="Q18" s="1351" t="str">
        <f>B18</f>
        <v>基础设施水平</v>
      </c>
      <c r="R18" s="705" t="s">
        <v>14</v>
      </c>
      <c r="S18" s="706">
        <f>F18</f>
        <v>100</v>
      </c>
      <c r="T18" s="705" t="s">
        <v>14</v>
      </c>
      <c r="U18" s="706">
        <f>H18</f>
        <v>100</v>
      </c>
      <c r="V18" s="705" t="s">
        <v>14</v>
      </c>
      <c r="W18" s="706">
        <f>J18</f>
        <v>100</v>
      </c>
      <c r="X18" s="1354"/>
      <c r="Y18" s="375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56"/>
      <c r="Q19" s="1351"/>
      <c r="R19" s="705"/>
      <c r="S19" s="706"/>
      <c r="T19" s="705"/>
      <c r="U19" s="706"/>
      <c r="V19" s="705"/>
      <c r="W19" s="706"/>
      <c r="X19" s="1354"/>
      <c r="Y19" s="375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6"/>
      <c r="Q20" s="1351" t="str">
        <f>B20</f>
        <v>自然及人文环境</v>
      </c>
      <c r="R20" s="705" t="s">
        <v>14</v>
      </c>
      <c r="S20" s="706">
        <f>F20</f>
        <v>100</v>
      </c>
      <c r="T20" s="705" t="s">
        <v>14</v>
      </c>
      <c r="U20" s="706">
        <f>H20</f>
        <v>100</v>
      </c>
      <c r="V20" s="705" t="s">
        <v>14</v>
      </c>
      <c r="W20" s="706">
        <f>J20</f>
        <v>100</v>
      </c>
      <c r="X20" s="1354"/>
      <c r="Y20" s="375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56"/>
      <c r="Q21" s="1351"/>
      <c r="R21" s="705"/>
      <c r="S21" s="706"/>
      <c r="T21" s="705"/>
      <c r="U21" s="706"/>
      <c r="V21" s="705"/>
      <c r="W21" s="706"/>
      <c r="X21" s="1354"/>
      <c r="Y21" s="375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6"/>
      <c r="Q22" s="1351" t="str">
        <f>B22</f>
        <v>楼层</v>
      </c>
      <c r="R22" s="705" t="s">
        <v>14</v>
      </c>
      <c r="S22" s="706">
        <f>F22</f>
        <v>100</v>
      </c>
      <c r="T22" s="705" t="s">
        <v>14</v>
      </c>
      <c r="U22" s="706">
        <f>H22</f>
        <v>100</v>
      </c>
      <c r="V22" s="705" t="s">
        <v>14</v>
      </c>
      <c r="W22" s="706">
        <f>J22</f>
        <v>100</v>
      </c>
      <c r="X22" s="1354"/>
      <c r="Y22" s="375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6"/>
      <c r="Q23" s="1351">
        <f>B23</f>
        <v>111</v>
      </c>
      <c r="R23" s="705" t="s">
        <v>14</v>
      </c>
      <c r="S23" s="706">
        <f>F23</f>
        <v>100</v>
      </c>
      <c r="T23" s="705" t="s">
        <v>14</v>
      </c>
      <c r="U23" s="706">
        <f>H23</f>
        <v>100</v>
      </c>
      <c r="V23" s="705" t="s">
        <v>14</v>
      </c>
      <c r="W23" s="706">
        <f>J23</f>
        <v>100</v>
      </c>
      <c r="X23" s="1354"/>
      <c r="Y23" s="375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6"/>
      <c r="Q24" s="1351">
        <f t="shared" ref="Q24:Q34" si="11">B24</f>
        <v>111</v>
      </c>
      <c r="R24" s="705" t="s">
        <v>14</v>
      </c>
      <c r="S24" s="706">
        <f>F24</f>
        <v>100</v>
      </c>
      <c r="T24" s="705" t="s">
        <v>14</v>
      </c>
      <c r="U24" s="706">
        <f>H24</f>
        <v>100</v>
      </c>
      <c r="V24" s="705" t="s">
        <v>14</v>
      </c>
      <c r="W24" s="706">
        <f>J24</f>
        <v>100</v>
      </c>
      <c r="X24" s="1354"/>
      <c r="Y24" s="375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6"/>
      <c r="Q25" s="1342">
        <f t="shared" si="11"/>
        <v>111</v>
      </c>
      <c r="R25" s="701" t="s">
        <v>14</v>
      </c>
      <c r="S25" s="702">
        <f>F25</f>
        <v>100</v>
      </c>
      <c r="T25" s="701" t="s">
        <v>14</v>
      </c>
      <c r="U25" s="702">
        <f>H25</f>
        <v>100</v>
      </c>
      <c r="V25" s="701" t="s">
        <v>14</v>
      </c>
      <c r="W25" s="702">
        <f>J25</f>
        <v>100</v>
      </c>
      <c r="X25" s="703"/>
      <c r="Y25" s="375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6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60"/>
      <c r="Q27" s="707" t="str">
        <f t="shared" si="11"/>
        <v>成新率</v>
      </c>
      <c r="R27" s="708" t="s">
        <v>14</v>
      </c>
      <c r="S27" s="709" t="e">
        <f t="shared" si="12"/>
        <v>#N/A</v>
      </c>
      <c r="T27" s="708" t="s">
        <v>14</v>
      </c>
      <c r="U27" s="709" t="e">
        <f t="shared" si="13"/>
        <v>#N/A</v>
      </c>
      <c r="V27" s="708" t="s">
        <v>14</v>
      </c>
      <c r="W27" s="709" t="e">
        <f t="shared" si="14"/>
        <v>#N/A</v>
      </c>
      <c r="X27" s="710"/>
      <c r="Y27" s="376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60"/>
      <c r="Q28" s="1351" t="str">
        <f t="shared" si="11"/>
        <v>物业等级</v>
      </c>
      <c r="R28" s="705" t="s">
        <v>14</v>
      </c>
      <c r="S28" s="706">
        <f t="shared" si="12"/>
        <v>100</v>
      </c>
      <c r="T28" s="705" t="s">
        <v>14</v>
      </c>
      <c r="U28" s="706">
        <f t="shared" si="13"/>
        <v>100</v>
      </c>
      <c r="V28" s="705" t="s">
        <v>14</v>
      </c>
      <c r="W28" s="706">
        <f t="shared" si="14"/>
        <v>100</v>
      </c>
      <c r="X28" s="1354"/>
      <c r="Y28" s="376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60"/>
      <c r="Q29" s="1351" t="str">
        <f t="shared" si="11"/>
        <v>有无电梯</v>
      </c>
      <c r="R29" s="705" t="s">
        <v>14</v>
      </c>
      <c r="S29" s="706">
        <f t="shared" si="12"/>
        <v>100</v>
      </c>
      <c r="T29" s="705" t="s">
        <v>14</v>
      </c>
      <c r="U29" s="706">
        <f t="shared" si="13"/>
        <v>100</v>
      </c>
      <c r="V29" s="705" t="s">
        <v>14</v>
      </c>
      <c r="W29" s="706">
        <f t="shared" si="14"/>
        <v>100</v>
      </c>
      <c r="X29" s="1354"/>
      <c r="Y29" s="376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60"/>
      <c r="Q30" s="1351" t="str">
        <f t="shared" si="11"/>
        <v>建筑面积</v>
      </c>
      <c r="R30" s="705" t="s">
        <v>14</v>
      </c>
      <c r="S30" s="706" t="e">
        <f t="shared" si="12"/>
        <v>#N/A</v>
      </c>
      <c r="T30" s="705" t="s">
        <v>14</v>
      </c>
      <c r="U30" s="706" t="e">
        <f t="shared" si="13"/>
        <v>#N/A</v>
      </c>
      <c r="V30" s="705" t="s">
        <v>14</v>
      </c>
      <c r="W30" s="706" t="e">
        <f t="shared" si="14"/>
        <v>#N/A</v>
      </c>
      <c r="X30" s="1354"/>
      <c r="Y30" s="376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60"/>
      <c r="Q31" s="1342" t="str">
        <f t="shared" si="11"/>
        <v>是否封闭</v>
      </c>
      <c r="R31" s="701" t="s">
        <v>14</v>
      </c>
      <c r="S31" s="702">
        <f t="shared" si="12"/>
        <v>100</v>
      </c>
      <c r="T31" s="701" t="s">
        <v>14</v>
      </c>
      <c r="U31" s="702">
        <f t="shared" si="13"/>
        <v>100</v>
      </c>
      <c r="V31" s="701" t="s">
        <v>14</v>
      </c>
      <c r="W31" s="702">
        <f t="shared" si="14"/>
        <v>100</v>
      </c>
      <c r="X31" s="703"/>
      <c r="Y31" s="376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60" t="s">
        <v>1696</v>
      </c>
      <c r="Q32" s="1351">
        <f t="shared" si="11"/>
        <v>111</v>
      </c>
      <c r="R32" s="705" t="s">
        <v>14</v>
      </c>
      <c r="S32" s="706">
        <f t="shared" si="12"/>
        <v>100</v>
      </c>
      <c r="T32" s="705" t="s">
        <v>14</v>
      </c>
      <c r="U32" s="706">
        <f t="shared" si="13"/>
        <v>100</v>
      </c>
      <c r="V32" s="705" t="s">
        <v>14</v>
      </c>
      <c r="W32" s="706">
        <f t="shared" si="14"/>
        <v>100</v>
      </c>
      <c r="X32" s="1354"/>
      <c r="Y32" s="376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60"/>
      <c r="Q33" s="1351">
        <f t="shared" si="11"/>
        <v>111</v>
      </c>
      <c r="R33" s="705" t="s">
        <v>14</v>
      </c>
      <c r="S33" s="706">
        <f t="shared" si="12"/>
        <v>100</v>
      </c>
      <c r="T33" s="705" t="s">
        <v>14</v>
      </c>
      <c r="U33" s="706">
        <f t="shared" si="13"/>
        <v>100</v>
      </c>
      <c r="V33" s="705" t="s">
        <v>14</v>
      </c>
      <c r="W33" s="706">
        <f t="shared" si="14"/>
        <v>100</v>
      </c>
      <c r="X33" s="1354"/>
      <c r="Y33" s="376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60"/>
      <c r="Q34" s="1351">
        <f t="shared" si="11"/>
        <v>111</v>
      </c>
      <c r="R34" s="705" t="s">
        <v>14</v>
      </c>
      <c r="S34" s="706">
        <f t="shared" si="12"/>
        <v>100</v>
      </c>
      <c r="T34" s="705" t="s">
        <v>14</v>
      </c>
      <c r="U34" s="706">
        <f t="shared" si="13"/>
        <v>100</v>
      </c>
      <c r="V34" s="705" t="s">
        <v>14</v>
      </c>
      <c r="W34" s="706">
        <f t="shared" si="14"/>
        <v>100</v>
      </c>
      <c r="X34" s="1354"/>
      <c r="Y34" s="376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53" t="str">
        <f>A35</f>
        <v>成交单价（元/平方米）</v>
      </c>
      <c r="Q35" s="3753"/>
      <c r="R35" s="3754">
        <f>E35</f>
        <v>0</v>
      </c>
      <c r="S35" s="3754"/>
      <c r="T35" s="3754">
        <f>G35</f>
        <v>0</v>
      </c>
      <c r="U35" s="3754"/>
      <c r="V35" s="3754">
        <f>I35</f>
        <v>0</v>
      </c>
      <c r="W35" s="375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53" t="str">
        <f>A36</f>
        <v>比较价值（元/平方米）</v>
      </c>
      <c r="Q36" s="3753"/>
      <c r="R36" s="3754" t="e">
        <f>IF(F1="售价",ROUND(PRODUCT(R35,AA7:AA34),0),ROUND(PRODUCT(R35,AA7:AA34),1))</f>
        <v>#DIV/0!</v>
      </c>
      <c r="S36" s="3754"/>
      <c r="T36" s="3754" t="e">
        <f>IF(F1="售价",ROUND(PRODUCT(T35,AB7:AB34),0),ROUND(PRODUCT(T35,AB7:AB34),1))</f>
        <v>#DIV/0!</v>
      </c>
      <c r="U36" s="3754"/>
      <c r="V36" s="3754" t="e">
        <f>IF(F1="售价",ROUND(PRODUCT(V35,AC7:AC34),0),ROUND(PRODUCT(V35,AC7:AC34),1))</f>
        <v>#DIV/0!</v>
      </c>
      <c r="W36" s="375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50" t="str">
        <f>A37</f>
        <v>估价对象XX用房的比较价值（楼面单价，元/平方米）</v>
      </c>
      <c r="Q37" s="3751"/>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6" t="s">
        <v>1770</v>
      </c>
      <c r="D4" s="3737"/>
      <c r="E4" s="3738" t="s">
        <v>1771</v>
      </c>
      <c r="F4" s="3739"/>
      <c r="G4" s="3736" t="s">
        <v>1772</v>
      </c>
      <c r="H4" s="3737"/>
      <c r="I4" s="3736" t="s">
        <v>1773</v>
      </c>
      <c r="J4" s="3737"/>
      <c r="K4" s="559" t="s">
        <v>1774</v>
      </c>
      <c r="L4" s="2714"/>
      <c r="M4" s="2715"/>
      <c r="N4" s="2715"/>
      <c r="O4" s="2715"/>
      <c r="P4" s="3740" t="s">
        <v>1775</v>
      </c>
      <c r="Q4" s="3741"/>
      <c r="R4" s="3723" t="s">
        <v>1771</v>
      </c>
      <c r="S4" s="3724"/>
      <c r="T4" s="3723" t="s">
        <v>1772</v>
      </c>
      <c r="U4" s="3724"/>
      <c r="V4" s="3748" t="s">
        <v>1773</v>
      </c>
      <c r="W4" s="3748"/>
      <c r="X4" s="1354"/>
      <c r="Y4" s="3723" t="s">
        <v>1775</v>
      </c>
      <c r="Z4" s="3724"/>
      <c r="AA4" s="3718" t="s">
        <v>1771</v>
      </c>
      <c r="AB4" s="3719" t="s">
        <v>1772</v>
      </c>
      <c r="AC4" s="3718" t="s">
        <v>1773</v>
      </c>
    </row>
    <row r="5" spans="1:29" ht="15">
      <c r="A5" s="358"/>
      <c r="B5" s="359"/>
      <c r="C5" s="3729" t="s">
        <v>1673</v>
      </c>
      <c r="D5" s="3730"/>
      <c r="E5" s="3727" t="s">
        <v>1674</v>
      </c>
      <c r="F5" s="3728"/>
      <c r="G5" s="3729" t="s">
        <v>1675</v>
      </c>
      <c r="H5" s="3730"/>
      <c r="I5" s="3729" t="s">
        <v>1676</v>
      </c>
      <c r="J5" s="3730"/>
      <c r="K5" s="559"/>
      <c r="L5" s="2714"/>
      <c r="M5" s="2715"/>
      <c r="N5" s="2715"/>
      <c r="O5" s="2715"/>
      <c r="P5" s="3742"/>
      <c r="Q5" s="3743"/>
      <c r="R5" s="3725"/>
      <c r="S5" s="3726"/>
      <c r="T5" s="3725"/>
      <c r="U5" s="3726"/>
      <c r="V5" s="3748"/>
      <c r="W5" s="3748"/>
      <c r="X5" s="1354"/>
      <c r="Y5" s="3725"/>
      <c r="Z5" s="3726"/>
      <c r="AA5" s="3719"/>
      <c r="AB5" s="3719"/>
      <c r="AC5" s="3719"/>
    </row>
    <row r="6" spans="1:29" ht="15.75" thickBot="1">
      <c r="A6" s="360"/>
      <c r="B6" s="361"/>
      <c r="C6" s="3794" t="s">
        <v>1919</v>
      </c>
      <c r="D6" s="3795"/>
      <c r="E6" s="3796" t="s">
        <v>1919</v>
      </c>
      <c r="F6" s="3797"/>
      <c r="G6" s="3794" t="s">
        <v>1919</v>
      </c>
      <c r="H6" s="3795"/>
      <c r="I6" s="3794" t="s">
        <v>1919</v>
      </c>
      <c r="J6" s="3795"/>
      <c r="K6" s="559" t="s">
        <v>1678</v>
      </c>
      <c r="L6" s="2714"/>
      <c r="M6" s="2715"/>
      <c r="N6" s="2715"/>
      <c r="O6" s="2715"/>
      <c r="P6" s="3744"/>
      <c r="Q6" s="3745"/>
      <c r="R6" s="3725"/>
      <c r="S6" s="3726"/>
      <c r="T6" s="3746"/>
      <c r="U6" s="3747"/>
      <c r="V6" s="3748"/>
      <c r="W6" s="3748"/>
      <c r="X6" s="1354"/>
      <c r="Y6" s="3746"/>
      <c r="Z6" s="3747"/>
      <c r="AA6" s="3720"/>
      <c r="AB6" s="3720"/>
      <c r="AC6" s="3720"/>
    </row>
    <row r="7" spans="1:29" s="108" customFormat="1" ht="15.75" thickBot="1">
      <c r="A7" s="362" t="s">
        <v>1679</v>
      </c>
      <c r="B7" s="363"/>
      <c r="C7" s="364">
        <f>'数据-取费表'!B2</f>
        <v>45152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1" t="s">
        <v>1680</v>
      </c>
      <c r="Q7" s="3749"/>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53"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8"/>
      <c r="M10" s="2719"/>
      <c r="N10" s="2719"/>
      <c r="O10" s="2772"/>
      <c r="P10" s="3753"/>
      <c r="Q10" s="1342" t="str">
        <f t="shared" si="6"/>
        <v>土地使用年限（年）</v>
      </c>
      <c r="R10" s="701" t="s">
        <v>14</v>
      </c>
      <c r="S10" s="702">
        <f t="shared" si="0"/>
        <v>128</v>
      </c>
      <c r="T10" s="701" t="s">
        <v>14</v>
      </c>
      <c r="U10" s="702">
        <f t="shared" si="1"/>
        <v>128</v>
      </c>
      <c r="V10" s="701" t="s">
        <v>14</v>
      </c>
      <c r="W10" s="702">
        <f t="shared" si="2"/>
        <v>128</v>
      </c>
      <c r="X10" s="703"/>
      <c r="Y10" s="3646"/>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3"/>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3"/>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3"/>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3"/>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55" t="s">
        <v>1691</v>
      </c>
      <c r="Q15" s="1351" t="str">
        <f t="shared" si="6"/>
        <v>产业集聚程度</v>
      </c>
      <c r="R15" s="705" t="s">
        <v>14</v>
      </c>
      <c r="S15" s="706">
        <f t="shared" si="0"/>
        <v>100</v>
      </c>
      <c r="T15" s="705" t="s">
        <v>14</v>
      </c>
      <c r="U15" s="706">
        <f t="shared" si="1"/>
        <v>100</v>
      </c>
      <c r="V15" s="705" t="s">
        <v>14</v>
      </c>
      <c r="W15" s="706">
        <f t="shared" si="2"/>
        <v>100</v>
      </c>
      <c r="X15" s="1354"/>
      <c r="Y15" s="375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56"/>
      <c r="Q16" s="1351"/>
      <c r="R16" s="705"/>
      <c r="S16" s="706"/>
      <c r="T16" s="705"/>
      <c r="U16" s="706"/>
      <c r="V16" s="705"/>
      <c r="W16" s="706"/>
      <c r="X16" s="1354"/>
      <c r="Y16" s="375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6"/>
      <c r="Q17" s="1351" t="str">
        <f>B17</f>
        <v>交通便捷度</v>
      </c>
      <c r="R17" s="705" t="s">
        <v>14</v>
      </c>
      <c r="S17" s="706">
        <f>F17</f>
        <v>100</v>
      </c>
      <c r="T17" s="705" t="s">
        <v>14</v>
      </c>
      <c r="U17" s="706">
        <f>H17</f>
        <v>100</v>
      </c>
      <c r="V17" s="705" t="s">
        <v>14</v>
      </c>
      <c r="W17" s="706">
        <f>J17</f>
        <v>100</v>
      </c>
      <c r="X17" s="1354"/>
      <c r="Y17" s="375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56"/>
      <c r="Q18" s="1351"/>
      <c r="R18" s="705"/>
      <c r="S18" s="706"/>
      <c r="T18" s="705"/>
      <c r="U18" s="706"/>
      <c r="V18" s="705"/>
      <c r="W18" s="706"/>
      <c r="X18" s="1354"/>
      <c r="Y18" s="375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6"/>
      <c r="Q19" s="1351" t="str">
        <f t="shared" ref="Q19:Q33" si="8">B19</f>
        <v>区域土地利用方向</v>
      </c>
      <c r="R19" s="705" t="s">
        <v>14</v>
      </c>
      <c r="S19" s="706">
        <f>F19</f>
        <v>100</v>
      </c>
      <c r="T19" s="705" t="s">
        <v>14</v>
      </c>
      <c r="U19" s="706">
        <f>H19</f>
        <v>100</v>
      </c>
      <c r="V19" s="705" t="s">
        <v>14</v>
      </c>
      <c r="W19" s="706">
        <f>J19</f>
        <v>100</v>
      </c>
      <c r="X19" s="1354"/>
      <c r="Y19" s="375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56"/>
      <c r="Q20" s="1351"/>
      <c r="R20" s="705"/>
      <c r="S20" s="706"/>
      <c r="T20" s="705"/>
      <c r="U20" s="706"/>
      <c r="V20" s="705"/>
      <c r="W20" s="706"/>
      <c r="X20" s="1354"/>
      <c r="Y20" s="375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6"/>
      <c r="Q21" s="1351" t="str">
        <f t="shared" si="8"/>
        <v>环境状况</v>
      </c>
      <c r="R21" s="705" t="s">
        <v>14</v>
      </c>
      <c r="S21" s="706">
        <f>F21</f>
        <v>100</v>
      </c>
      <c r="T21" s="705" t="s">
        <v>14</v>
      </c>
      <c r="U21" s="706">
        <f>H21</f>
        <v>100</v>
      </c>
      <c r="V21" s="705" t="s">
        <v>14</v>
      </c>
      <c r="W21" s="706">
        <f>J21</f>
        <v>100</v>
      </c>
      <c r="X21" s="1354"/>
      <c r="Y21" s="375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56"/>
      <c r="Q22" s="1351"/>
      <c r="R22" s="705"/>
      <c r="S22" s="706"/>
      <c r="T22" s="705"/>
      <c r="U22" s="706"/>
      <c r="V22" s="705"/>
      <c r="W22" s="706"/>
      <c r="X22" s="1354"/>
      <c r="Y22" s="375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6"/>
      <c r="Q23" s="1342" t="str">
        <f t="shared" si="8"/>
        <v>公共配套设施</v>
      </c>
      <c r="R23" s="701" t="s">
        <v>14</v>
      </c>
      <c r="S23" s="702">
        <f>F23</f>
        <v>100</v>
      </c>
      <c r="T23" s="701" t="s">
        <v>14</v>
      </c>
      <c r="U23" s="702">
        <f>H23</f>
        <v>100</v>
      </c>
      <c r="V23" s="701" t="s">
        <v>14</v>
      </c>
      <c r="W23" s="702">
        <f>J23</f>
        <v>100</v>
      </c>
      <c r="X23" s="703"/>
      <c r="Y23" s="375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56"/>
      <c r="Q24" s="1342"/>
      <c r="R24" s="701"/>
      <c r="S24" s="702"/>
      <c r="T24" s="701"/>
      <c r="U24" s="702"/>
      <c r="V24" s="701"/>
      <c r="W24" s="702"/>
      <c r="X24" s="703"/>
      <c r="Y24" s="375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6"/>
      <c r="Q25" s="1342" t="str">
        <f t="shared" ref="Q25" si="9">B25</f>
        <v>基础设施水平</v>
      </c>
      <c r="R25" s="701" t="s">
        <v>14</v>
      </c>
      <c r="S25" s="702">
        <f>F25</f>
        <v>100</v>
      </c>
      <c r="T25" s="701" t="s">
        <v>14</v>
      </c>
      <c r="U25" s="702">
        <f>H25</f>
        <v>100</v>
      </c>
      <c r="V25" s="701" t="s">
        <v>14</v>
      </c>
      <c r="W25" s="702">
        <f>J25</f>
        <v>100</v>
      </c>
      <c r="X25" s="703"/>
      <c r="Y25" s="375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56"/>
      <c r="Q26" s="1342"/>
      <c r="R26" s="701"/>
      <c r="S26" s="702"/>
      <c r="T26" s="701"/>
      <c r="U26" s="702"/>
      <c r="V26" s="701"/>
      <c r="W26" s="702"/>
      <c r="X26" s="703"/>
      <c r="Y26" s="37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6"/>
      <c r="Q28" s="1351" t="str">
        <f t="shared" si="8"/>
        <v>毗邻道路的类型与等级</v>
      </c>
      <c r="R28" s="705" t="s">
        <v>14</v>
      </c>
      <c r="S28" s="706">
        <f t="shared" si="10"/>
        <v>100</v>
      </c>
      <c r="T28" s="705" t="s">
        <v>14</v>
      </c>
      <c r="U28" s="706">
        <f t="shared" si="11"/>
        <v>100</v>
      </c>
      <c r="V28" s="705" t="s">
        <v>14</v>
      </c>
      <c r="W28" s="706">
        <f t="shared" si="12"/>
        <v>100</v>
      </c>
      <c r="X28" s="1354"/>
      <c r="Y28" s="375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56"/>
      <c r="Q29" s="1351"/>
      <c r="R29" s="705"/>
      <c r="S29" s="706"/>
      <c r="T29" s="705"/>
      <c r="U29" s="706"/>
      <c r="V29" s="705"/>
      <c r="W29" s="706"/>
      <c r="X29" s="1354"/>
      <c r="Y29" s="375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6"/>
      <c r="Q30" s="1351" t="str">
        <f t="shared" si="8"/>
        <v>土地级别</v>
      </c>
      <c r="R30" s="705" t="s">
        <v>14</v>
      </c>
      <c r="S30" s="706">
        <f t="shared" si="10"/>
        <v>100</v>
      </c>
      <c r="T30" s="705" t="s">
        <v>14</v>
      </c>
      <c r="U30" s="706">
        <f t="shared" si="11"/>
        <v>100</v>
      </c>
      <c r="V30" s="705" t="s">
        <v>14</v>
      </c>
      <c r="W30" s="706">
        <f t="shared" si="12"/>
        <v>100</v>
      </c>
      <c r="X30" s="1354"/>
      <c r="Y30" s="375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6"/>
      <c r="Q31" s="1351">
        <f t="shared" si="8"/>
        <v>111</v>
      </c>
      <c r="R31" s="705" t="s">
        <v>14</v>
      </c>
      <c r="S31" s="706">
        <f t="shared" si="10"/>
        <v>100</v>
      </c>
      <c r="T31" s="705" t="s">
        <v>14</v>
      </c>
      <c r="U31" s="706">
        <f t="shared" si="11"/>
        <v>100</v>
      </c>
      <c r="V31" s="705" t="s">
        <v>14</v>
      </c>
      <c r="W31" s="706">
        <f t="shared" si="12"/>
        <v>100</v>
      </c>
      <c r="X31" s="1354"/>
      <c r="Y31" s="375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4" t="s">
        <v>1696</v>
      </c>
      <c r="Q32" s="1351">
        <f t="shared" si="8"/>
        <v>111</v>
      </c>
      <c r="R32" s="705" t="s">
        <v>14</v>
      </c>
      <c r="S32" s="706">
        <f t="shared" si="10"/>
        <v>100</v>
      </c>
      <c r="T32" s="705" t="s">
        <v>14</v>
      </c>
      <c r="U32" s="706">
        <f t="shared" si="11"/>
        <v>100</v>
      </c>
      <c r="V32" s="705" t="s">
        <v>14</v>
      </c>
      <c r="W32" s="706">
        <f t="shared" si="12"/>
        <v>100</v>
      </c>
      <c r="X32" s="1354"/>
      <c r="Y32" s="376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60"/>
      <c r="Q33" s="1351">
        <f t="shared" si="8"/>
        <v>111</v>
      </c>
      <c r="R33" s="708" t="s">
        <v>14</v>
      </c>
      <c r="S33" s="709">
        <f t="shared" si="10"/>
        <v>100</v>
      </c>
      <c r="T33" s="708" t="s">
        <v>14</v>
      </c>
      <c r="U33" s="709">
        <f t="shared" si="11"/>
        <v>100</v>
      </c>
      <c r="V33" s="708" t="s">
        <v>14</v>
      </c>
      <c r="W33" s="709">
        <f t="shared" si="12"/>
        <v>100</v>
      </c>
      <c r="X33" s="710"/>
      <c r="Y33" s="376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60"/>
      <c r="Q34" s="1351" t="str">
        <f>B34</f>
        <v>宗地面积</v>
      </c>
      <c r="R34" s="705" t="s">
        <v>14</v>
      </c>
      <c r="S34" s="706" t="e">
        <f t="shared" si="10"/>
        <v>#N/A</v>
      </c>
      <c r="T34" s="705" t="s">
        <v>14</v>
      </c>
      <c r="U34" s="706" t="e">
        <f t="shared" si="11"/>
        <v>#N/A</v>
      </c>
      <c r="V34" s="705" t="s">
        <v>14</v>
      </c>
      <c r="W34" s="706" t="e">
        <f t="shared" si="12"/>
        <v>#N/A</v>
      </c>
      <c r="X34" s="1354"/>
      <c r="Y34" s="376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60"/>
      <c r="Q35" s="1351" t="str">
        <f t="shared" ref="Q35:Q40" si="14">B35</f>
        <v>宗地形状</v>
      </c>
      <c r="R35" s="705" t="s">
        <v>14</v>
      </c>
      <c r="S35" s="706">
        <f t="shared" si="10"/>
        <v>100</v>
      </c>
      <c r="T35" s="705" t="s">
        <v>14</v>
      </c>
      <c r="U35" s="706">
        <f t="shared" si="11"/>
        <v>100</v>
      </c>
      <c r="V35" s="705" t="s">
        <v>14</v>
      </c>
      <c r="W35" s="706">
        <f t="shared" si="12"/>
        <v>100</v>
      </c>
      <c r="X35" s="1354"/>
      <c r="Y35" s="376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60"/>
      <c r="Q36" s="1351" t="str">
        <f t="shared" si="14"/>
        <v>宗地开发程度</v>
      </c>
      <c r="R36" s="701" t="s">
        <v>14</v>
      </c>
      <c r="S36" s="702">
        <f t="shared" si="10"/>
        <v>100</v>
      </c>
      <c r="T36" s="701" t="s">
        <v>14</v>
      </c>
      <c r="U36" s="702">
        <f t="shared" si="11"/>
        <v>100</v>
      </c>
      <c r="V36" s="701" t="s">
        <v>14</v>
      </c>
      <c r="W36" s="702">
        <f t="shared" si="12"/>
        <v>100</v>
      </c>
      <c r="X36" s="703"/>
      <c r="Y36" s="376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60" t="s">
        <v>1696</v>
      </c>
      <c r="Q37" s="1351" t="str">
        <f t="shared" si="14"/>
        <v>工程地质条件</v>
      </c>
      <c r="R37" s="705" t="s">
        <v>14</v>
      </c>
      <c r="S37" s="706">
        <f t="shared" si="10"/>
        <v>100</v>
      </c>
      <c r="T37" s="705" t="s">
        <v>14</v>
      </c>
      <c r="U37" s="706">
        <f t="shared" si="11"/>
        <v>100</v>
      </c>
      <c r="V37" s="705" t="s">
        <v>14</v>
      </c>
      <c r="W37" s="706">
        <f t="shared" si="12"/>
        <v>100</v>
      </c>
      <c r="X37" s="1354"/>
      <c r="Y37" s="376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60"/>
      <c r="Q38" s="1351">
        <f t="shared" si="14"/>
        <v>111</v>
      </c>
      <c r="R38" s="705" t="s">
        <v>14</v>
      </c>
      <c r="S38" s="706">
        <f t="shared" si="10"/>
        <v>100</v>
      </c>
      <c r="T38" s="705" t="s">
        <v>14</v>
      </c>
      <c r="U38" s="706">
        <f t="shared" si="11"/>
        <v>100</v>
      </c>
      <c r="V38" s="705" t="s">
        <v>14</v>
      </c>
      <c r="W38" s="706">
        <f t="shared" si="12"/>
        <v>100</v>
      </c>
      <c r="X38" s="1354"/>
      <c r="Y38" s="376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60"/>
      <c r="Q39" s="1351">
        <f t="shared" si="14"/>
        <v>111</v>
      </c>
      <c r="R39" s="705" t="s">
        <v>14</v>
      </c>
      <c r="S39" s="706">
        <f t="shared" si="10"/>
        <v>100</v>
      </c>
      <c r="T39" s="705" t="s">
        <v>14</v>
      </c>
      <c r="U39" s="706">
        <f t="shared" si="11"/>
        <v>100</v>
      </c>
      <c r="V39" s="705" t="s">
        <v>14</v>
      </c>
      <c r="W39" s="706">
        <f t="shared" si="12"/>
        <v>100</v>
      </c>
      <c r="X39" s="1354"/>
      <c r="Y39" s="376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60"/>
      <c r="Q40" s="1351">
        <f t="shared" si="14"/>
        <v>111</v>
      </c>
      <c r="R40" s="708" t="s">
        <v>14</v>
      </c>
      <c r="S40" s="709">
        <f t="shared" si="10"/>
        <v>100</v>
      </c>
      <c r="T40" s="708" t="s">
        <v>14</v>
      </c>
      <c r="U40" s="709">
        <f t="shared" si="11"/>
        <v>100</v>
      </c>
      <c r="V40" s="708" t="s">
        <v>14</v>
      </c>
      <c r="W40" s="709">
        <f t="shared" si="12"/>
        <v>100</v>
      </c>
      <c r="X40" s="710"/>
      <c r="Y40" s="376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53" t="str">
        <f>A41</f>
        <v>成交单价</v>
      </c>
      <c r="Q41" s="3753"/>
      <c r="R41" s="3748">
        <f>E41</f>
        <v>0</v>
      </c>
      <c r="S41" s="3748"/>
      <c r="T41" s="3748">
        <f>G41</f>
        <v>0</v>
      </c>
      <c r="U41" s="3748"/>
      <c r="V41" s="3748">
        <f>I41</f>
        <v>0</v>
      </c>
      <c r="W41" s="374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53" t="str">
        <f>A42</f>
        <v>比较价值（元/平方米）</v>
      </c>
      <c r="Q42" s="3753"/>
      <c r="R42" s="3765" t="e">
        <f>ROUND(PRODUCT(R41,AA7:AA40),0)</f>
        <v>#DIV/0!</v>
      </c>
      <c r="S42" s="3765"/>
      <c r="T42" s="3765" t="e">
        <f>ROUND(PRODUCT(T41,AB7:AB40),0)</f>
        <v>#DIV/0!</v>
      </c>
      <c r="U42" s="3765"/>
      <c r="V42" s="3765" t="e">
        <f>ROUND(PRODUCT(V41,AC7:AC40),0)</f>
        <v>#DIV/0!</v>
      </c>
      <c r="W42" s="376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50" t="str">
        <f>A43</f>
        <v>估价对象XX用房的比较价值（楼面单价，元/平方米）</v>
      </c>
      <c r="Q43" s="3751"/>
      <c r="R43" s="3766" t="e">
        <f>ROUND(IF(D42="简单平均",AVERAGE(R42:W42),R42*F42+T42*H42+V42*J42),0)</f>
        <v>#DIV/0!</v>
      </c>
      <c r="S43" s="3766"/>
      <c r="T43" s="3766"/>
      <c r="U43" s="3766"/>
      <c r="V43" s="3766"/>
      <c r="W43" s="376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24964.55</v>
      </c>
      <c r="F51" s="639" t="e">
        <f t="shared" ref="F51:F60" si="15">ROUND(B51*E51/10000,0)</f>
        <v>#DIV/0!</v>
      </c>
      <c r="G51" s="3735"/>
      <c r="H51" s="375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五级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五级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五级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3559.58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五级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10186.06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1" t="s">
        <v>2084</v>
      </c>
      <c r="D1" s="3802"/>
      <c r="E1" s="3802"/>
      <c r="F1" s="3802"/>
      <c r="G1" s="3802"/>
      <c r="H1" s="3802"/>
      <c r="I1" s="3802"/>
      <c r="J1" s="3802"/>
      <c r="K1" s="3802"/>
      <c r="L1" s="3802"/>
      <c r="M1" s="3802"/>
      <c r="N1" s="3802"/>
      <c r="O1" s="3802"/>
      <c r="P1" s="3802"/>
      <c r="Q1" s="3802"/>
      <c r="R1" s="3802"/>
      <c r="S1" s="380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50">
        <f ca="1">结果表!H101</f>
        <v>95801</v>
      </c>
      <c r="E5" s="1490"/>
    </row>
    <row r="6" spans="1:5" ht="15.75">
      <c r="A6" s="1490"/>
      <c r="B6" s="3489"/>
      <c r="C6" s="1493" t="s">
        <v>911</v>
      </c>
      <c r="D6" s="850" t="str">
        <f ca="1">NUMBERSTRING(INT(D5*10000),2)&amp;"元整"</f>
        <v>玖亿伍仟捌佰零壹万元整</v>
      </c>
      <c r="E6" s="1490"/>
    </row>
    <row r="7" spans="1:5" ht="15.75">
      <c r="A7" s="1490"/>
      <c r="B7" s="3494"/>
      <c r="C7" s="1494" t="s">
        <v>912</v>
      </c>
      <c r="D7" s="851">
        <f ca="1">结果表!H102</f>
        <v>27576</v>
      </c>
      <c r="E7" s="1490"/>
    </row>
    <row r="8" spans="1:5" ht="15.75">
      <c r="A8" s="1490"/>
      <c r="B8" s="3495" t="str">
        <f>结果表!E103</f>
        <v>2.估价师知悉的法定优先受偿款</v>
      </c>
      <c r="C8" s="1495" t="s">
        <v>913</v>
      </c>
      <c r="D8" s="851">
        <f>结果表!H103</f>
        <v>0</v>
      </c>
      <c r="E8" s="1490"/>
    </row>
    <row r="9" spans="1:5" ht="15.75">
      <c r="A9" s="1490"/>
      <c r="B9" s="349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8" t="str">
        <f>结果表!E107</f>
        <v>3.房地产抵押价值</v>
      </c>
      <c r="C13" s="1498" t="s">
        <v>910</v>
      </c>
      <c r="D13" s="853">
        <f ca="1">结果表!H107</f>
        <v>95801</v>
      </c>
      <c r="E13" s="1490"/>
    </row>
    <row r="14" spans="1:5" ht="15.75">
      <c r="A14" s="1490"/>
      <c r="B14" s="3489"/>
      <c r="C14" s="1493" t="s">
        <v>911</v>
      </c>
      <c r="D14" s="850" t="str">
        <f ca="1">NUMBERSTRING(INT(D13*10000),2)&amp;"元整"</f>
        <v>玖亿伍仟捌佰零壹万元整</v>
      </c>
      <c r="E14" s="1490"/>
    </row>
    <row r="15" spans="1:5" ht="15">
      <c r="A15" s="1490"/>
      <c r="B15" s="3494"/>
      <c r="C15" s="1494" t="s">
        <v>921</v>
      </c>
      <c r="D15" s="859">
        <f ca="1">结果表!H108</f>
        <v>27576</v>
      </c>
      <c r="E15" s="1490"/>
    </row>
    <row r="16" spans="1:5" ht="15">
      <c r="A16" s="1490"/>
      <c r="B16" s="3495" t="str">
        <f>结果表!E109</f>
        <v>——</v>
      </c>
      <c r="C16" s="1498" t="s">
        <v>922</v>
      </c>
      <c r="D16" s="1499" t="str">
        <f>结果表!H109</f>
        <v>——</v>
      </c>
      <c r="E16" s="1490"/>
    </row>
    <row r="17" spans="1:5" ht="15.75">
      <c r="A17" s="1490"/>
      <c r="B17" s="3496"/>
      <c r="C17" s="1493" t="s">
        <v>923</v>
      </c>
      <c r="D17" s="850" t="e">
        <f>NUMBERSTRING(INT(D16*10000),2)&amp;"元整"</f>
        <v>#VALUE!</v>
      </c>
      <c r="E17" s="1490"/>
    </row>
    <row r="18" spans="1:5" ht="15">
      <c r="A18" s="1490"/>
      <c r="B18" s="3497"/>
      <c r="C18" s="1494" t="s">
        <v>912</v>
      </c>
      <c r="D18" s="859" t="str">
        <f>结果表!H110</f>
        <v>——</v>
      </c>
      <c r="E18" s="1490"/>
    </row>
    <row r="19" spans="1:5" ht="15.75">
      <c r="A19" s="1490"/>
      <c r="B19" s="3488" t="str">
        <f>结果表!E111</f>
        <v>4.抵押净值</v>
      </c>
      <c r="C19" s="1498" t="s">
        <v>910</v>
      </c>
      <c r="D19" s="851">
        <f ca="1">结果表!H111</f>
        <v>68222</v>
      </c>
      <c r="E19" s="1490"/>
    </row>
    <row r="20" spans="1:5" ht="15.75">
      <c r="A20" s="1490"/>
      <c r="B20" s="3489"/>
      <c r="C20" s="1493" t="s">
        <v>923</v>
      </c>
      <c r="D20" s="850" t="str">
        <f ca="1">NUMBERSTRING(INT(D19*10000),2)&amp;"元整"</f>
        <v>陆亿捌仟贰佰贰拾贰万元整</v>
      </c>
      <c r="E20" s="1490"/>
    </row>
    <row r="21" spans="1:5" ht="15.75" thickBot="1">
      <c r="A21" s="1490"/>
      <c r="B21" s="3490"/>
      <c r="C21" s="1500" t="s">
        <v>921</v>
      </c>
      <c r="D21" s="860">
        <f ca="1">结果表!H112</f>
        <v>19637</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42053</v>
      </c>
      <c r="C2" s="2144" t="s">
        <v>2074</v>
      </c>
      <c r="D2" s="2144" t="s">
        <v>2075</v>
      </c>
      <c r="E2" s="2611">
        <f ca="1">SUMIF(E6:E13,"&lt;&gt;#ref!",E6:E13)</f>
        <v>34740.85</v>
      </c>
      <c r="F2" s="2792"/>
      <c r="G2" s="2792"/>
      <c r="H2" s="2792"/>
      <c r="I2" s="2792"/>
      <c r="J2" s="2792"/>
      <c r="K2" s="2792"/>
      <c r="L2" s="2792"/>
      <c r="M2" s="2792"/>
      <c r="N2" s="2792"/>
      <c r="O2" s="2792"/>
      <c r="P2" s="2792"/>
    </row>
    <row r="3" spans="1:16" ht="15.75">
      <c r="A3" s="2144" t="s">
        <v>2076</v>
      </c>
      <c r="B3" s="2601">
        <f ca="1">ROUND(B2*10000/E2,0)</f>
        <v>12105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42053</v>
      </c>
      <c r="C6" s="2144" t="s">
        <v>2074</v>
      </c>
      <c r="D6" s="2792"/>
      <c r="E6" s="2611">
        <f ca="1">SUMIF(INDIRECT("'"&amp;A6&amp;"'"&amp;"!C:C"),"建筑面积",INDIRECT("'"&amp;A6&amp;"'"&amp;"!D:D"))</f>
        <v>34740.85</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11" t="s">
        <v>2611</v>
      </c>
      <c r="B20" s="3804" t="s">
        <v>2632</v>
      </c>
      <c r="C20" s="3102" t="s">
        <v>2443</v>
      </c>
      <c r="D20" s="3103"/>
      <c r="E20" s="3104">
        <v>1</v>
      </c>
      <c r="F20" s="3105" t="s">
        <v>2444</v>
      </c>
      <c r="G20" s="3105"/>
    </row>
    <row r="21" spans="1:13" ht="19.5" customHeight="1">
      <c r="A21" s="3812"/>
      <c r="B21" s="3805"/>
      <c r="C21" s="3106" t="s">
        <v>2445</v>
      </c>
      <c r="D21" s="3107"/>
      <c r="E21" s="3108">
        <v>1</v>
      </c>
      <c r="F21" s="3105" t="s">
        <v>2446</v>
      </c>
      <c r="G21" s="3105"/>
    </row>
    <row r="22" spans="1:13" ht="19.5" customHeight="1">
      <c r="A22" s="3812"/>
      <c r="B22" s="3805"/>
      <c r="C22" s="3106" t="s">
        <v>2447</v>
      </c>
      <c r="D22" s="3107"/>
      <c r="E22" s="3108">
        <v>0.9</v>
      </c>
      <c r="F22" s="3105" t="s">
        <v>2448</v>
      </c>
      <c r="G22" s="3105"/>
    </row>
    <row r="23" spans="1:13" ht="19.5" customHeight="1">
      <c r="A23" s="3812"/>
      <c r="B23" s="3805"/>
      <c r="C23" s="3106" t="s">
        <v>2449</v>
      </c>
      <c r="D23" s="3107"/>
      <c r="E23" s="3108">
        <v>0.9</v>
      </c>
      <c r="F23" s="3105" t="s">
        <v>2450</v>
      </c>
      <c r="G23" s="3105"/>
    </row>
    <row r="24" spans="1:13" ht="19.5" customHeight="1">
      <c r="A24" s="3812"/>
      <c r="B24" s="3805"/>
      <c r="C24" s="3106" t="s">
        <v>2451</v>
      </c>
      <c r="D24" s="3107"/>
      <c r="E24" s="3108">
        <v>0.8</v>
      </c>
      <c r="F24" s="3105" t="s">
        <v>2452</v>
      </c>
      <c r="G24" s="3105"/>
    </row>
    <row r="25" spans="1:13" ht="19.5" customHeight="1" thickBot="1">
      <c r="A25" s="3813"/>
      <c r="B25" s="3806"/>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07" t="s">
        <v>2635</v>
      </c>
      <c r="B27" s="3804" t="s">
        <v>2616</v>
      </c>
      <c r="C27" s="3102" t="s">
        <v>2456</v>
      </c>
      <c r="D27" s="3103"/>
      <c r="E27" s="3104">
        <v>1</v>
      </c>
      <c r="F27" s="3105" t="s">
        <v>2457</v>
      </c>
      <c r="G27" s="3105"/>
    </row>
    <row r="28" spans="1:13" ht="19.5" customHeight="1">
      <c r="A28" s="3808"/>
      <c r="B28" s="3805"/>
      <c r="C28" s="3106" t="s">
        <v>2458</v>
      </c>
      <c r="D28" s="3107"/>
      <c r="E28" s="3108">
        <v>1</v>
      </c>
      <c r="F28" s="3105" t="s">
        <v>2459</v>
      </c>
      <c r="G28" s="3105"/>
    </row>
    <row r="29" spans="1:13" ht="19.5" customHeight="1">
      <c r="A29" s="3808"/>
      <c r="B29" s="3805"/>
      <c r="C29" s="3106" t="s">
        <v>2460</v>
      </c>
      <c r="D29" s="3107"/>
      <c r="E29" s="3108">
        <v>0.8</v>
      </c>
      <c r="F29" s="3105" t="s">
        <v>2461</v>
      </c>
      <c r="G29" s="3105"/>
    </row>
    <row r="30" spans="1:13" ht="19.5" customHeight="1">
      <c r="A30" s="3808"/>
      <c r="B30" s="3805"/>
      <c r="C30" s="3106" t="s">
        <v>2462</v>
      </c>
      <c r="D30" s="3107"/>
      <c r="E30" s="3108">
        <v>0.8</v>
      </c>
      <c r="F30" s="3105" t="s">
        <v>2463</v>
      </c>
      <c r="G30" s="3105"/>
    </row>
    <row r="31" spans="1:13" ht="19.5" customHeight="1">
      <c r="A31" s="3808"/>
      <c r="B31" s="3805"/>
      <c r="C31" s="3106" t="s">
        <v>2464</v>
      </c>
      <c r="D31" s="3107"/>
      <c r="E31" s="3108">
        <v>0.8</v>
      </c>
      <c r="F31" s="3105" t="s">
        <v>2465</v>
      </c>
      <c r="G31" s="3105"/>
    </row>
    <row r="32" spans="1:13" ht="19.5" customHeight="1">
      <c r="A32" s="3808"/>
      <c r="B32" s="3805"/>
      <c r="C32" s="3106" t="s">
        <v>2466</v>
      </c>
      <c r="D32" s="3107"/>
      <c r="E32" s="3108">
        <v>0.7</v>
      </c>
      <c r="F32" s="3105" t="s">
        <v>2467</v>
      </c>
      <c r="G32" s="3105"/>
    </row>
    <row r="33" spans="1:7" ht="19.5" customHeight="1">
      <c r="A33" s="3808"/>
      <c r="B33" s="3805"/>
      <c r="C33" s="3106" t="s">
        <v>2468</v>
      </c>
      <c r="D33" s="3107"/>
      <c r="E33" s="3108">
        <v>0.8</v>
      </c>
      <c r="F33" s="3105" t="s">
        <v>2469</v>
      </c>
      <c r="G33" s="3105"/>
    </row>
    <row r="34" spans="1:7" ht="19.5" customHeight="1">
      <c r="A34" s="3808"/>
      <c r="B34" s="3805"/>
      <c r="C34" s="3106" t="s">
        <v>2470</v>
      </c>
      <c r="D34" s="3107"/>
      <c r="E34" s="3108">
        <v>0.6</v>
      </c>
      <c r="F34" s="3105" t="s">
        <v>2471</v>
      </c>
      <c r="G34" s="3105"/>
    </row>
    <row r="35" spans="1:7" ht="19.5" customHeight="1">
      <c r="A35" s="3808"/>
      <c r="B35" s="3805"/>
      <c r="C35" s="3106" t="s">
        <v>2472</v>
      </c>
      <c r="D35" s="3107"/>
      <c r="E35" s="3108">
        <v>0.2</v>
      </c>
      <c r="F35" s="3105" t="s">
        <v>2473</v>
      </c>
      <c r="G35" s="3105"/>
    </row>
    <row r="36" spans="1:7" ht="19.5" customHeight="1">
      <c r="A36" s="3808"/>
      <c r="B36" s="3805"/>
      <c r="C36" s="3106" t="s">
        <v>2474</v>
      </c>
      <c r="D36" s="3107"/>
      <c r="E36" s="3108">
        <v>0.2</v>
      </c>
      <c r="F36" s="3105" t="s">
        <v>2475</v>
      </c>
      <c r="G36" s="3105"/>
    </row>
    <row r="37" spans="1:7" ht="19.5" customHeight="1">
      <c r="A37" s="3808"/>
      <c r="B37" s="3810" t="s">
        <v>2636</v>
      </c>
      <c r="C37" s="3106" t="s">
        <v>2476</v>
      </c>
      <c r="D37" s="3107"/>
      <c r="E37" s="3108">
        <v>0.6</v>
      </c>
      <c r="F37" s="3105" t="s">
        <v>2477</v>
      </c>
      <c r="G37" s="3105"/>
    </row>
    <row r="38" spans="1:7" ht="19.5" customHeight="1">
      <c r="A38" s="3808"/>
      <c r="B38" s="3805"/>
      <c r="C38" s="3106" t="s">
        <v>2478</v>
      </c>
      <c r="D38" s="3107"/>
      <c r="E38" s="3108">
        <v>0.6</v>
      </c>
      <c r="F38" s="3105" t="s">
        <v>2479</v>
      </c>
      <c r="G38" s="3105"/>
    </row>
    <row r="39" spans="1:7" ht="19.5" customHeight="1" thickBot="1">
      <c r="A39" s="3809"/>
      <c r="B39" s="3806"/>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11" t="s">
        <v>2614</v>
      </c>
      <c r="B41" s="3804" t="s">
        <v>2638</v>
      </c>
      <c r="C41" s="3102" t="s">
        <v>2483</v>
      </c>
      <c r="D41" s="3103"/>
      <c r="E41" s="3104">
        <v>1</v>
      </c>
      <c r="F41" s="3105" t="s">
        <v>2484</v>
      </c>
      <c r="G41" s="3105"/>
    </row>
    <row r="42" spans="1:7" ht="19.5" customHeight="1">
      <c r="A42" s="3812"/>
      <c r="B42" s="3805"/>
      <c r="C42" s="3106" t="s">
        <v>2485</v>
      </c>
      <c r="D42" s="3107"/>
      <c r="E42" s="3108">
        <v>1</v>
      </c>
      <c r="F42" s="3105" t="s">
        <v>2486</v>
      </c>
      <c r="G42" s="3105"/>
    </row>
    <row r="43" spans="1:7" ht="19.5" customHeight="1">
      <c r="A43" s="3812"/>
      <c r="B43" s="3814"/>
      <c r="C43" s="3106" t="s">
        <v>2487</v>
      </c>
      <c r="D43" s="3107"/>
      <c r="E43" s="3108">
        <v>1.5</v>
      </c>
      <c r="F43" s="3105" t="s">
        <v>2488</v>
      </c>
      <c r="G43" s="3105"/>
    </row>
    <row r="44" spans="1:7" ht="19.5" customHeight="1">
      <c r="A44" s="3812"/>
      <c r="B44" s="3117" t="s">
        <v>2639</v>
      </c>
      <c r="C44" s="3106" t="s">
        <v>2640</v>
      </c>
      <c r="D44" s="3107"/>
      <c r="E44" s="3108">
        <v>2</v>
      </c>
      <c r="F44" s="3105" t="s">
        <v>2489</v>
      </c>
      <c r="G44" s="3105"/>
    </row>
    <row r="45" spans="1:7" ht="19.5" customHeight="1">
      <c r="A45" s="3812"/>
      <c r="B45" s="3810" t="s">
        <v>2641</v>
      </c>
      <c r="C45" s="3106" t="s">
        <v>2490</v>
      </c>
      <c r="D45" s="3107"/>
      <c r="E45" s="3108">
        <v>1</v>
      </c>
      <c r="F45" s="3105" t="s">
        <v>2491</v>
      </c>
      <c r="G45" s="3105"/>
    </row>
    <row r="46" spans="1:7" ht="19.5" customHeight="1">
      <c r="A46" s="3812"/>
      <c r="B46" s="3805"/>
      <c r="C46" s="3106" t="s">
        <v>2492</v>
      </c>
      <c r="D46" s="3107"/>
      <c r="E46" s="3108">
        <v>1</v>
      </c>
      <c r="F46" s="3105" t="s">
        <v>2493</v>
      </c>
      <c r="G46" s="3105"/>
    </row>
    <row r="47" spans="1:7" ht="19.5" customHeight="1">
      <c r="A47" s="3812"/>
      <c r="B47" s="3805"/>
      <c r="C47" s="3106" t="s">
        <v>2494</v>
      </c>
      <c r="D47" s="3107"/>
      <c r="E47" s="3108">
        <v>1</v>
      </c>
      <c r="F47" s="3105" t="s">
        <v>2495</v>
      </c>
      <c r="G47" s="3105"/>
    </row>
    <row r="48" spans="1:7" ht="19.5" customHeight="1">
      <c r="A48" s="3812"/>
      <c r="B48" s="3805"/>
      <c r="C48" s="3106" t="s">
        <v>2496</v>
      </c>
      <c r="D48" s="3107"/>
      <c r="E48" s="3108">
        <v>1</v>
      </c>
      <c r="F48" s="3105" t="s">
        <v>2497</v>
      </c>
      <c r="G48" s="3105"/>
    </row>
    <row r="49" spans="1:7" ht="19.5" customHeight="1">
      <c r="A49" s="3812"/>
      <c r="B49" s="3805"/>
      <c r="C49" s="3106" t="s">
        <v>2498</v>
      </c>
      <c r="D49" s="3107"/>
      <c r="E49" s="3108">
        <v>1</v>
      </c>
      <c r="F49" s="3105" t="s">
        <v>2499</v>
      </c>
      <c r="G49" s="3105"/>
    </row>
    <row r="50" spans="1:7" ht="19.5" customHeight="1">
      <c r="A50" s="3812"/>
      <c r="B50" s="3805"/>
      <c r="C50" s="3106" t="s">
        <v>2500</v>
      </c>
      <c r="D50" s="3107"/>
      <c r="E50" s="3108">
        <v>1</v>
      </c>
      <c r="F50" s="3105" t="s">
        <v>2501</v>
      </c>
      <c r="G50" s="3105"/>
    </row>
    <row r="51" spans="1:7" ht="19.5" customHeight="1" thickBot="1">
      <c r="A51" s="3813"/>
      <c r="B51" s="3806"/>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810" t="s">
        <v>2655</v>
      </c>
      <c r="C73" s="3091" t="s">
        <v>2656</v>
      </c>
      <c r="D73" s="3091" t="s">
        <v>2657</v>
      </c>
      <c r="E73" s="3117">
        <v>0.2</v>
      </c>
      <c r="F73" s="3117">
        <v>25</v>
      </c>
    </row>
    <row r="74" spans="1:7" ht="24">
      <c r="A74" s="3117">
        <v>2</v>
      </c>
      <c r="B74" s="3805"/>
      <c r="C74" s="3091" t="s">
        <v>2658</v>
      </c>
      <c r="D74" s="3091" t="s">
        <v>2659</v>
      </c>
      <c r="E74" s="3117">
        <v>0.2</v>
      </c>
      <c r="F74" s="3117">
        <v>25</v>
      </c>
    </row>
    <row r="75" spans="1:7" ht="24">
      <c r="A75" s="3117">
        <v>3</v>
      </c>
      <c r="B75" s="3805"/>
      <c r="C75" s="3091" t="s">
        <v>2660</v>
      </c>
      <c r="D75" s="3091" t="s">
        <v>2661</v>
      </c>
      <c r="E75" s="3117">
        <v>0.2</v>
      </c>
      <c r="F75" s="3117">
        <v>25</v>
      </c>
    </row>
    <row r="76" spans="1:7" ht="13.5">
      <c r="A76" s="3117">
        <v>4</v>
      </c>
      <c r="B76" s="3805"/>
      <c r="C76" s="3091" t="s">
        <v>2662</v>
      </c>
      <c r="D76" s="3091" t="s">
        <v>2663</v>
      </c>
      <c r="E76" s="3117">
        <v>0.15</v>
      </c>
      <c r="F76" s="3117">
        <v>20</v>
      </c>
    </row>
    <row r="77" spans="1:7" ht="24">
      <c r="A77" s="3117">
        <v>5</v>
      </c>
      <c r="B77" s="3805"/>
      <c r="C77" s="3091" t="s">
        <v>2664</v>
      </c>
      <c r="D77" s="3091" t="s">
        <v>2665</v>
      </c>
      <c r="E77" s="3117">
        <v>0.15</v>
      </c>
      <c r="F77" s="3117">
        <v>20</v>
      </c>
    </row>
    <row r="78" spans="1:7" ht="24">
      <c r="A78" s="3117">
        <v>6</v>
      </c>
      <c r="B78" s="3805"/>
      <c r="C78" s="3091" t="s">
        <v>2666</v>
      </c>
      <c r="D78" s="3091" t="s">
        <v>2667</v>
      </c>
      <c r="E78" s="3117">
        <v>0.15</v>
      </c>
      <c r="F78" s="3117">
        <v>20</v>
      </c>
    </row>
    <row r="79" spans="1:7" ht="24">
      <c r="A79" s="3117">
        <v>7</v>
      </c>
      <c r="B79" s="3805"/>
      <c r="C79" s="3091" t="s">
        <v>2668</v>
      </c>
      <c r="D79" s="3091" t="s">
        <v>2669</v>
      </c>
      <c r="E79" s="3117">
        <v>0.15</v>
      </c>
      <c r="F79" s="3117">
        <v>20</v>
      </c>
    </row>
    <row r="80" spans="1:7" ht="24">
      <c r="A80" s="3117">
        <v>8</v>
      </c>
      <c r="B80" s="3805"/>
      <c r="C80" s="3091" t="s">
        <v>2670</v>
      </c>
      <c r="D80" s="3091" t="s">
        <v>2671</v>
      </c>
      <c r="E80" s="3117">
        <v>0.1</v>
      </c>
      <c r="F80" s="3117">
        <v>15</v>
      </c>
    </row>
    <row r="81" spans="1:6" ht="24">
      <c r="A81" s="3117">
        <v>9</v>
      </c>
      <c r="B81" s="3805"/>
      <c r="C81" s="3091" t="s">
        <v>2672</v>
      </c>
      <c r="D81" s="3091" t="s">
        <v>2673</v>
      </c>
      <c r="E81" s="3117">
        <v>0.1</v>
      </c>
      <c r="F81" s="3117">
        <v>15</v>
      </c>
    </row>
    <row r="82" spans="1:6" ht="24">
      <c r="A82" s="3117">
        <v>10</v>
      </c>
      <c r="B82" s="3805"/>
      <c r="C82" s="3091" t="s">
        <v>2674</v>
      </c>
      <c r="D82" s="3091" t="s">
        <v>2675</v>
      </c>
      <c r="E82" s="3117">
        <v>0.1</v>
      </c>
      <c r="F82" s="3117">
        <v>15</v>
      </c>
    </row>
    <row r="83" spans="1:6" ht="24">
      <c r="A83" s="3117">
        <v>11</v>
      </c>
      <c r="B83" s="3805"/>
      <c r="C83" s="3091" t="s">
        <v>2676</v>
      </c>
      <c r="D83" s="3091" t="s">
        <v>2677</v>
      </c>
      <c r="E83" s="3117">
        <v>0.1</v>
      </c>
      <c r="F83" s="3117">
        <v>15</v>
      </c>
    </row>
    <row r="84" spans="1:6" ht="24">
      <c r="A84" s="3117">
        <v>12</v>
      </c>
      <c r="B84" s="3805"/>
      <c r="C84" s="3091" t="s">
        <v>2678</v>
      </c>
      <c r="D84" s="3091" t="s">
        <v>2679</v>
      </c>
      <c r="E84" s="3117">
        <v>0.1</v>
      </c>
      <c r="F84" s="3117">
        <v>15</v>
      </c>
    </row>
    <row r="85" spans="1:6" ht="13.5">
      <c r="A85" s="3117">
        <v>13</v>
      </c>
      <c r="B85" s="3805"/>
      <c r="C85" s="3091" t="s">
        <v>2680</v>
      </c>
      <c r="D85" s="3091" t="s">
        <v>2681</v>
      </c>
      <c r="E85" s="3117">
        <v>0.1</v>
      </c>
      <c r="F85" s="3117">
        <v>15</v>
      </c>
    </row>
    <row r="86" spans="1:6" ht="13.5">
      <c r="A86" s="3117">
        <v>14</v>
      </c>
      <c r="B86" s="3805"/>
      <c r="C86" s="3091" t="s">
        <v>2682</v>
      </c>
      <c r="D86" s="3091" t="s">
        <v>2683</v>
      </c>
      <c r="E86" s="3117">
        <v>0.1</v>
      </c>
      <c r="F86" s="3117">
        <v>15</v>
      </c>
    </row>
    <row r="87" spans="1:6" ht="13.5">
      <c r="A87" s="3117">
        <v>15</v>
      </c>
      <c r="B87" s="3805"/>
      <c r="C87" s="3091" t="s">
        <v>2684</v>
      </c>
      <c r="D87" s="3091" t="s">
        <v>2685</v>
      </c>
      <c r="E87" s="3117">
        <v>0.1</v>
      </c>
      <c r="F87" s="3117">
        <v>15</v>
      </c>
    </row>
    <row r="88" spans="1:6" ht="24">
      <c r="A88" s="3117">
        <v>16</v>
      </c>
      <c r="B88" s="3805"/>
      <c r="C88" s="3091" t="s">
        <v>2686</v>
      </c>
      <c r="D88" s="3091" t="s">
        <v>2687</v>
      </c>
      <c r="E88" s="3117">
        <v>0.1</v>
      </c>
      <c r="F88" s="3117">
        <v>15</v>
      </c>
    </row>
    <row r="89" spans="1:6" ht="24">
      <c r="A89" s="3117">
        <v>17</v>
      </c>
      <c r="B89" s="3814"/>
      <c r="C89" s="3091" t="s">
        <v>2688</v>
      </c>
      <c r="D89" s="3091" t="s">
        <v>2689</v>
      </c>
      <c r="E89" s="3117">
        <v>0.1</v>
      </c>
      <c r="F89" s="3117">
        <v>15</v>
      </c>
    </row>
    <row r="90" spans="1:6" ht="13.5">
      <c r="A90" s="3117">
        <v>18</v>
      </c>
      <c r="B90" s="3810" t="s">
        <v>2690</v>
      </c>
      <c r="C90" s="3091" t="s">
        <v>2691</v>
      </c>
      <c r="D90" s="3091" t="s">
        <v>2692</v>
      </c>
      <c r="E90" s="3117">
        <v>0.2</v>
      </c>
      <c r="F90" s="3117">
        <v>25</v>
      </c>
    </row>
    <row r="91" spans="1:6" ht="24">
      <c r="A91" s="3117">
        <v>19</v>
      </c>
      <c r="B91" s="3805"/>
      <c r="C91" s="3091" t="s">
        <v>2693</v>
      </c>
      <c r="D91" s="3091" t="s">
        <v>2694</v>
      </c>
      <c r="E91" s="3117">
        <v>0.2</v>
      </c>
      <c r="F91" s="3117">
        <v>25</v>
      </c>
    </row>
    <row r="92" spans="1:6" ht="13.5">
      <c r="A92" s="3117">
        <v>20</v>
      </c>
      <c r="B92" s="3805"/>
      <c r="C92" s="3091" t="s">
        <v>2695</v>
      </c>
      <c r="D92" s="3091" t="s">
        <v>2696</v>
      </c>
      <c r="E92" s="3117">
        <v>0.15</v>
      </c>
      <c r="F92" s="3117">
        <v>20</v>
      </c>
    </row>
    <row r="93" spans="1:6" ht="13.5">
      <c r="A93" s="3117">
        <v>21</v>
      </c>
      <c r="B93" s="3805"/>
      <c r="C93" s="3091" t="s">
        <v>2697</v>
      </c>
      <c r="D93" s="3091" t="s">
        <v>2698</v>
      </c>
      <c r="E93" s="3117">
        <v>0.15</v>
      </c>
      <c r="F93" s="3117">
        <v>20</v>
      </c>
    </row>
    <row r="94" spans="1:6" ht="13.5">
      <c r="A94" s="3117">
        <v>22</v>
      </c>
      <c r="B94" s="3805"/>
      <c r="C94" s="3091" t="s">
        <v>2699</v>
      </c>
      <c r="D94" s="3091" t="s">
        <v>2700</v>
      </c>
      <c r="E94" s="3117">
        <v>0.15</v>
      </c>
      <c r="F94" s="3117">
        <v>20</v>
      </c>
    </row>
    <row r="95" spans="1:6" ht="36">
      <c r="A95" s="3117">
        <v>23</v>
      </c>
      <c r="B95" s="3805"/>
      <c r="C95" s="3091" t="s">
        <v>2701</v>
      </c>
      <c r="D95" s="3091" t="s">
        <v>2702</v>
      </c>
      <c r="E95" s="3117">
        <v>0.15</v>
      </c>
      <c r="F95" s="3117">
        <v>20</v>
      </c>
    </row>
    <row r="96" spans="1:6" ht="13.5">
      <c r="A96" s="3117">
        <v>24</v>
      </c>
      <c r="B96" s="3805"/>
      <c r="C96" s="3091" t="s">
        <v>2703</v>
      </c>
      <c r="D96" s="3091" t="s">
        <v>2704</v>
      </c>
      <c r="E96" s="3117">
        <v>0.1</v>
      </c>
      <c r="F96" s="3117">
        <v>15</v>
      </c>
    </row>
    <row r="97" spans="1:6" ht="13.5">
      <c r="A97" s="3117">
        <v>25</v>
      </c>
      <c r="B97" s="3805"/>
      <c r="C97" s="3091" t="s">
        <v>2705</v>
      </c>
      <c r="D97" s="3091" t="s">
        <v>2706</v>
      </c>
      <c r="E97" s="3117">
        <v>0.1</v>
      </c>
      <c r="F97" s="3117">
        <v>15</v>
      </c>
    </row>
    <row r="98" spans="1:6" ht="24">
      <c r="A98" s="3117">
        <v>26</v>
      </c>
      <c r="B98" s="3805"/>
      <c r="C98" s="3091" t="s">
        <v>2707</v>
      </c>
      <c r="D98" s="3091" t="s">
        <v>2708</v>
      </c>
      <c r="E98" s="3117">
        <v>0.1</v>
      </c>
      <c r="F98" s="3117">
        <v>15</v>
      </c>
    </row>
    <row r="99" spans="1:6" ht="24">
      <c r="A99" s="3117">
        <v>27</v>
      </c>
      <c r="B99" s="3805"/>
      <c r="C99" s="3091" t="s">
        <v>2709</v>
      </c>
      <c r="D99" s="3091" t="s">
        <v>2710</v>
      </c>
      <c r="E99" s="3117">
        <v>0.1</v>
      </c>
      <c r="F99" s="3117">
        <v>15</v>
      </c>
    </row>
    <row r="100" spans="1:6" ht="13.5">
      <c r="A100" s="3117">
        <v>28</v>
      </c>
      <c r="B100" s="3805"/>
      <c r="C100" s="3091" t="s">
        <v>2711</v>
      </c>
      <c r="D100" s="3091" t="s">
        <v>2712</v>
      </c>
      <c r="E100" s="3117">
        <v>0.1</v>
      </c>
      <c r="F100" s="3117">
        <v>15</v>
      </c>
    </row>
    <row r="101" spans="1:6" ht="13.5">
      <c r="A101" s="3117">
        <v>29</v>
      </c>
      <c r="B101" s="3805"/>
      <c r="C101" s="3091" t="s">
        <v>2713</v>
      </c>
      <c r="D101" s="3091" t="s">
        <v>2714</v>
      </c>
      <c r="E101" s="3117">
        <v>0.1</v>
      </c>
      <c r="F101" s="3117">
        <v>15</v>
      </c>
    </row>
    <row r="102" spans="1:6" ht="13.5">
      <c r="A102" s="3117">
        <v>30</v>
      </c>
      <c r="B102" s="3805"/>
      <c r="C102" s="3091" t="s">
        <v>2715</v>
      </c>
      <c r="D102" s="3091" t="s">
        <v>2716</v>
      </c>
      <c r="E102" s="3117">
        <v>0.1</v>
      </c>
      <c r="F102" s="3117">
        <v>15</v>
      </c>
    </row>
    <row r="103" spans="1:6" ht="24">
      <c r="A103" s="3117">
        <v>31</v>
      </c>
      <c r="B103" s="3805"/>
      <c r="C103" s="3091" t="s">
        <v>2717</v>
      </c>
      <c r="D103" s="3091" t="s">
        <v>2718</v>
      </c>
      <c r="E103" s="3117">
        <v>0.1</v>
      </c>
      <c r="F103" s="3117">
        <v>15</v>
      </c>
    </row>
    <row r="104" spans="1:6" ht="24">
      <c r="A104" s="3117">
        <v>32</v>
      </c>
      <c r="B104" s="3805"/>
      <c r="C104" s="3091" t="s">
        <v>2719</v>
      </c>
      <c r="D104" s="3091" t="s">
        <v>2720</v>
      </c>
      <c r="E104" s="3117">
        <v>0.1</v>
      </c>
      <c r="F104" s="3117">
        <v>15</v>
      </c>
    </row>
    <row r="105" spans="1:6" ht="24">
      <c r="A105" s="3117">
        <v>33</v>
      </c>
      <c r="B105" s="3805"/>
      <c r="C105" s="3091" t="s">
        <v>2721</v>
      </c>
      <c r="D105" s="3091" t="s">
        <v>2722</v>
      </c>
      <c r="E105" s="3117">
        <v>0.1</v>
      </c>
      <c r="F105" s="3117">
        <v>15</v>
      </c>
    </row>
    <row r="106" spans="1:6" ht="24">
      <c r="A106" s="3117">
        <v>34</v>
      </c>
      <c r="B106" s="3814"/>
      <c r="C106" s="3091" t="s">
        <v>2723</v>
      </c>
      <c r="D106" s="3091" t="s">
        <v>2724</v>
      </c>
      <c r="E106" s="3117">
        <v>0.1</v>
      </c>
      <c r="F106" s="3117">
        <v>15</v>
      </c>
    </row>
    <row r="107" spans="1:6" ht="24">
      <c r="A107" s="3117">
        <v>35</v>
      </c>
      <c r="B107" s="3810" t="s">
        <v>2725</v>
      </c>
      <c r="C107" s="3117" t="s">
        <v>2726</v>
      </c>
      <c r="D107" s="3091" t="s">
        <v>2727</v>
      </c>
      <c r="E107" s="3117">
        <v>0.15</v>
      </c>
      <c r="F107" s="3117">
        <v>20</v>
      </c>
    </row>
    <row r="108" spans="1:6" ht="13.5">
      <c r="A108" s="3117">
        <v>36</v>
      </c>
      <c r="B108" s="3805"/>
      <c r="C108" s="3117" t="s">
        <v>2728</v>
      </c>
      <c r="D108" s="3091" t="s">
        <v>2729</v>
      </c>
      <c r="E108" s="3117">
        <v>0.15</v>
      </c>
      <c r="F108" s="3117">
        <v>20</v>
      </c>
    </row>
    <row r="109" spans="1:6" ht="13.5">
      <c r="A109" s="3117">
        <v>37</v>
      </c>
      <c r="B109" s="3805"/>
      <c r="C109" s="3117" t="s">
        <v>2730</v>
      </c>
      <c r="D109" s="3091" t="s">
        <v>2731</v>
      </c>
      <c r="E109" s="3117">
        <v>0.15</v>
      </c>
      <c r="F109" s="3117">
        <v>20</v>
      </c>
    </row>
    <row r="110" spans="1:6" ht="13.5">
      <c r="A110" s="3117">
        <v>38</v>
      </c>
      <c r="B110" s="3805"/>
      <c r="C110" s="3117" t="s">
        <v>2732</v>
      </c>
      <c r="D110" s="3091" t="s">
        <v>2733</v>
      </c>
      <c r="E110" s="3117">
        <v>0.1</v>
      </c>
      <c r="F110" s="3117">
        <v>15</v>
      </c>
    </row>
    <row r="111" spans="1:6" ht="24">
      <c r="A111" s="3117">
        <v>39</v>
      </c>
      <c r="B111" s="3805"/>
      <c r="C111" s="3117" t="s">
        <v>2734</v>
      </c>
      <c r="D111" s="3091" t="s">
        <v>2735</v>
      </c>
      <c r="E111" s="3117">
        <v>0.1</v>
      </c>
      <c r="F111" s="3117">
        <v>15</v>
      </c>
    </row>
    <row r="112" spans="1:6" ht="24">
      <c r="A112" s="3117">
        <v>40</v>
      </c>
      <c r="B112" s="3814"/>
      <c r="C112" s="3117" t="s">
        <v>2736</v>
      </c>
      <c r="D112" s="3091" t="s">
        <v>2737</v>
      </c>
      <c r="E112" s="3117">
        <v>0.1</v>
      </c>
      <c r="F112" s="3117">
        <v>15</v>
      </c>
    </row>
    <row r="113" spans="1:6" ht="13.5">
      <c r="A113" s="3117">
        <v>41</v>
      </c>
      <c r="B113" s="3815" t="s">
        <v>2738</v>
      </c>
      <c r="C113" s="3117" t="s">
        <v>2739</v>
      </c>
      <c r="D113" s="3091" t="s">
        <v>2740</v>
      </c>
      <c r="E113" s="3117">
        <v>0.1</v>
      </c>
      <c r="F113" s="3117">
        <v>15</v>
      </c>
    </row>
    <row r="114" spans="1:6" ht="13.5">
      <c r="A114" s="3117">
        <v>42</v>
      </c>
      <c r="B114" s="3815"/>
      <c r="C114" s="3117" t="s">
        <v>2741</v>
      </c>
      <c r="D114" s="3091" t="s">
        <v>2742</v>
      </c>
      <c r="E114" s="3117">
        <v>0.1</v>
      </c>
      <c r="F114" s="3117">
        <v>15</v>
      </c>
    </row>
    <row r="115" spans="1:6" ht="24">
      <c r="A115" s="3117">
        <v>43</v>
      </c>
      <c r="B115" s="3815"/>
      <c r="C115" s="3117" t="s">
        <v>2743</v>
      </c>
      <c r="D115" s="3091" t="s">
        <v>2744</v>
      </c>
      <c r="E115" s="3117">
        <v>0.1</v>
      </c>
      <c r="F115" s="3117">
        <v>15</v>
      </c>
    </row>
    <row r="116" spans="1:6" ht="13.5">
      <c r="A116" s="3117">
        <v>44</v>
      </c>
      <c r="B116" s="3810" t="s">
        <v>2745</v>
      </c>
      <c r="C116" s="3117" t="s">
        <v>2746</v>
      </c>
      <c r="D116" s="3091" t="s">
        <v>2747</v>
      </c>
      <c r="E116" s="3117">
        <v>0.1</v>
      </c>
      <c r="F116" s="3117">
        <v>15</v>
      </c>
    </row>
    <row r="117" spans="1:6" ht="24">
      <c r="A117" s="3117">
        <v>45</v>
      </c>
      <c r="B117" s="3814"/>
      <c r="C117" s="3091" t="s">
        <v>2748</v>
      </c>
      <c r="D117" s="3091" t="s">
        <v>2749</v>
      </c>
      <c r="E117" s="3117">
        <v>0.1</v>
      </c>
      <c r="F117" s="3117">
        <v>15</v>
      </c>
    </row>
    <row r="118" spans="1:6" ht="24">
      <c r="A118" s="3117">
        <v>46</v>
      </c>
      <c r="B118" s="3810" t="s">
        <v>2750</v>
      </c>
      <c r="C118" s="3117" t="s">
        <v>2751</v>
      </c>
      <c r="D118" s="3091" t="s">
        <v>2752</v>
      </c>
      <c r="E118" s="3117">
        <v>0.1</v>
      </c>
      <c r="F118" s="3117">
        <v>15</v>
      </c>
    </row>
    <row r="119" spans="1:6" ht="24">
      <c r="A119" s="3117">
        <v>47</v>
      </c>
      <c r="B119" s="3814"/>
      <c r="C119" s="3117" t="s">
        <v>2753</v>
      </c>
      <c r="D119" s="3091" t="s">
        <v>2754</v>
      </c>
      <c r="E119" s="3117">
        <v>0.1</v>
      </c>
      <c r="F119" s="3117">
        <v>15</v>
      </c>
    </row>
    <row r="120" spans="1:6" ht="13.5">
      <c r="A120" s="3117">
        <v>48</v>
      </c>
      <c r="B120" s="3810" t="s">
        <v>2755</v>
      </c>
      <c r="C120" s="3117" t="s">
        <v>2756</v>
      </c>
      <c r="D120" s="3091" t="s">
        <v>2757</v>
      </c>
      <c r="E120" s="3117">
        <v>0.1</v>
      </c>
      <c r="F120" s="3117">
        <v>15</v>
      </c>
    </row>
    <row r="121" spans="1:6" ht="13.5">
      <c r="A121" s="3117">
        <v>49</v>
      </c>
      <c r="B121" s="3814"/>
      <c r="C121" s="3117" t="s">
        <v>2758</v>
      </c>
      <c r="D121" s="3091" t="s">
        <v>2759</v>
      </c>
      <c r="E121" s="3117">
        <v>0.1</v>
      </c>
      <c r="F121" s="3117">
        <v>15</v>
      </c>
    </row>
    <row r="122" spans="1:6" ht="24">
      <c r="A122" s="3117">
        <v>50</v>
      </c>
      <c r="B122" s="3815" t="s">
        <v>2760</v>
      </c>
      <c r="C122" s="3117" t="s">
        <v>2761</v>
      </c>
      <c r="D122" s="3091" t="s">
        <v>2762</v>
      </c>
      <c r="E122" s="3117">
        <v>0.1</v>
      </c>
      <c r="F122" s="3117">
        <v>15</v>
      </c>
    </row>
    <row r="123" spans="1:6" ht="24">
      <c r="A123" s="3117">
        <v>51</v>
      </c>
      <c r="B123" s="3815"/>
      <c r="C123" s="3117" t="s">
        <v>2763</v>
      </c>
      <c r="D123" s="3091" t="s">
        <v>2764</v>
      </c>
      <c r="E123" s="3117">
        <v>0.1</v>
      </c>
      <c r="F123" s="3117">
        <v>15</v>
      </c>
    </row>
    <row r="124" spans="1:6" ht="24">
      <c r="A124" s="3117">
        <v>52</v>
      </c>
      <c r="B124" s="3815" t="s">
        <v>2765</v>
      </c>
      <c r="C124" s="3117" t="s">
        <v>2766</v>
      </c>
      <c r="D124" s="3091" t="s">
        <v>2767</v>
      </c>
      <c r="E124" s="3117">
        <v>0.1</v>
      </c>
      <c r="F124" s="3117">
        <v>15</v>
      </c>
    </row>
    <row r="125" spans="1:6" ht="24">
      <c r="A125" s="3117">
        <v>53</v>
      </c>
      <c r="B125" s="3815"/>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815" t="s">
        <v>2773</v>
      </c>
      <c r="C127" s="3117" t="s">
        <v>2774</v>
      </c>
      <c r="D127" s="3091" t="s">
        <v>2775</v>
      </c>
      <c r="E127" s="3117">
        <v>0.1</v>
      </c>
      <c r="F127" s="3117">
        <v>15</v>
      </c>
    </row>
    <row r="128" spans="1:6" ht="13.5">
      <c r="A128" s="3117">
        <v>56</v>
      </c>
      <c r="B128" s="3815"/>
      <c r="C128" s="3117" t="s">
        <v>2776</v>
      </c>
      <c r="D128" s="3091" t="s">
        <v>2777</v>
      </c>
      <c r="E128" s="3117">
        <v>0.1</v>
      </c>
      <c r="F128" s="3117">
        <v>15</v>
      </c>
    </row>
    <row r="129" spans="1:6" ht="24">
      <c r="A129" s="3117">
        <v>57</v>
      </c>
      <c r="B129" s="3815"/>
      <c r="C129" s="3117" t="s">
        <v>2778</v>
      </c>
      <c r="D129" s="3091" t="s">
        <v>2779</v>
      </c>
      <c r="E129" s="3117">
        <v>0.1</v>
      </c>
      <c r="F129" s="3117">
        <v>15</v>
      </c>
    </row>
    <row r="130" spans="1:6" ht="24">
      <c r="A130" s="3117">
        <v>58</v>
      </c>
      <c r="B130" s="3815" t="s">
        <v>2780</v>
      </c>
      <c r="C130" s="3117" t="s">
        <v>2781</v>
      </c>
      <c r="D130" s="3091" t="s">
        <v>2782</v>
      </c>
      <c r="E130" s="3117">
        <v>0.1</v>
      </c>
      <c r="F130" s="3117">
        <v>15</v>
      </c>
    </row>
    <row r="131" spans="1:6" ht="13.5">
      <c r="A131" s="3117">
        <v>59</v>
      </c>
      <c r="B131" s="3815"/>
      <c r="C131" s="3117" t="s">
        <v>2783</v>
      </c>
      <c r="D131" s="3091" t="s">
        <v>2784</v>
      </c>
      <c r="E131" s="3117">
        <v>0.1</v>
      </c>
      <c r="F131" s="3117">
        <v>15</v>
      </c>
    </row>
    <row r="132" spans="1:6" ht="13.5">
      <c r="A132" s="3117">
        <v>60</v>
      </c>
      <c r="B132" s="3810" t="s">
        <v>2785</v>
      </c>
      <c r="C132" s="3117" t="s">
        <v>2786</v>
      </c>
      <c r="D132" s="3091" t="s">
        <v>2787</v>
      </c>
      <c r="E132" s="3117">
        <v>0.1</v>
      </c>
      <c r="F132" s="3117">
        <v>15</v>
      </c>
    </row>
    <row r="133" spans="1:6" ht="13.5">
      <c r="A133" s="3117">
        <v>61</v>
      </c>
      <c r="B133" s="3814"/>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815" t="s">
        <v>2793</v>
      </c>
      <c r="C135" s="3117" t="s">
        <v>2794</v>
      </c>
      <c r="D135" s="3091" t="s">
        <v>2795</v>
      </c>
      <c r="E135" s="3117">
        <v>0.1</v>
      </c>
      <c r="F135" s="3117">
        <v>15</v>
      </c>
    </row>
    <row r="136" spans="1:6" ht="13.5">
      <c r="A136" s="3117">
        <v>64</v>
      </c>
      <c r="B136" s="3815"/>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1.0089999999999999</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0.95979999999999999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49163</v>
      </c>
      <c r="C2" s="2" t="s">
        <v>106</v>
      </c>
      <c r="D2" s="199"/>
      <c r="E2" s="199"/>
      <c r="F2" s="199"/>
      <c r="G2" s="199"/>
    </row>
    <row r="3" spans="1:7" s="200" customFormat="1" ht="18" customHeight="1" thickBot="1">
      <c r="A3" s="203" t="s">
        <v>58</v>
      </c>
      <c r="B3" s="204">
        <f ca="1">ROUND(B2*10000/'数据-汇总表'!E3,0)</f>
        <v>14151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695</v>
      </c>
      <c r="D10" s="845">
        <f>'数据-汇总表'!E6</f>
        <v>34740.85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695</v>
      </c>
      <c r="D19" s="849">
        <f>'数据-汇总表'!E3</f>
        <v>34740.85</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1554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3912</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3912</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17637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16213</v>
      </c>
      <c r="D34" s="217"/>
      <c r="E34" s="220"/>
      <c r="F34" s="257">
        <f>IF('数据-取费表'!B24=0,1,'数据-取费表'!N16)</f>
        <v>1</v>
      </c>
      <c r="G34" s="219" t="s">
        <v>89</v>
      </c>
    </row>
    <row r="35" spans="1:7" ht="13.5" customHeight="1">
      <c r="A35" s="780" t="s">
        <v>351</v>
      </c>
      <c r="B35" s="215" t="s">
        <v>33</v>
      </c>
      <c r="C35" s="220">
        <f>ROUND(C34*F35,0)</f>
        <v>486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695</v>
      </c>
      <c r="D37" s="217">
        <f>'数据-汇总表'!E3</f>
        <v>34740.85</v>
      </c>
      <c r="E37" s="249">
        <f>'数据-取费表'!B35</f>
        <v>200</v>
      </c>
      <c r="F37" s="259"/>
      <c r="G37" s="261" t="s">
        <v>92</v>
      </c>
    </row>
    <row r="38" spans="1:7" ht="13.5" customHeight="1">
      <c r="A38" s="780" t="s">
        <v>354</v>
      </c>
      <c r="B38" s="215" t="s">
        <v>36</v>
      </c>
      <c r="C38" s="220">
        <f>ROUND(C34*F38,0)</f>
        <v>243</v>
      </c>
      <c r="D38" s="220"/>
      <c r="E38" s="220"/>
      <c r="F38" s="259">
        <f>'数据-取费表'!B36</f>
        <v>1.4999999999999999E-2</v>
      </c>
      <c r="G38" s="219" t="s">
        <v>90</v>
      </c>
    </row>
    <row r="39" spans="1:7" s="214" customFormat="1" ht="13.5" customHeight="1">
      <c r="A39" s="777" t="s">
        <v>338</v>
      </c>
      <c r="B39" s="210" t="s">
        <v>77</v>
      </c>
      <c r="C39" s="232">
        <f>ROUND(C33*F20,0)</f>
        <v>353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639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626</v>
      </c>
      <c r="D42" s="238"/>
      <c r="E42" s="238"/>
      <c r="F42" s="239"/>
      <c r="G42" s="3677" t="s">
        <v>94</v>
      </c>
    </row>
    <row r="43" spans="1:7" ht="13.5" customHeight="1">
      <c r="A43" s="780" t="s">
        <v>347</v>
      </c>
      <c r="B43" s="215" t="s">
        <v>426</v>
      </c>
      <c r="C43" s="238">
        <f ca="1">ROUND(IF('数据-取费表'!B22&lt;=1,C39*F22*'数据-取费表'!B21/2,C39*(POWER((1+F22),'数据-取费表'!B21/2)-1)),0)</f>
        <v>13</v>
      </c>
      <c r="D43" s="238"/>
      <c r="E43" s="238"/>
      <c r="F43" s="239"/>
      <c r="G43" s="3678"/>
    </row>
    <row r="44" spans="1:7" ht="13.5" customHeight="1">
      <c r="A44" s="780" t="s">
        <v>348</v>
      </c>
      <c r="B44" s="215" t="s">
        <v>428</v>
      </c>
      <c r="C44" s="238">
        <f ca="1">ROUND(IF('数据-取费表'!B22&lt;=1,C40*F22*'数据-取费表'!B21/2,C40*(POWER((1+F22),'数据-取费表'!B21/2)-1)),4)</f>
        <v>6.9999999999999999E-4</v>
      </c>
      <c r="D44" s="238"/>
      <c r="E44" s="238"/>
      <c r="F44" s="239"/>
      <c r="G44" s="3679"/>
    </row>
    <row r="45" spans="1:7" s="214" customFormat="1" ht="13.5" customHeight="1">
      <c r="A45" s="777" t="s">
        <v>341</v>
      </c>
      <c r="B45" s="244" t="s">
        <v>85</v>
      </c>
      <c r="C45" s="245">
        <f>C46</f>
        <v>3238</v>
      </c>
      <c r="D45" s="235">
        <f>C47</f>
        <v>3.5999999999999999E-3</v>
      </c>
      <c r="E45" s="236" t="s">
        <v>102</v>
      </c>
      <c r="F45" s="246"/>
      <c r="G45" s="247" t="s">
        <v>434</v>
      </c>
    </row>
    <row r="46" spans="1:7" s="214" customFormat="1" ht="13.5" customHeight="1">
      <c r="A46" s="780" t="s">
        <v>349</v>
      </c>
      <c r="B46" s="248" t="s">
        <v>427</v>
      </c>
      <c r="C46" s="249">
        <f>ROUND((C33+C39)*F27,0)</f>
        <v>3238</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23707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19677</v>
      </c>
      <c r="D51" s="232"/>
      <c r="E51" s="232"/>
      <c r="F51" s="264"/>
      <c r="G51" s="234" t="s">
        <v>37</v>
      </c>
    </row>
    <row r="52" spans="1:7" s="208" customFormat="1" ht="16.5" thickBot="1">
      <c r="A52" s="265" t="s">
        <v>38</v>
      </c>
      <c r="B52" s="266"/>
      <c r="C52" s="267">
        <f ca="1">C31+C51</f>
        <v>49163</v>
      </c>
      <c r="D52" s="266"/>
      <c r="E52" s="266"/>
      <c r="F52" s="266"/>
      <c r="G52" s="268"/>
    </row>
    <row r="55" spans="1:7" ht="15">
      <c r="B55" s="270" t="s">
        <v>39</v>
      </c>
      <c r="C55" s="271"/>
    </row>
    <row r="56" spans="1:7">
      <c r="B56" s="273" t="s">
        <v>40</v>
      </c>
      <c r="C56" s="274">
        <f ca="1">ROUND(C51/C52,3)</f>
        <v>0.4</v>
      </c>
    </row>
    <row r="57" spans="1:7">
      <c r="B57" s="273" t="s">
        <v>41</v>
      </c>
      <c r="C57" s="275">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2845</v>
      </c>
      <c r="B1" s="3818"/>
      <c r="C1" s="3818"/>
      <c r="D1" s="3818"/>
      <c r="E1" s="3818"/>
      <c r="F1" s="3818"/>
      <c r="G1" s="3819"/>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16"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17"/>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0" t="s">
        <v>3187</v>
      </c>
      <c r="B1" s="3820"/>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821" t="s">
        <v>3238</v>
      </c>
      <c r="B1" s="3821"/>
      <c r="C1" s="3821"/>
      <c r="D1" s="3821"/>
      <c r="E1" s="3821"/>
      <c r="F1" s="3822"/>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45152</v>
      </c>
      <c r="B1" s="3209" t="s">
        <v>2844</v>
      </c>
      <c r="C1" s="3210"/>
      <c r="D1" s="3210"/>
      <c r="E1" s="3210"/>
      <c r="F1" s="3210"/>
      <c r="G1" s="3210"/>
      <c r="H1" s="3210"/>
      <c r="I1" s="3210"/>
      <c r="J1" s="3164"/>
      <c r="K1" s="3210" t="s">
        <v>454</v>
      </c>
      <c r="L1" s="3210"/>
      <c r="M1" s="3210"/>
      <c r="N1" s="3210"/>
      <c r="O1" s="3210"/>
      <c r="P1" s="3210"/>
      <c r="Q1" s="3164"/>
      <c r="R1" s="3823" t="s">
        <v>456</v>
      </c>
      <c r="S1" s="3824"/>
      <c r="T1" s="3824"/>
      <c r="U1" s="3824"/>
      <c r="V1" s="3824"/>
      <c r="W1" s="3824"/>
      <c r="X1" s="3164"/>
      <c r="Y1" s="3823" t="s">
        <v>457</v>
      </c>
      <c r="Z1" s="3824"/>
      <c r="AA1" s="3824"/>
      <c r="AB1" s="3824"/>
      <c r="AC1" s="3824"/>
      <c r="AD1" s="3824"/>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ROUND(IF([16]项目基本情况!B8="出让",SUMPRODUCT(PRODUCT(1+K9:K16)),SUMPRODUCT(PRODUCT(1+K9:K15))),4)</f>
        <v>1.0565</v>
      </c>
      <c r="S9" s="3182">
        <f>ROUND(IF([16]项目基本情况!B8="出让",SUMPRODUCT(PRODUCT(1+L9:L16)),SUMPRODUCT(PRODUCT(1+L9:L15))),4)</f>
        <v>1.0250999999999999</v>
      </c>
      <c r="T9" s="3182">
        <f>ROUND(IF([16]项目基本情况!B8="出让",SUMPRODUCT(PRODUCT(1+M9:M16)),SUMPRODUCT(PRODUCT(1+M9:M15))),4)</f>
        <v>1.0145</v>
      </c>
      <c r="U9" s="3182">
        <f>ROUND(IF([16]项目基本情况!B8="出让",SUMPRODUCT(PRODUCT(1+N9:N16)),SUMPRODUCT(PRODUCT(1+N9:N15))),4)</f>
        <v>1.0618000000000001</v>
      </c>
      <c r="V9" s="3182">
        <f>ROUND(IF([16]项目基本情况!B8="出让",SUMPRODUCT(PRODUCT(1+O9:O16)),SUMPRODUCT(PRODUCT(1+O9:O15))),4)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ROUND(IF([16]项目基本情况!B8="出让",SUMPRODUCT(PRODUCT(1+K10:K16)),SUMPRODUCT(PRODUCT(1+K10:K15))),4)</f>
        <v>1.05</v>
      </c>
      <c r="S10" s="3182">
        <f>ROUND(IF([16]项目基本情况!B8="出让",SUMPRODUCT(PRODUCT(1+L10:L16)),SUMPRODUCT(PRODUCT(1+L10:L15))),4)</f>
        <v>1.0229999999999999</v>
      </c>
      <c r="T10" s="3182">
        <f>ROUND(IF([16]项目基本情况!B8="出让",SUMPRODUCT(PRODUCT(1+M10:M16)),SUMPRODUCT(PRODUCT(1+M10:M15))),4)</f>
        <v>1.0134000000000001</v>
      </c>
      <c r="U10" s="3182">
        <f>ROUND(IF([16]项目基本情况!B8="出让",SUMPRODUCT(PRODUCT(1+N10:N16)),SUMPRODUCT(PRODUCT(1+N10:N15))),4)</f>
        <v>1.0545</v>
      </c>
      <c r="V10" s="3182">
        <f>ROUND(IF([16]项目基本情况!B8="出让",SUMPRODUCT(PRODUCT(1+O10:O16)),SUMPRODUCT(PRODUCT(1+O10:O15))),4)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ROUND(IF([16]项目基本情况!B8="出让",SUMPRODUCT(PRODUCT(1+K11:K16)),SUMPRODUCT(PRODUCT(1+K11:K15))),4)</f>
        <v>1.0430999999999999</v>
      </c>
      <c r="S11" s="3182">
        <f>ROUND(IF([16]项目基本情况!B8="出让",SUMPRODUCT(PRODUCT(1+L11:L16)),SUMPRODUCT(PRODUCT(1+L11:L15))),4)</f>
        <v>1.0197000000000001</v>
      </c>
      <c r="T11" s="3182">
        <f>ROUND(IF([16]项目基本情况!B8="出让",SUMPRODUCT(PRODUCT(1+M11:M16)),SUMPRODUCT(PRODUCT(1+M11:M15))),4)</f>
        <v>1.0109999999999999</v>
      </c>
      <c r="U11" s="3182">
        <f>ROUND(IF([16]项目基本情况!B8="出让",SUMPRODUCT(PRODUCT(1+N11:N16)),SUMPRODUCT(PRODUCT(1+N11:N15))),4)</f>
        <v>1.0468999999999999</v>
      </c>
      <c r="V11" s="3182">
        <f>ROUND(IF([16]项目基本情况!B8="出让",SUMPRODUCT(PRODUCT(1+O11:O16)),SUMPRODUCT(PRODUCT(1+O11:O15))),4)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ROUND(IF([16]项目基本情况!B8="出让",SUMPRODUCT(PRODUCT(1+K12:K16)),SUMPRODUCT(PRODUCT(1+K12:K15))),4)</f>
        <v>1.0335000000000001</v>
      </c>
      <c r="S12" s="3182">
        <f>ROUND(IF([16]项目基本情况!B8="出让",SUMPRODUCT(PRODUCT(1+L12:L16)),SUMPRODUCT(PRODUCT(1+L12:L15))),4)</f>
        <v>1.0182</v>
      </c>
      <c r="T12" s="3182">
        <f>ROUND(IF([16]项目基本情况!B8="出让",SUMPRODUCT(PRODUCT(1+M12:M16)),SUMPRODUCT(PRODUCT(1+M12:M15))),4)</f>
        <v>1.0108999999999999</v>
      </c>
      <c r="U12" s="3182">
        <f>ROUND(IF([16]项目基本情况!B8="出让",SUMPRODUCT(PRODUCT(1+N12:N16)),SUMPRODUCT(PRODUCT(1+N12:N15))),4)</f>
        <v>1.0361</v>
      </c>
      <c r="V12" s="3182">
        <f>ROUND(IF([16]项目基本情况!B8="出让",SUMPRODUCT(PRODUCT(1+O12:O16)),SUMPRODUCT(PRODUCT(1+O12:O15))),4)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ROUND(IF([16]项目基本情况!B8="出让",SUMPRODUCT(PRODUCT(1+K13:K16)),SUMPRODUCT(PRODUCT(1+K13:K15))),4)</f>
        <v>1.0244</v>
      </c>
      <c r="S13" s="3182">
        <f>ROUND(IF([16]项目基本情况!B8="出让",SUMPRODUCT(PRODUCT(1+L13:L16)),SUMPRODUCT(PRODUCT(1+L13:L15))),4)</f>
        <v>1.0138</v>
      </c>
      <c r="T13" s="3182">
        <f>ROUND(IF([16]项目基本情况!B8="出让",SUMPRODUCT(PRODUCT(1+M13:M16)),SUMPRODUCT(PRODUCT(1+M13:M15))),4)</f>
        <v>1.0072000000000001</v>
      </c>
      <c r="U13" s="3182">
        <f>ROUND(IF([16]项目基本情况!B8="出让",SUMPRODUCT(PRODUCT(1+N13:N16)),SUMPRODUCT(PRODUCT(1+N13:N15))),4)</f>
        <v>1.0262</v>
      </c>
      <c r="V13" s="3182">
        <f>ROUND(IF([16]项目基本情况!B8="出让",SUMPRODUCT(PRODUCT(1+O13:O16)),SUMPRODUCT(PRODUCT(1+O13:O15))),4)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ROUND(IF([16]项目基本情况!B8="出让",SUMPRODUCT(PRODUCT(1+K14:K16)),SUMPRODUCT(PRODUCT(1+K14:K15))),4)</f>
        <v>1.0139</v>
      </c>
      <c r="S14" s="3182">
        <f>ROUND(IF([16]项目基本情况!B8="出让",SUMPRODUCT(PRODUCT(1+L14:L16)),SUMPRODUCT(PRODUCT(1+L14:L15))),4)</f>
        <v>1.0113000000000001</v>
      </c>
      <c r="T14" s="3182">
        <f>ROUND(IF([16]项目基本情况!B8="出让",SUMPRODUCT(PRODUCT(1+M14:M16)),SUMPRODUCT(PRODUCT(1+M14:M15))),4)</f>
        <v>1.0065</v>
      </c>
      <c r="U14" s="3182">
        <f>ROUND(IF([16]项目基本情况!B8="出让",SUMPRODUCT(PRODUCT(1+N14:N16)),SUMPRODUCT(PRODUCT(1+N14:N15))),4)</f>
        <v>1.0143</v>
      </c>
      <c r="V14" s="3182">
        <f>ROUND(IF([16]项目基本情况!B8="出让",SUMPRODUCT(PRODUCT(1+O14:O16)),SUMPRODUCT(PRODUCT(1+O14:O15))),4)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ROUND(IF([16]项目基本情况!B8="出让",SUMPRODUCT(PRODUCT(1+K15:K16)),SUMPRODUCT(PRODUCT(1+K15:K15))),4)</f>
        <v>1.0092000000000001</v>
      </c>
      <c r="S15" s="3182">
        <f>ROUND(IF([16]项目基本情况!B8="出让",SUMPRODUCT(PRODUCT(1+L15:L16)),SUMPRODUCT(PRODUCT(1+L15:L15))),4)</f>
        <v>1.0072000000000001</v>
      </c>
      <c r="T15" s="3182">
        <f>ROUND(IF([16]项目基本情况!B8="出让",SUMPRODUCT(PRODUCT(1+M15:M16)),SUMPRODUCT(PRODUCT(1+M15:M15))),4)</f>
        <v>1.0041</v>
      </c>
      <c r="U15" s="3182">
        <f>ROUND(IF([16]项目基本情况!B8="出让",SUMPRODUCT(PRODUCT(1+N15:N16)),SUMPRODUCT(PRODUCT(1+N15:N15))),4)</f>
        <v>1.0095000000000001</v>
      </c>
      <c r="V15" s="3182">
        <f>ROUND(IF([16]项目基本情况!B8="出让",SUMPRODUCT(PRODUCT(1+O15:O16)),SUMPRODUCT(PRODUCT(1+O15:O15))),4)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23" t="s">
        <v>2832</v>
      </c>
      <c r="S21" s="3824"/>
      <c r="T21" s="3824"/>
      <c r="U21" s="3824"/>
      <c r="V21" s="3824"/>
      <c r="W21" s="3824"/>
      <c r="X21" s="3164"/>
      <c r="Y21" s="3823" t="s">
        <v>2833</v>
      </c>
      <c r="Z21" s="3824"/>
      <c r="AA21" s="3824"/>
      <c r="AB21" s="3824"/>
      <c r="AC21" s="3824"/>
      <c r="AD21" s="3824"/>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ROUND(IF([16]项目基本情况!$B$8="出让",SUMPRODUCT(PRODUCT(1+L25:L$36)),SUMPRODUCT(PRODUCT(1+L25:L$35))),4)</f>
        <v>1.0396000000000001</v>
      </c>
      <c r="T25" s="3182">
        <f>ROUND(IF([16]项目基本情况!$B$8="出让",SUMPRODUCT(PRODUCT(1+M25:M$36)),SUMPRODUCT(PRODUCT(1+M25:M$35))),4)</f>
        <v>1.0269999999999999</v>
      </c>
      <c r="U25" s="3182">
        <f>ROUND(IF([16]项目基本情况!$B$8="出让",SUMPRODUCT(PRODUCT(1+N25:N$36)),SUMPRODUCT(PRODUCT(1+N25:N$35))),4)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ROUND(IF([16]项目基本情况!$B$8="出让",SUMPRODUCT(PRODUCT(1+L26:L$36)),SUMPRODUCT(PRODUCT(1+L26:L$35))),4)</f>
        <v>1.0396000000000001</v>
      </c>
      <c r="T26" s="3182">
        <f>ROUND(IF([16]项目基本情况!$B$8="出让",SUMPRODUCT(PRODUCT(1+M26:M$36)),SUMPRODUCT(PRODUCT(1+M26:M$35))),4)</f>
        <v>1.0269999999999999</v>
      </c>
      <c r="U26" s="3182">
        <f>ROUND(IF([16]项目基本情况!$B$8="出让",SUMPRODUCT(PRODUCT(1+N26:N$36)),SUMPRODUCT(PRODUCT(1+N26:N$35))),4)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ROUND(IF([16]项目基本情况!$B$8="出让",SUMPRODUCT(PRODUCT(1+L27:L$36)),SUMPRODUCT(PRODUCT(1+L27:L$35))),4)</f>
        <v>1.0396000000000001</v>
      </c>
      <c r="T27" s="3191">
        <f>ROUND(IF([16]项目基本情况!$B$8="出让",SUMPRODUCT(PRODUCT(1+M27:M$36)),SUMPRODUCT(PRODUCT(1+M27:M$35))),4)</f>
        <v>1.0269999999999999</v>
      </c>
      <c r="U27" s="3191">
        <f>ROUND(IF([16]项目基本情况!$B$8="出让",SUMPRODUCT(PRODUCT(1+N27:N$36)),SUMPRODUCT(PRODUCT(1+N27:N$35))),4)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ROUND(IF([16]项目基本情况!$B$8="出让",SUMPRODUCT(PRODUCT(1+L28:L$36)),SUMPRODUCT(PRODUCT(1+L28:L$35))),4)</f>
        <v>1.0344</v>
      </c>
      <c r="T28" s="3182">
        <f>ROUND(IF([16]项目基本情况!$B$8="出让",SUMPRODUCT(PRODUCT(1+M28:M$36)),SUMPRODUCT(PRODUCT(1+M28:M$35))),4)</f>
        <v>1.0224</v>
      </c>
      <c r="U28" s="3182">
        <f>ROUND(IF([16]项目基本情况!$B$8="出让",SUMPRODUCT(PRODUCT(1+N28:N$36)),SUMPRODUCT(PRODUCT(1+N28:N$35))),4)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ROUND(IF([16]项目基本情况!$B$8="出让",SUMPRODUCT(PRODUCT(1+L29:L$36)),SUMPRODUCT(PRODUCT(1+L29:L$35))),4)</f>
        <v>1.0286999999999999</v>
      </c>
      <c r="T29" s="3182">
        <f>ROUND(IF([16]项目基本情况!$B$8="出让",SUMPRODUCT(PRODUCT(1+M29:M$36)),SUMPRODUCT(PRODUCT(1+M29:M$35))),4)</f>
        <v>1.0164</v>
      </c>
      <c r="U29" s="3182">
        <f>ROUND(IF([16]项目基本情况!$B$8="出让",SUMPRODUCT(PRODUCT(1+N29:N$36)),SUMPRODUCT(PRODUCT(1+N29:N$35))),4)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ROUND(IF([16]项目基本情况!$B$8="出让",SUMPRODUCT(PRODUCT(1+L30:L$36)),SUMPRODUCT(PRODUCT(1+L30:L$35))),4)</f>
        <v>1.0241</v>
      </c>
      <c r="T30" s="3182">
        <f>ROUND(IF([16]项目基本情况!$B$8="出让",SUMPRODUCT(PRODUCT(1+M30:M$36)),SUMPRODUCT(PRODUCT(1+M30:M$35))),4)</f>
        <v>1.0144</v>
      </c>
      <c r="U30" s="3182">
        <f>ROUND(IF([16]项目基本情况!$B$8="出让",SUMPRODUCT(PRODUCT(1+N30:N$36)),SUMPRODUCT(PRODUCT(1+N30:N$35))),4)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ROUND(IF([16]项目基本情况!$B$8="出让",SUMPRODUCT(PRODUCT(1+L31:L$36)),SUMPRODUCT(PRODUCT(1+L31:L$35))),4)</f>
        <v>1.0210999999999999</v>
      </c>
      <c r="T31" s="3182">
        <f>ROUND(IF([16]项目基本情况!$B$8="出让",SUMPRODUCT(PRODUCT(1+M31:M$36)),SUMPRODUCT(PRODUCT(1+M31:M$35))),4)</f>
        <v>1.0114000000000001</v>
      </c>
      <c r="U31" s="3182">
        <f>ROUND(IF([16]项目基本情况!$B$8="出让",SUMPRODUCT(PRODUCT(1+N31:N$36)),SUMPRODUCT(PRODUCT(1+N31:N$35))),4)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ROUND(IF([16]项目基本情况!$B$8="出让",SUMPRODUCT(PRODUCT(1+L32:L$36)),SUMPRODUCT(PRODUCT(1+L32:L$35))),4)</f>
        <v>1.0222</v>
      </c>
      <c r="T32" s="3182">
        <f>ROUND(IF([16]项目基本情况!$B$8="出让",SUMPRODUCT(PRODUCT(1+M32:M$36)),SUMPRODUCT(PRODUCT(1+M32:M$35))),4)</f>
        <v>1.0127999999999999</v>
      </c>
      <c r="U32" s="3182">
        <f>ROUND(IF([16]项目基本情况!$B$8="出让",SUMPRODUCT(PRODUCT(1+N32:N$36)),SUMPRODUCT(PRODUCT(1+N32:N$35))),4)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ROUND(IF([16]项目基本情况!$B$8="出让",SUMPRODUCT(PRODUCT(1+L33:L$36)),SUMPRODUCT(PRODUCT(1+L33:L$35))),4)</f>
        <v>1.0161</v>
      </c>
      <c r="T33" s="3182">
        <f>ROUND(IF([16]项目基本情况!$B$8="出让",SUMPRODUCT(PRODUCT(1+M33:M$36)),SUMPRODUCT(PRODUCT(1+M33:M$35))),4)</f>
        <v>1.0082</v>
      </c>
      <c r="U33" s="3182">
        <f>ROUND(IF([16]项目基本情况!$B$8="出让",SUMPRODUCT(PRODUCT(1+N33:N$36)),SUMPRODUCT(PRODUCT(1+N33:N$35))),4)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ROUND(IF([16]项目基本情况!$B$8="出让",SUMPRODUCT(PRODUCT(1+L34:L$36)),SUMPRODUCT(PRODUCT(1+L34:L$35))),4)</f>
        <v>1.0102</v>
      </c>
      <c r="T34" s="3182">
        <f>ROUND(IF([16]项目基本情况!$B$8="出让",SUMPRODUCT(PRODUCT(1+M34:M$36)),SUMPRODUCT(PRODUCT(1+M34:M$35))),4)</f>
        <v>1.0074000000000001</v>
      </c>
      <c r="U34" s="3182">
        <f>ROUND(IF([16]项目基本情况!$B$8="出让",SUMPRODUCT(PRODUCT(1+N34:N$36)),SUMPRODUCT(PRODUCT(1+N34:N$35))),4)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ROUND(IF([16]项目基本情况!$B$8="出让",SUMPRODUCT(PRODUCT(1+L35:L$36)),SUMPRODUCT(PRODUCT(1+L35:L$35))),4)</f>
        <v>1.0055000000000001</v>
      </c>
      <c r="T35" s="3182">
        <f>ROUND(IF([16]项目基本情况!$B$8="出让",SUMPRODUCT(PRODUCT(1+M35:M$36)),SUMPRODUCT(PRODUCT(1+M35:M$35))),4)</f>
        <v>1.0045999999999999</v>
      </c>
      <c r="U35" s="3182">
        <f>ROUND(IF([16]项目基本情况!$B$8="出让",SUMPRODUCT(PRODUCT(1+N35:N$36)),SUMPRODUCT(PRODUCT(1+N35:N$35))),4)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0" t="s">
        <v>452</v>
      </c>
      <c r="C1" s="3830"/>
      <c r="D1" s="3830"/>
      <c r="E1" s="3830"/>
      <c r="F1" s="3830"/>
      <c r="G1" s="3826" t="s">
        <v>453</v>
      </c>
      <c r="H1" s="3826"/>
      <c r="I1" s="3826"/>
      <c r="J1" s="3826"/>
      <c r="K1" s="3826"/>
      <c r="L1" s="3826"/>
      <c r="N1" s="3826" t="s">
        <v>454</v>
      </c>
      <c r="O1" s="3826"/>
      <c r="P1" s="3826"/>
      <c r="Q1" s="3826"/>
      <c r="S1" s="3826" t="s">
        <v>455</v>
      </c>
      <c r="T1" s="3826"/>
      <c r="U1" s="3826"/>
      <c r="V1" s="3826"/>
      <c r="X1" s="3825" t="s">
        <v>456</v>
      </c>
      <c r="Y1" s="3826"/>
      <c r="Z1" s="3826"/>
      <c r="AA1" s="3826"/>
      <c r="AB1" s="3826"/>
      <c r="AD1" s="3825" t="s">
        <v>457</v>
      </c>
      <c r="AE1" s="3826"/>
      <c r="AF1" s="3826"/>
      <c r="AG1" s="3826"/>
      <c r="AH1" s="382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45152</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4" t="s">
        <v>925</v>
      </c>
      <c r="E3" s="854" t="s">
        <v>931</v>
      </c>
      <c r="F3" s="854" t="s">
        <v>925</v>
      </c>
      <c r="G3" s="854" t="s">
        <v>926</v>
      </c>
      <c r="H3" s="854" t="s">
        <v>925</v>
      </c>
      <c r="I3" s="854" t="s">
        <v>926</v>
      </c>
    </row>
    <row r="4" spans="1:9" ht="15">
      <c r="A4" s="1504" t="str">
        <f>项目基本情况!S2</f>
        <v>北京市房地产</v>
      </c>
      <c r="B4" s="854">
        <f>项目基本情况!C17</f>
        <v>34740.85</v>
      </c>
      <c r="C4" s="854">
        <f>项目基本情况!C18</f>
        <v>10186.06</v>
      </c>
      <c r="D4" s="854">
        <f ca="1">结果表!D118</f>
        <v>76066</v>
      </c>
      <c r="E4" s="854">
        <f ca="1">结果表!E118</f>
        <v>21895</v>
      </c>
      <c r="F4" s="854">
        <f ca="1">结果表!F118</f>
        <v>19735</v>
      </c>
      <c r="G4" s="854">
        <f ca="1">结果表!G118</f>
        <v>5681</v>
      </c>
      <c r="H4" s="854">
        <f ca="1">结果表!H118</f>
        <v>95801</v>
      </c>
      <c r="I4" s="854">
        <f ca="1">结果表!I118</f>
        <v>27576</v>
      </c>
    </row>
    <row r="5" spans="1:9" ht="30" customHeight="1">
      <c r="A5" s="3500" t="s">
        <v>927</v>
      </c>
      <c r="B5" s="3500"/>
      <c r="C5" s="3500"/>
      <c r="D5" s="3500" t="str">
        <f ca="1">结果表!D119</f>
        <v>柒亿陆仟零陆拾陆万元整</v>
      </c>
      <c r="E5" s="3500"/>
      <c r="F5" s="3500" t="str">
        <f ca="1">结果表!F119</f>
        <v>壹亿玖仟柒佰叁拾伍万元整</v>
      </c>
      <c r="G5" s="3500"/>
      <c r="H5" s="3500" t="str">
        <f ca="1">结果表!H119</f>
        <v>玖亿伍仟捌佰零壹万元整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95801</v>
      </c>
      <c r="E8" s="3501"/>
      <c r="F8" s="3501"/>
      <c r="G8" s="3501"/>
      <c r="H8" s="3501"/>
      <c r="I8" s="3501"/>
    </row>
    <row r="9" spans="1:9" ht="15">
      <c r="A9" s="3500" t="s">
        <v>927</v>
      </c>
      <c r="B9" s="3500"/>
      <c r="C9" s="3500"/>
      <c r="D9" s="3500" t="str">
        <f ca="1">结果表!D123</f>
        <v>玖亿伍仟捌佰零壹万元整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抵押净值</v>
      </c>
      <c r="B12" s="3501"/>
      <c r="C12" s="3501"/>
      <c r="D12" s="3501">
        <f ca="1">结果表!D126</f>
        <v>68222</v>
      </c>
      <c r="E12" s="3501"/>
      <c r="F12" s="3501"/>
      <c r="G12" s="3501"/>
      <c r="H12" s="3501"/>
      <c r="I12" s="3501"/>
    </row>
    <row r="13" spans="1:9" ht="15.75" thickBot="1">
      <c r="A13" s="3505" t="s">
        <v>927</v>
      </c>
      <c r="B13" s="3505"/>
      <c r="C13" s="3505"/>
      <c r="D13" s="3505" t="str">
        <f ca="1">结果表!D127</f>
        <v>陆亿捌仟贰佰贰拾贰万元整</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O40"/>
  <sheetViews>
    <sheetView topLeftCell="A16" workbookViewId="0">
      <selection activeCell="N32" sqref="N32"/>
    </sheetView>
  </sheetViews>
  <sheetFormatPr defaultRowHeight="13.5"/>
  <sheetData>
    <row r="9" spans="15:15">
      <c r="O9">
        <v>2019</v>
      </c>
    </row>
    <row r="27" spans="15:15">
      <c r="O27">
        <v>2021</v>
      </c>
    </row>
    <row r="40" spans="15:15">
      <c r="O40">
        <v>2022</v>
      </c>
    </row>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45155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8" priority="53">
      <formula>AND($C4-TODAY()&lt;30,TODAY()&lt;$C4)</formula>
    </cfRule>
  </conditionalFormatting>
  <conditionalFormatting sqref="C20:D20">
    <cfRule type="expression" dxfId="237" priority="52">
      <formula>AND($C20-TODAY()&lt;30,TODAY()&lt;$C20)</formula>
    </cfRule>
  </conditionalFormatting>
  <conditionalFormatting sqref="C20:D20 G4 C4:D5 C13:D13">
    <cfRule type="cellIs" dxfId="236" priority="54" stopIfTrue="1" operator="lessThan">
      <formula>$B$2</formula>
    </cfRule>
  </conditionalFormatting>
  <conditionalFormatting sqref="G5 G7 G9">
    <cfRule type="cellIs" dxfId="235" priority="51" stopIfTrue="1" operator="lessThan">
      <formula>$B$2</formula>
    </cfRule>
  </conditionalFormatting>
  <conditionalFormatting sqref="C6:D6 D14 D16">
    <cfRule type="expression" dxfId="234" priority="49">
      <formula>AND($C6-TODAY()&lt;30,TODAY()&lt;$C6)</formula>
    </cfRule>
  </conditionalFormatting>
  <conditionalFormatting sqref="G6 G8 G10 C6:D6 D7:D12 D14 D16">
    <cfRule type="cellIs" dxfId="233" priority="50" stopIfTrue="1" operator="lessThan">
      <formula>$B$2</formula>
    </cfRule>
  </conditionalFormatting>
  <conditionalFormatting sqref="D12">
    <cfRule type="expression" dxfId="232" priority="47">
      <formula>AND($C12-TODAY()&lt;30,TODAY()&lt;$C12)</formula>
    </cfRule>
  </conditionalFormatting>
  <conditionalFormatting sqref="D12">
    <cfRule type="cellIs" dxfId="231" priority="48" stopIfTrue="1" operator="lessThan">
      <formula>$B$2</formula>
    </cfRule>
  </conditionalFormatting>
  <conditionalFormatting sqref="C13:D13">
    <cfRule type="expression" dxfId="230" priority="45">
      <formula>AND($C13-TODAY()&lt;30,TODAY()&lt;$C13)</formula>
    </cfRule>
  </conditionalFormatting>
  <conditionalFormatting sqref="C13:D13">
    <cfRule type="cellIs" dxfId="229" priority="46" stopIfTrue="1" operator="lessThan">
      <formula>$B$2</formula>
    </cfRule>
  </conditionalFormatting>
  <conditionalFormatting sqref="D14">
    <cfRule type="expression" dxfId="228" priority="43">
      <formula>AND($C14-TODAY()&lt;30,TODAY()&lt;$C14)</formula>
    </cfRule>
  </conditionalFormatting>
  <conditionalFormatting sqref="D14">
    <cfRule type="cellIs" dxfId="227" priority="44" stopIfTrue="1" operator="lessThan">
      <formula>$B$2</formula>
    </cfRule>
  </conditionalFormatting>
  <conditionalFormatting sqref="G13">
    <cfRule type="cellIs" dxfId="226" priority="42" stopIfTrue="1" operator="lessThan">
      <formula>$B$2</formula>
    </cfRule>
  </conditionalFormatting>
  <conditionalFormatting sqref="B4:B11 F4:F11 B13 F13:F14">
    <cfRule type="cellIs" dxfId="225" priority="41" stopIfTrue="1" operator="equal">
      <formula>"已过期"</formula>
    </cfRule>
  </conditionalFormatting>
  <conditionalFormatting sqref="C7">
    <cfRule type="cellIs" dxfId="224" priority="38" stopIfTrue="1" operator="lessThan">
      <formula>$B$2</formula>
    </cfRule>
  </conditionalFormatting>
  <conditionalFormatting sqref="C7">
    <cfRule type="expression" dxfId="223" priority="37">
      <formula>AND($C7-TODAY()&lt;30,TODAY()&lt;$C7)</formula>
    </cfRule>
  </conditionalFormatting>
  <conditionalFormatting sqref="C8">
    <cfRule type="expression" dxfId="222" priority="35">
      <formula>AND($C8-TODAY()&lt;30,TODAY()&lt;$C8)</formula>
    </cfRule>
  </conditionalFormatting>
  <conditionalFormatting sqref="C8">
    <cfRule type="cellIs" dxfId="221" priority="36" stopIfTrue="1" operator="lessThan">
      <formula>$B$2</formula>
    </cfRule>
  </conditionalFormatting>
  <conditionalFormatting sqref="C11">
    <cfRule type="expression" dxfId="220" priority="33">
      <formula>AND($C11-TODAY()&lt;30,TODAY()&lt;$C11)</formula>
    </cfRule>
  </conditionalFormatting>
  <conditionalFormatting sqref="C11">
    <cfRule type="cellIs" dxfId="219" priority="34" stopIfTrue="1" operator="lessThan">
      <formula>$B$2</formula>
    </cfRule>
  </conditionalFormatting>
  <conditionalFormatting sqref="A16:C16">
    <cfRule type="cellIs" dxfId="218" priority="32" stopIfTrue="1" operator="equal">
      <formula>"已过期"</formula>
    </cfRule>
  </conditionalFormatting>
  <conditionalFormatting sqref="E16:G16">
    <cfRule type="cellIs" dxfId="217" priority="31" stopIfTrue="1" operator="equal">
      <formula>"已过期"</formula>
    </cfRule>
  </conditionalFormatting>
  <conditionalFormatting sqref="G11">
    <cfRule type="cellIs" dxfId="216" priority="30" stopIfTrue="1" operator="lessThan">
      <formula>$B$2</formula>
    </cfRule>
  </conditionalFormatting>
  <conditionalFormatting sqref="F12">
    <cfRule type="cellIs" dxfId="215" priority="29" stopIfTrue="1" operator="equal">
      <formula>"已过期"</formula>
    </cfRule>
  </conditionalFormatting>
  <conditionalFormatting sqref="G12">
    <cfRule type="cellIs" dxfId="214" priority="28" stopIfTrue="1" operator="lessThan">
      <formula>$B$2</formula>
    </cfRule>
  </conditionalFormatting>
  <conditionalFormatting sqref="C12">
    <cfRule type="cellIs" dxfId="213" priority="27" stopIfTrue="1" operator="lessThan">
      <formula>$B$2</formula>
    </cfRule>
  </conditionalFormatting>
  <conditionalFormatting sqref="C12">
    <cfRule type="expression" dxfId="212" priority="25">
      <formula>AND($C12-TODAY()&lt;30,TODAY()&lt;$C12)</formula>
    </cfRule>
  </conditionalFormatting>
  <conditionalFormatting sqref="C12">
    <cfRule type="cellIs" dxfId="211" priority="26" stopIfTrue="1" operator="lessThan">
      <formula>$B$2</formula>
    </cfRule>
  </conditionalFormatting>
  <conditionalFormatting sqref="B12">
    <cfRule type="cellIs" dxfId="210" priority="24" stopIfTrue="1" operator="equal">
      <formula>"已过期"</formula>
    </cfRule>
  </conditionalFormatting>
  <conditionalFormatting sqref="C9:C10">
    <cfRule type="expression" dxfId="209" priority="22">
      <formula>AND($C9-TODAY()&lt;30,TODAY()&lt;$C9)</formula>
    </cfRule>
  </conditionalFormatting>
  <conditionalFormatting sqref="C9:C10">
    <cfRule type="cellIs" dxfId="208" priority="23" stopIfTrue="1" operator="lessThan">
      <formula>$B$2</formula>
    </cfRule>
  </conditionalFormatting>
  <conditionalFormatting sqref="G21">
    <cfRule type="expression" dxfId="207" priority="20" stopIfTrue="1">
      <formula>AND(#REF!-TODAY()&lt;30,TODAY()&lt;#REF!)</formula>
    </cfRule>
  </conditionalFormatting>
  <conditionalFormatting sqref="G21">
    <cfRule type="cellIs" dxfId="206" priority="21" stopIfTrue="1" operator="lessThan">
      <formula>$B$2</formula>
    </cfRule>
  </conditionalFormatting>
  <conditionalFormatting sqref="C14">
    <cfRule type="expression" dxfId="205" priority="18">
      <formula>AND($C14-TODAY()&lt;30,TODAY()&lt;$C14)</formula>
    </cfRule>
  </conditionalFormatting>
  <conditionalFormatting sqref="C14">
    <cfRule type="cellIs" dxfId="204" priority="19"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B14">
    <cfRule type="cellIs" dxfId="201" priority="15" stopIfTrue="1" operator="equal">
      <formula>"已过期"</formula>
    </cfRule>
  </conditionalFormatting>
  <conditionalFormatting sqref="G14">
    <cfRule type="cellIs" dxfId="200" priority="14" stopIfTrue="1" operator="lessThan">
      <formula>$B$2</formula>
    </cfRule>
  </conditionalFormatting>
  <conditionalFormatting sqref="D15">
    <cfRule type="expression" dxfId="199" priority="12">
      <formula>AND($C15-TODAY()&lt;30,TODAY()&lt;$C15)</formula>
    </cfRule>
  </conditionalFormatting>
  <conditionalFormatting sqref="D15">
    <cfRule type="cellIs" dxfId="198" priority="13"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C15">
    <cfRule type="expression" dxfId="194" priority="7">
      <formula>AND($C15-TODAY()&lt;30,TODAY()&lt;$C15)</formula>
    </cfRule>
  </conditionalFormatting>
  <conditionalFormatting sqref="C15">
    <cfRule type="cellIs" dxfId="193" priority="8" stopIfTrue="1" operator="lessThan">
      <formula>$B$2</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B15">
    <cfRule type="cellIs" dxfId="190" priority="4" stopIfTrue="1" operator="equal">
      <formula>"已过期"</formula>
    </cfRule>
  </conditionalFormatting>
  <conditionalFormatting sqref="G15">
    <cfRule type="cellIs" dxfId="189" priority="3" stopIfTrue="1" operator="lessThan">
      <formula>$B$2</formula>
    </cfRule>
  </conditionalFormatting>
  <conditionalFormatting sqref="G20">
    <cfRule type="expression" dxfId="188" priority="1" stopIfTrue="1">
      <formula>AND(#REF!-TODAY()&lt;30,TODAY()&lt;#REF!)</formula>
    </cfRule>
  </conditionalFormatting>
  <conditionalFormatting sqref="G20">
    <cfRule type="cellIs" dxfId="18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收益法（汇总）</vt:lpstr>
      <vt:lpstr>收益法</vt:lpstr>
      <vt:lpstr>收益法-车库</vt:lpstr>
      <vt:lpstr>成本法</vt:lpstr>
      <vt:lpstr>成本法 (元)</vt:lpstr>
      <vt:lpstr>假设开发法</vt:lpstr>
      <vt:lpstr>基准地价修正</vt:lpstr>
      <vt:lpstr>收益法 (元)</vt:lpstr>
      <vt:lpstr>收益法-酒店模型</vt:lpstr>
      <vt:lpstr>比较法-住宅</vt:lpstr>
      <vt:lpstr>土地比较法-住宅、综合</vt:lpstr>
      <vt:lpstr>土地案例</vt:lpstr>
      <vt:lpstr>台账</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历史</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2023-08-17T02:26:34Z</dcterms:modified>
</cp:coreProperties>
</file>